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73.xml" ContentType="application/vnd.ms-excel.controlproperties+xml"/>
  <Override PartName="/xl/ctrlProps/ctrlProp74.xml" ContentType="application/vnd.ms-excel.controlproperties+xml"/>
  <Override PartName="/xl/drawings/drawing4.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5.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drawings/drawing7.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drawings/drawing11.xml" ContentType="application/vnd.openxmlformats-officedocument.drawing+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13.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drawings/drawing14.xml" ContentType="application/vnd.openxmlformats-officedocument.drawing+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16.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omments8.xml" ContentType="application/vnd.openxmlformats-officedocument.spreadsheetml.comments+xml"/>
  <Override PartName="/xl/drawings/drawing17.xml" ContentType="application/vnd.openxmlformats-officedocument.drawing+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omments9.xml" ContentType="application/vnd.openxmlformats-officedocument.spreadsheetml.comments+xml"/>
  <Override PartName="/xl/drawings/drawing18.xml" ContentType="application/vnd.openxmlformats-officedocument.drawing+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omments10.xml" ContentType="application/vnd.openxmlformats-officedocument.spreadsheetml.comments+xml"/>
  <Override PartName="/xl/drawings/drawing19.xml" ContentType="application/vnd.openxmlformats-officedocument.drawing+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omments11.xml" ContentType="application/vnd.openxmlformats-officedocument.spreadsheetml.comments+xml"/>
  <Override PartName="/xl/drawings/drawing20.xml" ContentType="application/vnd.openxmlformats-officedocument.drawing+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omments12.xml" ContentType="application/vnd.openxmlformats-officedocument.spreadsheetml.comments+xml"/>
  <Override PartName="/xl/drawings/drawing21.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omments13.xml" ContentType="application/vnd.openxmlformats-officedocument.spreadsheetml.comments+xml"/>
  <Override PartName="/xl/drawings/drawing22.xml" ContentType="application/vnd.openxmlformats-officedocument.drawing+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omments14.xml" ContentType="application/vnd.openxmlformats-officedocument.spreadsheetml.comments+xml"/>
  <Override PartName="/xl/drawings/drawing23.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omments15.xml" ContentType="application/vnd.openxmlformats-officedocument.spreadsheetml.comments+xml"/>
  <Override PartName="/xl/drawings/drawing24.xml" ContentType="application/vnd.openxmlformats-officedocument.drawing+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omments16.xml" ContentType="application/vnd.openxmlformats-officedocument.spreadsheetml.comments+xml"/>
  <Override PartName="/xl/drawings/drawing25.xml" ContentType="application/vnd.openxmlformats-officedocument.drawing+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omments17.xml" ContentType="application/vnd.openxmlformats-officedocument.spreadsheetml.comments+xml"/>
  <Override PartName="/xl/drawings/drawing26.xml" ContentType="application/vnd.openxmlformats-officedocument.drawing+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omments18.xml" ContentType="application/vnd.openxmlformats-officedocument.spreadsheetml.comments+xml"/>
  <Override PartName="/xl/drawings/drawing27.xml" ContentType="application/vnd.openxmlformats-officedocument.drawing+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drawings/drawing28.xml" ContentType="application/vnd.openxmlformats-officedocument.drawing+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drawings/drawing29.xml" ContentType="application/vnd.openxmlformats-officedocument.drawing+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0.xml" ContentType="application/vnd.openxmlformats-officedocument.drawing+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omments19.xml" ContentType="application/vnd.openxmlformats-officedocument.spreadsheetml.comments+xml"/>
  <Override PartName="/xl/drawings/drawing31.xml" ContentType="application/vnd.openxmlformats-officedocument.drawing+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omments20.xml" ContentType="application/vnd.openxmlformats-officedocument.spreadsheetml.comments+xml"/>
  <Override PartName="/xl/drawings/drawing32.xml" ContentType="application/vnd.openxmlformats-officedocument.drawing+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drawings/drawing33.xml" ContentType="application/vnd.openxmlformats-officedocument.drawing+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drawings/drawing34.xml" ContentType="application/vnd.openxmlformats-officedocument.drawing+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drawings/drawing35.xml" ContentType="application/vnd.openxmlformats-officedocument.drawing+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drawings/drawing36.xml" ContentType="application/vnd.openxmlformats-officedocument.drawing+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movementmortgage-my.sharepoint.com/personal/will_lambourne_movement_com/Documents/Desktop/"/>
    </mc:Choice>
  </mc:AlternateContent>
  <xr:revisionPtr revIDLastSave="5483" documentId="8_{3EF62924-C975-4CE3-92BC-BB30AEBB4D3F}" xr6:coauthVersionLast="47" xr6:coauthVersionMax="47" xr10:uidLastSave="{C0670B3C-CFB0-4C12-A5B9-07A5B73F5A0C}"/>
  <bookViews>
    <workbookView xWindow="-108" yWindow="-108" windowWidth="23256" windowHeight="12456" tabRatio="883" xr2:uid="{00000000-000D-0000-FFFF-FFFF00000000}"/>
  </bookViews>
  <sheets>
    <sheet name="Instructions" sheetId="71" r:id="rId1"/>
    <sheet name="I&amp;D Worksheet" sheetId="35" r:id="rId2"/>
    <sheet name="Income Data; Do not delete" sheetId="51" state="veryHidden" r:id="rId3"/>
    <sheet name="Inc. Summary" sheetId="18" r:id="rId4"/>
    <sheet name="Notes" sheetId="38" r:id="rId5"/>
    <sheet name="Income Exp &amp; Avg, W2" sheetId="130" state="hidden" r:id="rId6"/>
    <sheet name="Inc. Exp, W2" sheetId="20" state="hidden" r:id="rId7"/>
    <sheet name="Inc. Exp, Other" sheetId="26" state="hidden" r:id="rId8"/>
    <sheet name="Income Averager" sheetId="145" state="hidden" r:id="rId9"/>
    <sheet name="Variable with Increase" sheetId="125" state="hidden" r:id="rId10"/>
    <sheet name="Assets as Income" sheetId="96" state="hidden" r:id="rId11"/>
    <sheet name="Int. &amp; Div. (sch B)" sheetId="98" state="hidden" r:id="rId12"/>
    <sheet name="30% of Income Calc." sheetId="111" state="hidden" r:id="rId13"/>
    <sheet name="RSU Income" sheetId="105" state="hidden" r:id="rId14"/>
    <sheet name="Capital Gains (sch D) Incomplet" sheetId="100" state="veryHidden" r:id="rId15"/>
    <sheet name="Drill Pay" sheetId="115" state="hidden" r:id="rId16"/>
    <sheet name="Drill Pay Chart" sheetId="116" state="hidden" r:id="rId17"/>
    <sheet name="1099 Non-Self Employed" sheetId="144" state="hidden" r:id="rId18"/>
    <sheet name="Rent Inc. (sch E)" sheetId="1" state="hidden" r:id="rId19"/>
    <sheet name="Add. Properties" sheetId="44" state="hidden" r:id="rId20"/>
    <sheet name="Sch C" sheetId="10" state="hidden" r:id="rId21"/>
    <sheet name="1065" sheetId="128" state="hidden" r:id="rId22"/>
    <sheet name="1120S" sheetId="129" state="hidden" r:id="rId23"/>
    <sheet name="1120" sheetId="15" state="hidden" r:id="rId24"/>
    <sheet name="Sch F" sheetId="16" state="hidden" r:id="rId25"/>
    <sheet name="Inv. Purchase or Refi" sheetId="103" state="hidden" r:id="rId26"/>
    <sheet name="Primary with Rent inc." sheetId="75" state="hidden" r:id="rId27"/>
    <sheet name="Owner Multi-Unit conv to Inv." sheetId="108" state="veryHidden" r:id="rId28"/>
    <sheet name="Residual Income Calc wkst" sheetId="78" state="hidden" r:id="rId29"/>
    <sheet name="Household Inc." sheetId="54" state="hidden" r:id="rId30"/>
    <sheet name="Employment History" sheetId="76" state="hidden" r:id="rId31"/>
    <sheet name="Business Liquidity" sheetId="77" state="hidden" r:id="rId32"/>
    <sheet name="Business Cash Flow" sheetId="79" state="hidden" r:id="rId33"/>
    <sheet name="FHA Self-Sufficiency" sheetId="86" state="hidden" r:id="rId34"/>
    <sheet name="MCC Income Credit" sheetId="99" state="hidden" r:id="rId35"/>
    <sheet name="New Worksheet Template" sheetId="113" state="veryHidden" r:id="rId36"/>
    <sheet name="QC - Assets" sheetId="30" state="hidden" r:id="rId37"/>
    <sheet name="QC - Credit &amp; Liabilities" sheetId="32" state="hidden" r:id="rId38"/>
  </sheets>
  <definedNames>
    <definedName name="_xleta.AND" hidden="1" xlm="1">#NAME?</definedName>
    <definedName name="_xleta.INT" hidden="1" xlm="1">#NAME?</definedName>
    <definedName name="_xleta.MATCH" hidden="1" xlm="1">#NAME?</definedName>
    <definedName name="_xleta.N" hidden="1" xlm="1">#NAME?</definedName>
    <definedName name="_xleta.T" hidden="1" xlm="1">#NAME?</definedName>
    <definedName name="AFIBLANK" localSheetId="10">'Assets as Income'!$V$80,'Assets as Income'!$X$80,'Assets as Income'!$Y$80,'Assets as Income'!$A$77:$AA$79,'Assets as Income'!$V$63:$X$65,'Assets as Income'!$V$29,'Assets as Income'!$Q$29,'Assets as Income'!$B$29,'Assets as Income'!$F$21,'Assets as Income'!$F$19,'Assets as Income'!$F$17,'Assets as Income'!$F$15,'Assets as Income'!$F$13,'Assets as Income'!$F$11,'Assets as Income'!$D$6</definedName>
    <definedName name="AFIFALSE" localSheetId="10">'Assets as Income'!$C$80:$C$82,'Assets as Income'!$D$80:$M$80,'Assets as Income'!$Y$81</definedName>
    <definedName name="AFIMONTHS" localSheetId="10">'Assets as Income'!$R$70</definedName>
    <definedName name="AFIOMIT" localSheetId="10">'Assets as Income'!$Y$81</definedName>
    <definedName name="APOmit" localSheetId="19">'Add. Properties'!$M$59:$M$61,'Add. Properties'!$N$59:$N$60</definedName>
    <definedName name="APOne" localSheetId="19">'Add. Properties'!$A$60:$E$60</definedName>
    <definedName name="APPer" localSheetId="19">'Add. Properties'!$F$29,'Add. Properties'!$F$20,'Add. Properties'!$F$11,'Add. Properties'!$F$38,'Add. Properties'!$F$47</definedName>
    <definedName name="APRange" localSheetId="19">'Add. Properties'!$B$8:$H$8,'Add. Properties'!$D$11,'Add. Properties'!$K$5,'Add. Properties'!$M$9,'Add. Properties'!$M$18,'Add. Properties'!$M$27,'Add. Properties'!$M$36,'Add. Properties'!$M$45,'Add. Properties'!$J$11:$K$11,'Add. Properties'!$A$14:$O$15,'Add. Properties'!$B$17:$H$17,'Add. Properties'!$D$20,'Add. Properties'!$J$20:$K$20,'Add. Properties'!$A$23:$O$24,'Add. Properties'!$B$26:$H$26,'Add. Properties'!$D$29,'Add. Properties'!$J$29:$K$29,'Add. Properties'!$A$32:$O$33,'Add. Properties'!$B$35:$H$35,'Add. Properties'!$D$38,'Add. Properties'!$J$38:$K$38,'Add. Properties'!$A$41:$O$42,'Add. Properties'!$B$44:$H$44,'Add. Properties'!$D$47,'Add. Properties'!$J$47:$K$47,'Add. Properties'!$A$50:$O$51,'Add. Properties'!$N$4,'Add. Properties'!$H$6:$I$6,'Add. Properties'!$B$8,'Add. Properties'!$D$11,'Add. Properties'!$J$11,'Add. Properties'!$A$14:$O$15,'Add. Properties'!$B$17,'Add. Properties'!$D$20,'Add. Properties'!$J$20,'Add. Properties'!$A$23:$O$24,'Add. Properties'!$B$26,'Add. Properties'!$D$29,'Add. Properties'!$J$29,'Add. Properties'!$A$32:$O$33,'Add. Properties'!$B$35,'Add. Properties'!$D$38,'Add. Properties'!$J$38,'Add. Properties'!$A$41:$O$42,'Add. Properties'!$B$44,'Add. Properties'!$D$47,'Add. Properties'!$J$47,'Add. Properties'!$A$50:$O$51</definedName>
    <definedName name="BLFalse" localSheetId="31">'Business Liquidity'!$K$53,'Business Liquidity'!$K$54:$L$54</definedName>
    <definedName name="BLRange" localSheetId="31">'Business Liquidity'!$J$10:$K$11,'Business Liquidity'!$J$54,'Business Liquidity'!$A$50:$L$51,'Business Liquidity'!$J$27:$K$31,'Business Liquidity'!$C$31,'Business Liquidity'!$C$21,'Business Liquidity'!$J$18:$K$21,'Business Liquidity'!$D$6</definedName>
    <definedName name="CFalse" localSheetId="23">'1120'!$M$62,'1120'!$M$63,'1120'!$N$64,'1120'!$L$62,'1120'!$R$10:$R$11</definedName>
    <definedName name="CFPer" localSheetId="32">'Business Cash Flow'!$H$42</definedName>
    <definedName name="CFRange" localSheetId="10">'Assets as Income'!$Z$82,'Assets as Income'!$A$77:$AA$79,'Assets as Income'!#REF!,'Assets as Income'!$E$22,'Assets as Income'!$C$22,'Assets as Income'!$V$11:$Y$15,'Assets as Income'!$D$8,'Assets as Income'!$D$6,'Assets as Income'!$O$20</definedName>
    <definedName name="CFRange" localSheetId="32">'Business Cash Flow'!$O$64,'Business Cash Flow'!$A$59:$P$61,'Business Cash Flow'!$M$39,'Business Cash Flow'!$E$21,'Business Cash Flow'!$C$21,'Business Cash Flow'!$M$11:$N$15,'Business Cash Flow'!$D$8,'Business Cash Flow'!$D$6,'Business Cash Flow'!$H$17</definedName>
    <definedName name="COmit" localSheetId="23">'1120'!$N$62</definedName>
    <definedName name="COne" localSheetId="23">'1120'!$M$64</definedName>
    <definedName name="CPer" localSheetId="23">'1120'!$J$35,'1120'!$M$35</definedName>
    <definedName name="CPLPer" localSheetId="23">'1120'!$Z$30,'1120'!$AF$30</definedName>
    <definedName name="CPLRange" localSheetId="23">'1120'!$Z$11,'1120'!$AC$11,'1120'!$Z$16:$AD$18,'1120'!$AF$16:$AJ$18,'1120'!$R$18,'1120'!$R$27:$V$28,'1120'!$Z$24:$AD$28,'1120'!$AF$24:$AJ$28,'1120'!$P$59:$AK$61</definedName>
    <definedName name="CRange" localSheetId="23">'1120'!$D$6:$H$6,'1120'!$D$8:$H$8,'1120'!$F$37:$G$37,'1120'!$J$14:$K$15,'1120'!$M$14:$N$15,'1120'!$C$15,'1120'!$J$21:$K$33,'1120'!$M$21:$N$33,'1120'!$C$33,'1120'!$F$44,'1120'!$B$48:$F$48,'1120'!$A$59:$O$61,'1120'!$N$2:$N$3</definedName>
    <definedName name="DateStamp" localSheetId="15">"Completed" &amp; " " &amp; TEXT(TODAY(),"mm-dd-yy")</definedName>
    <definedName name="DateStamp" localSheetId="35">"Completed" &amp; " " &amp; TEXT(TODAY(),"mm-dd-yy")</definedName>
    <definedName name="DateStamp">"Created" &amp; " " &amp; TEXT(TODAY(),"mm-dd-yy")</definedName>
    <definedName name="DPBlank" localSheetId="15">'Drill Pay'!$E$6,'Drill Pay'!$N$10,'Drill Pay'!$N$12,'Drill Pay'!$J$21,'Drill Pay'!$E$23,'Drill Pay'!$O$23,'Drill Pay'!$A$47</definedName>
    <definedName name="DPOmit" localSheetId="15">'Drill Pay'!$S$50</definedName>
    <definedName name="EAFalse" localSheetId="5">'Income Exp &amp; Avg, W2'!$D$110:$D$113,'Income Exp &amp; Avg, W2'!$X$109,'Income Exp &amp; Avg, W2'!$X$111</definedName>
    <definedName name="EAOmit" localSheetId="5">'Income Exp &amp; Avg, W2'!$M$110:$M$113</definedName>
    <definedName name="EAone" localSheetId="5">'Income Exp &amp; Avg, W2'!$S$111,'Income Exp &amp; Avg, W2'!$M$110,'Income Exp &amp; Avg, W2'!$M$111,'Income Exp &amp; Avg, W2'!$M$112,'Income Exp &amp; Avg, W2'!$M$113</definedName>
    <definedName name="EARange" localSheetId="5">'Income Exp &amp; Avg, W2'!$C$6:$K$6,'Income Exp &amp; Avg, W2'!$J$21,'Income Exp &amp; Avg, W2'!$X$24,'Income Exp &amp; Avg, W2'!$C$8:$K$8,'Income Exp &amp; Avg, W2'!$E$14:$I$14,'Income Exp &amp; Avg, W2'!$E$16:$I$16,'Income Exp &amp; Avg, W2'!$M$20:$R$20,'Income Exp &amp; Avg, W2'!$B$26:$D$26,'Income Exp &amp; Avg, W2'!$B$28:$D$28,'Income Exp &amp; Avg, W2'!$B$30:$D$30,'Income Exp &amp; Avg, W2'!$B$32:$D$32,'Income Exp &amp; Avg, W2'!$K$26,'Income Exp &amp; Avg, W2'!$C$41:$J$41,'Income Exp &amp; Avg, W2'!$B$45:$D$45,'Income Exp &amp; Avg, W2'!$B$47:$D$47,'Income Exp &amp; Avg, W2'!$B$49:$D$49,'Income Exp &amp; Avg, W2'!$C$58:$J$58,'Income Exp &amp; Avg, W2'!$B$62:$D$62,'Income Exp &amp; Avg, W2'!$B$64:$D$64,'Income Exp &amp; Avg, W2'!$B$66:$D$66,'Income Exp &amp; Avg, W2'!$C$75:$J$75,'Income Exp &amp; Avg, W2'!$B$79:$D$79,'Income Exp &amp; Avg, W2'!$B$81:$D$81,'Income Exp &amp; Avg, W2'!$B$83:$D$83,'Income Exp &amp; Avg, W2'!$A$105:$X$108,'Income Exp &amp; Avg, W2'!$B$38:$D$38,'Income Exp &amp; Avg, W2'!$B$53:$D$53,'Income Exp &amp; Avg, W2'!$B$70:$D$70,'Income Exp &amp; Avg, W2'!$B$87:$D$87</definedName>
    <definedName name="EHRange" localSheetId="30">'Employment History'!$C$4,'Employment History'!$C$6,'Employment History'!$B$9:$G$24</definedName>
    <definedName name="ERADATAFALSE" localSheetId="10">'Assets as Income'!$C$82,'Assets as Income'!$C$81,'Assets as Income'!$C$80:$M$80</definedName>
    <definedName name="FFalse" localSheetId="24">'Sch F'!$M$63,'Sch F'!$M$64,'Sch F'!$N$65,'Sch F'!$L$63,'Sch F'!$R$10:$R$12</definedName>
    <definedName name="FOmit" localSheetId="24">'Sch F'!$N$64</definedName>
    <definedName name="FPL" localSheetId="24">'Sch F'!$Z$10,'Sch F'!$AC$10,'Sch F'!$Z$16:$AD$20,'Sch F'!$AF$16:$AJ$20,'Sch F'!$R$19:$V$20,'Sch F'!$P$59:$AJ$62</definedName>
    <definedName name="FRange" localSheetId="24">'Sch F'!$D$6,'Sch F'!$D$8,'Sch F'!$J$12:$K$19,'Sch F'!$M$12:$N$19,'Sch F'!$C$19,'Sch F'!$F$25,'Sch F'!$B$29:$F$29,'Sch F'!$A$41:$O$46,'Sch F'!$N$2:$N$3</definedName>
    <definedName name="HIFalse" localSheetId="29">'Household Inc.'!$U$102,'Household Inc.'!$U$100,'Household Inc.'!$U$98,'Household Inc.'!$U$96,'Household Inc.'!$U$94,'Household Inc.'!$U$84,'Household Inc.'!$U$82,'Household Inc.'!$U$80,'Household Inc.'!$U$78,'Household Inc.'!$U$76,'Household Inc.'!$U$64,'Household Inc.'!$U$62,'Household Inc.'!$U$60,'Household Inc.'!$U$58,'Household Inc.'!$U$56,'Household Inc.'!$U$44,'Household Inc.'!$U$42,'Household Inc.'!$U$40,'Household Inc.'!$U$38,'Household Inc.'!$U$36,'Household Inc.'!$U$24,'Household Inc.'!$U$22,'Household Inc.'!$U$20,'Household Inc.'!$U$18,'Household Inc.'!$U$16</definedName>
    <definedName name="HIOne" localSheetId="29">'Household Inc.'!$G$16,'Household Inc.'!$G$18,'Household Inc.'!$G$20,'Household Inc.'!$G$22,'Household Inc.'!$G$24,'Household Inc.'!$G$36,'Household Inc.'!$G$38,'Household Inc.'!$G$40,'Household Inc.'!$G$42,'Household Inc.'!$G$44,'Household Inc.'!$G$56,'Household Inc.'!$G$58,'Household Inc.'!$G$60,'Household Inc.'!$G$62,'Household Inc.'!$G$64,'Household Inc.'!$G$76,'Household Inc.'!$G$78,'Household Inc.'!$G$80,'Household Inc.'!$G$82,'Household Inc.'!$G$84,'Household Inc.'!$G$94,'Household Inc.'!$G$96,'Household Inc.'!$G$98,'Household Inc.'!$G$100,'Household Inc.'!$G$102</definedName>
    <definedName name="HIRange" localSheetId="29">'Household Inc.'!$E$7:$K$7,'Household Inc.'!$M$84,'Household Inc.'!$D$102,'Household Inc.'!$D$100,'Household Inc.'!$D$98,'Household Inc.'!$D$96,'Household Inc.'!$D$94,'Household Inc.'!$I$94,'Household Inc.'!$I$96,'Household Inc.'!$I$98,'Household Inc.'!$I$100,'Household Inc.'!$I$102,'Household Inc.'!$M$102,'Household Inc.'!$M$100,'Household Inc.'!$M$98,'Household Inc.'!$M$96,'Household Inc.'!$M$94,'Household Inc.'!$M$82,'Household Inc.'!$M$80,'Household Inc.'!$M$78,'Household Inc.'!$M$76,'Household Inc.'!$I$76,'Household Inc.'!$G$72,'Household Inc.'!$D$76,'Household Inc.'!$D$78,'Household Inc.'!$D$80,'Household Inc.'!$D$82,'Household Inc.'!$D$84,'Household Inc.'!$I$84,'Household Inc.'!$I$82,'Household Inc.'!$I$80,'Household Inc.'!$I$78,'Household Inc.'!$I$56,'Household Inc.'!$I$58,'Household Inc.'!$I$60,'Household Inc.'!$I$62,'Household Inc.'!$I$64,'Household Inc.'!$M$56,'Household Inc.'!$M$58,'Household Inc.'!$M$60,'Household Inc.'!$M$62,'Household Inc.'!$M$64,'Household Inc.'!$D$64,'Household Inc.'!$D$62,'Household Inc.'!$D$60,'Household Inc.'!$D$58,'Household Inc.'!$D$56,'Household Inc.'!$D$36,'Household Inc.'!$D$38,'Household Inc.'!$D$40,'Household Inc.'!$D$42,'Household Inc.'!$D$44,'Household Inc.'!$I$44,'Household Inc.'!$I$42,'Household Inc.'!$I$40,'Household Inc.'!$I$38,'Household Inc.'!$I$36,'Household Inc.'!$M$36,'Household Inc.'!$M$38,'Household Inc.'!$M$42,'Household Inc.'!$M$40,'Household Inc.'!$M$44,'Household Inc.'!$G$32,'Household Inc.'!$D$24,'Household Inc.'!$D$22,'Household Inc.'!$D$20,'Household Inc.'!$D$18,'Household Inc.'!$D$16,'Household Inc.'!$G$12,'Household Inc.'!$I$16,'Household Inc.'!$I$18,'Household Inc.'!$I$20,'Household Inc.'!$I$22,'Household Inc.'!$I$24,'Household Inc.'!$M$16,'Household Inc.'!$M$18,'Household Inc.'!$M$20,'Household Inc.'!$M$22,'Household Inc.'!$M$24,'Household Inc.'!$G$108,'Household Inc.'!$G$110,'Household Inc.'!$G$112,'Household Inc.'!$G$114,'Household Inc.'!$D$120:$U$125</definedName>
    <definedName name="IALFalse" localSheetId="8">'Income Averager'!$T$84:$T$86,'Income Averager'!$V$86</definedName>
    <definedName name="IALOmit" localSheetId="8">'Income Averager'!$V$86</definedName>
    <definedName name="IALRange" localSheetId="8">'Income Averager'!$A$81:$W$83,'Income Averager'!$I$64:$J$64,'Income Averager'!$A$17:$I$17,'Income Averager'!$A$19:$I$19,'Income Averager'!$A$21:$I$21,'Income Averager'!$A$23:$I$23,'Income Averager'!$A$25:$I$25,'Income Averager'!$A$27:$I$27,'Income Averager'!$A$47:$I$47,'Income Averager'!$A$49:$I$49,'Income Averager'!$A$51:$I$51,'Income Averager'!$A$53:$I$53,'Income Averager'!$A$55:$I$55,'Income Averager'!$A$57:$I$57,'Income Averager'!$L$17:$N$17,'Income Averager'!$L$19:$N$19,'Income Averager'!$L$21:$N$21,'Income Averager'!$L$23:$N$23,'Income Averager'!$L$25:$N$25,'Income Averager'!$L$27:$N$27,'Income Averager'!$L$47:$N$47,'Income Averager'!$L$49:$N$49,'Income Averager'!$L$51:$N$51,'Income Averager'!$L$53:$N$53,'Income Averager'!$L$55:$N$55,'Income Averager'!$L$57:$N$57,'Income Averager'!$P$57:$R$57,'Income Averager'!$P$55:$R$55,'Income Averager'!$P$53:$R$53,'Income Averager'!$P$51:$R$51,'Income Averager'!$P$49:$R$49,'Income Averager'!$P$47:$R$47,'Income Averager'!$P$27:$R$27,'Income Averager'!$P$25:$R$25,'Income Averager'!$P$23:$R$23,'Income Averager'!$P$21:$R$21,'Income Averager'!$P$19:$R$19,'Income Averager'!$P$17:$R$17,'Income Averager'!$T$17:$V$17,'Income Averager'!$T$19:$V$19,'Income Averager'!$T$21:$V$21,'Income Averager'!$T$23:$V$23,'Income Averager'!$T$25:$V$25,'Income Averager'!$T$27:$V$27,'Income Averager'!$T$47:$V$47,'Income Averager'!$T$49:$V$49,'Income Averager'!$T$51:$V$51,'Income Averager'!$T$53:$V$53,'Income Averager'!$T$55:$V$55,'Income Averager'!$T$57:$V$57,'Income Averager'!$L$12,'Income Averager'!$N$12,'Income Averager'!$P$12,'Income Averager'!$R$12,'Income Averager'!$T$12,'Income Averager'!$V$12,'Income Averager'!$C$8:$J$8,'Income Averager'!$C$6:$J$6</definedName>
    <definedName name="IALRange2" localSheetId="8">'Income Averager'!$A$29,'Income Averager'!$A$31,'Income Averager'!$A$33,'Income Averager'!$A$35,'Income Averager'!$A$37,'Income Averager'!$A$39,'Income Averager'!$A$41,'Income Averager'!$A$43,'Income Averager'!$A$45,'Income Averager'!$L$29,'Income Averager'!$L$31,'Income Averager'!$L$33,'Income Averager'!$L$35,'Income Averager'!$L$37,'Income Averager'!$L$39,'Income Averager'!$L$41,'Income Averager'!$L$43,'Income Averager'!$L$45,'Income Averager'!$P$29,'Income Averager'!$P$31,'Income Averager'!$P$33,'Income Averager'!$P$35,'Income Averager'!$P$37,'Income Averager'!$P$39,'Income Averager'!$P$41,'Income Averager'!$P$43,'Income Averager'!$P$45,'Income Averager'!$T$29,'Income Averager'!$T$31,'Income Averager'!$T$33,'Income Averager'!$T$35,'Income Averager'!$T$37,'Income Averager'!$T$39,'Income Averager'!$T$41,'Income Averager'!$T$43,'Income Averager'!$T$45</definedName>
    <definedName name="IDBFalse" localSheetId="14">'Capital Gains (sch D) Incomplet'!$U$68:$U$70,'Capital Gains (sch D) Incomplet'!$W$70</definedName>
    <definedName name="IDBFalse" localSheetId="11">'Int. &amp; Div. (sch B)'!$U$65:$U$67,'Int. &amp; Div. (sch B)'!$W$67</definedName>
    <definedName name="IDBOmit" localSheetId="14">'Capital Gains (sch D) Incomplet'!$W$70</definedName>
    <definedName name="IDBOmit" localSheetId="11">'Int. &amp; Div. (sch B)'!$W$67</definedName>
    <definedName name="IDBRange" localSheetId="14">'Capital Gains (sch D) Incomplet'!$D$6,'Capital Gains (sch D) Incomplet'!#REF!,'Capital Gains (sch D) Incomplet'!$C$20,'Capital Gains (sch D) Incomplet'!$M$16,'Capital Gains (sch D) Incomplet'!$Q$16,'Capital Gains (sch D) Incomplet'!$U$16,'Capital Gains (sch D) Incomplet'!#REF!,'Capital Gains (sch D) Incomplet'!$M$20,'Capital Gains (sch D) Incomplet'!$Q$20,'Capital Gains (sch D) Incomplet'!$U$20,'Capital Gains (sch D) Incomplet'!$J$30,'Capital Gains (sch D) Incomplet'!$Q$48,'Capital Gains (sch D) Incomplet'!$Q$50,'Capital Gains (sch D) Incomplet'!$A$60:$X$67,'Capital Gains (sch D) Incomplet'!$W$69</definedName>
    <definedName name="IDBRange" localSheetId="11">'Int. &amp; Div. (sch B)'!$X$66,'Int. &amp; Div. (sch B)'!$D$6,'Int. &amp; Div. (sch B)'!$O$11,'Int. &amp; Div. (sch B)'!$C$16,'Int. &amp; Div. (sch B)'!$M$16,'Int. &amp; Div. (sch B)'!$Q$16,'Int. &amp; Div. (sch B)'!$U$16,'Int. &amp; Div. (sch B)'!$C$18,'Int. &amp; Div. (sch B)'!$M$18,'Int. &amp; Div. (sch B)'!$Q$18,'Int. &amp; Div. (sch B)'!$U$18,'Int. &amp; Div. (sch B)'!$J$27,'Int. &amp; Div. (sch B)'!$Q$45,'Int. &amp; Div. (sch B)'!$Q$47,'Int. &amp; Div. (sch B)'!$A$57:$X$64,'Int. &amp; Div. (sch B)'!$W$66</definedName>
    <definedName name="IDRange" localSheetId="1">'I&amp;D Worksheet'!$D$5:$G$5,'I&amp;D Worksheet'!$L$5:$M$5,'I&amp;D Worksheet'!$J$8:$N$8,'I&amp;D Worksheet'!$M$10:$N$10,'I&amp;D Worksheet'!$E$21:$E$28,'I&amp;D Worksheet'!$F$21:$I$28,'I&amp;D Worksheet'!$E$40,'I&amp;D Worksheet'!$H$45:$I$45,'I&amp;D Worksheet'!$L$45:$N$45,'I&amp;D Worksheet'!$B$48:$N$52,'I&amp;D Worksheet'!$B$55:$N$59,'I&amp;D Worksheet'!$A$63:$O$65,'I&amp;D Worksheet'!$M$70,'I&amp;D Worksheet'!$N$70,'I&amp;D Worksheet'!$D$5,'I&amp;D Worksheet'!$L$5,'I&amp;D Worksheet'!$J$8,'I&amp;D Worksheet'!$M$10,'I&amp;D Worksheet'!$E$21:$E$28,'I&amp;D Worksheet'!$F$21:$I$28,'I&amp;D Worksheet'!$E$40,'I&amp;D Worksheet'!$H$45,'I&amp;D Worksheet'!$L$45,'I&amp;D Worksheet'!$B$48:$N$52,'I&amp;D Worksheet'!$B$55:$N$59,'I&amp;D Worksheet'!$A$63:$O$65,'I&amp;D Worksheet'!$M$70,'I&amp;D Worksheet'!$N$70</definedName>
    <definedName name="IEFalse" localSheetId="6">'Inc. Exp, W2'!$L$67,'Inc. Exp, W2'!$L$66</definedName>
    <definedName name="IEOne" localSheetId="6">'Inc. Exp, W2'!$A$64:$A$67,'Inc. Exp, W2'!$B$64,'Inc. Exp, W2'!$C$64:$C$67,'Inc. Exp, W2'!$D$64</definedName>
    <definedName name="IERange" localSheetId="6">'Inc. Exp, W2'!$H$13,'Inc. Exp, W2'!$H$15,'Inc. Exp, W2'!$H$17,'Inc. Exp, W2'!$H$19,'Inc. Exp, W2'!$H$21,'Inc. Exp, W2'!$H$42,'Inc. Exp, W2'!$H$44,'Inc. Exp, W2'!$H$46,'Inc. Exp, W2'!$H$48,'Inc. Exp, W2'!$H$50,'Inc. Exp, W2'!$C$7,'Inc. Exp, W2'!$C$9,'Inc. Exp, W2'!$D$13,'Inc. Exp, W2'!$D$15,'Inc. Exp, W2'!$D$17,'Inc. Exp, W2'!$D$19,'Inc. Exp, W2'!$D$21,'Inc. Exp, W2'!$A$30:$L$32,'Inc. Exp, W2'!$C$37,'Inc. Exp, W2'!$C$39,'Inc. Exp, W2'!$D$42,'Inc. Exp, W2'!$D$44,'Inc. Exp, W2'!$D$46,'Inc. Exp, W2'!$D$48,'Inc. Exp, W2'!$D$50,'Inc. Exp, W2'!$A$59:$L$61</definedName>
    <definedName name="IOOmit" localSheetId="7">'Inc. Exp, Other'!$K$55,'Inc. Exp, Other'!$M$55</definedName>
    <definedName name="IOOne" localSheetId="7">'Inc. Exp, Other'!$K$56,'Inc. Exp, Other'!$M$56,'Inc. Exp, Other'!$M$57,'Inc. Exp, Other'!$K$57</definedName>
    <definedName name="IORange" localSheetId="7">'Inc. Exp, Other'!$C$33:$G$33,'Inc. Exp, Other'!$C$35:$G$35,'Inc. Exp, Other'!$A$50:$N$52,'Inc. Exp, Other'!$I$43,'Inc. Exp, Other'!$I$42,'Inc. Exp, Other'!$G$38,'Inc. Exp, Other'!$B$38,'Inc. Exp, Other'!$I$17:$I$18,'Inc. Exp, Other'!$A$25:$N$27,'Inc. Exp, Other'!$G$13,'Inc. Exp, Other'!$B$13,'Inc. Exp, Other'!$C$10,'Inc. Exp, Other'!$C$8</definedName>
    <definedName name="IPRRange" localSheetId="25">'Inv. Purchase or Refi'!$C$21:$D$21,'Inv. Purchase or Refi'!$D$7:$H$7,'Inv. Purchase or Refi'!$M$9:$O$9,'Inv. Purchase or Refi'!$L$11,'Inv. Purchase or Refi'!$L$13,'Inv. Purchase or Refi'!$J$28:$K$35,'Inv. Purchase or Refi'!$N$28:$Q$35,'Inv. Purchase or Refi'!$E$35:$H$35,'Inv. Purchase or Refi'!$F$42,'Inv. Purchase or Refi'!$B$46:$F$46,'Inv. Purchase or Refi'!$A$69:$R$72,'Inv. Purchase or Refi'!$M$75,'Inv. Purchase or Refi'!$Q$75,'Inv. Purchase or Refi'!$Q$74,'Inv. Purchase or Refi'!$C$21:$D$21,'Inv. Purchase or Refi'!$D$7:$H$7,'Inv. Purchase or Refi'!$M$9:$O$9,'Inv. Purchase or Refi'!$L$11,'Inv. Purchase or Refi'!$L$13,'Inv. Purchase or Refi'!$J$28:$K$35,'Inv. Purchase or Refi'!$N$28:$Q$35,'Inv. Purchase or Refi'!$E$35:$H$35,'Inv. Purchase or Refi'!$F$42,'Inv. Purchase or Refi'!$B$46:$F$46,'Inv. Purchase or Refi'!$A$69:$R$72,'Inv. Purchase or Refi'!$M$75,'Inv. Purchase or Refi'!$R$73,'Inv. Purchase or Refi'!$Q$11:$R$11,'Inv. Purchase or Refi'!$Q$75</definedName>
    <definedName name="ISRange" localSheetId="3">'Inc. Summary'!$C$28,'Inc. Summary'!$F$28,'Inc. Summary'!$C$30,'Inc. Summary'!$F$30,'Inc. Summary'!$J$28,'Inc. Summary'!$J$30,'Inc. Summary'!$C$94,'Inc. Summary'!$C$96,'Inc. Summary'!$F$94,'Inc. Summary'!$F$96,'Inc. Summary'!$J$94,'Inc. Summary'!$J$96,'Inc. Summary'!$C$104,'Inc. Summary'!$C$106,'Inc. Summary'!$J$104,'Inc. Summary'!$J$106,'Inc. Summary'!$C$132,'Inc. Summary'!$C$134,'Inc. Summary'!$F$132,'Inc. Summary'!$F$134,'Inc. Summary'!$J$132,'Inc. Summary'!$J$134,'Inc. Summary'!$C$153,'Inc. Summary'!$C$155,'Inc. Summary'!$F$153,'Inc. Summary'!$F$155,'Inc. Summary'!$J$153,'Inc. Summary'!$J$155,'Inc. Summary'!$C$174,'Inc. Summary'!$C$176,'Inc. Summary'!$F$174,'Inc. Summary'!$F$176,'Inc. Summary'!$J$174,'Inc. Summary'!$J$176,'Inc. Summary'!$C$195,'Inc. Summary'!$C$197,'Inc. Summary'!$F$195,'Inc. Summary'!$F$197,'Inc. Summary'!$J$195,'Inc. Summary'!$J$197,'Inc. Summary'!$J$204,'Inc. Summary'!$J$206,'Inc. Summary'!$F$206,'Inc. Summary'!$F$204,'Inc. Summary'!$C$206,'Inc. Summary'!$C$204,'Inc. Summary'!$A$213:$M$217</definedName>
    <definedName name="MCCFalse" localSheetId="12">'30% of Income Calc.'!$O$53:$O$55</definedName>
    <definedName name="MCCFalse" localSheetId="34">'MCC Income Credit'!$O$60:$O$62</definedName>
    <definedName name="MCCOmit" localSheetId="12">'30% of Income Calc.'!$O$54</definedName>
    <definedName name="MCCOmit" localSheetId="34">'MCC Income Credit'!$O$61</definedName>
    <definedName name="MCCRange" localSheetId="12">'30% of Income Calc.'!$E$7:$H$7,'30% of Income Calc.'!$L$14:$N$14,'30% of Income Calc.'!$A$49:$P$52</definedName>
    <definedName name="MCCRange" localSheetId="34">'MCC Income Credit'!$E$7:$H$7,'MCC Income Credit'!$L$12:$N$12,'MCC Income Credit'!$A$56:$P$59</definedName>
    <definedName name="MCCZero" localSheetId="12">'30% of Income Calc.'!$K$16:$K$16,'30% of Income Calc.'!#REF!</definedName>
    <definedName name="MCCZero" localSheetId="34">'MCC Income Credit'!$K$14:$L$14,'MCC Income Credit'!$K$18:$L$18</definedName>
    <definedName name="NotesRange" localSheetId="4">Notes!$A$8:$M$19,Notes!$A$22:$M$33,Notes!$A$36:$M$47,Notes!$A$50:$M$61</definedName>
    <definedName name="NSEFALSE" localSheetId="17">'1099 Non-Self Employed'!$U$103:$U$105,'1099 Non-Self Employed'!$W$105,'1099 Non-Self Employed'!$W$103,'1099 Non-Self Employed'!$W$104</definedName>
    <definedName name="NSEOmit" localSheetId="17">'1099 Non-Self Employed'!$W$105</definedName>
    <definedName name="NSERange" localSheetId="17">'1099 Non-Self Employed'!$D$6,'1099 Non-Self Employed'!$D$8,'1099 Non-Self Employed'!$S$17,'1099 Non-Self Employed'!$S$20,'1099 Non-Self Employed'!$S$21,'1099 Non-Self Employed'!$S$22,'1099 Non-Self Employed'!$S$23,'1099 Non-Self Employed'!$S$24,'1099 Non-Self Employed'!$S$27,'1099 Non-Self Employed'!$S$28,'1099 Non-Self Employed'!$S$31,'1099 Non-Self Employed'!$E$28,'1099 Non-Self Employed'!$O$46,'1099 Non-Self Employed'!$B$51,'1099 Non-Self Employed'!$B$53,'1099 Non-Self Employed'!$B$55,'1099 Non-Self Employed'!$B$57,'1099 Non-Self Employed'!$B$59,'1099 Non-Self Employed'!$B$61,'1099 Non-Self Employed'!$B$63,'1099 Non-Self Employed'!$B$65,'1099 Non-Self Employed'!$B$67,'1099 Non-Self Employed'!$B$69,'1099 Non-Self Employed'!$B$71,'1099 Non-Self Employed'!$B$73,'1099 Non-Self Employed'!$M$51,'1099 Non-Self Employed'!$Q$51,'1099 Non-Self Employed'!$U$51,'1099 Non-Self Employed'!$M$53,'1099 Non-Self Employed'!$Q$53,'1099 Non-Self Employed'!$U$53,'1099 Non-Self Employed'!$M$55,'1099 Non-Self Employed'!$Q$55,'1099 Non-Self Employed'!$U$55,'1099 Non-Self Employed'!$M$57,'1099 Non-Self Employed'!$Q$57,'1099 Non-Self Employed'!$U$57,'1099 Non-Self Employed'!$M$59,'1099 Non-Self Employed'!$Q$59,'1099 Non-Self Employed'!$U$59,'1099 Non-Self Employed'!$M$61,'1099 Non-Self Employed'!$Q$61,'1099 Non-Self Employed'!$U$61,'1099 Non-Self Employed'!$M$63,'1099 Non-Self Employed'!$Q$63,'1099 Non-Self Employed'!$U$63,'1099 Non-Self Employed'!$M$65,'1099 Non-Self Employed'!$Q$65,'1099 Non-Self Employed'!$U$65,'1099 Non-Self Employed'!$M$67,'1099 Non-Self Employed'!$Q$67,'1099 Non-Self Employed'!$U$67,'1099 Non-Self Employed'!$M$69,'1099 Non-Self Employed'!$Q$69,'1099 Non-Self Employed'!$U$69,'1099 Non-Self Employed'!$M$71,'1099 Non-Self Employed'!$Q$71,'1099 Non-Self Employed'!$U$71,'1099 Non-Self Employed'!$M$73,'1099 Non-Self Employed'!$Q$73,'1099 Non-Self Employed'!$U$73,'1099 Non-Self Employed'!$J$84,'1099 Non-Self Employed'!$A$100,'1099 Non-Self Employed'!$M$40:$R$40</definedName>
    <definedName name="OMSSRange" localSheetId="33">'FHA Self-Sufficiency'!$D$7:$H$7,'FHA Self-Sufficiency'!$A$63:$O$66,'FHA Self-Sufficiency'!$K$15:$M$15,'FHA Self-Sufficiency'!$I$21:$K$21,'FHA Self-Sufficiency'!$K$34:$M$34</definedName>
    <definedName name="OMSSRange" localSheetId="27">'Owner Multi-Unit conv to Inv.'!#REF!,'Owner Multi-Unit conv to Inv.'!#REF!,'Owner Multi-Unit conv to Inv.'!#REF!,'Owner Multi-Unit conv to Inv.'!#REF!</definedName>
    <definedName name="OMSSRange" localSheetId="26">'Primary with Rent inc.'!$R$71:$AF$74,'Primary with Rent inc.'!$AB$23:$AD$23,'Primary with Rent inc.'!$Z$29:$AB$29,'Primary with Rent inc.'!$O$13,'Primary with Rent inc.'!$AB$42:$AD$42</definedName>
    <definedName name="OMSSZERO" localSheetId="33">'FHA Self-Sufficiency'!$O$69</definedName>
    <definedName name="OMSSZERO" localSheetId="27">'Owner Multi-Unit conv to Inv.'!#REF!</definedName>
    <definedName name="OMSSZERO" localSheetId="26">'Primary with Rent inc.'!$AF$77</definedName>
    <definedName name="OMURange" localSheetId="33">'FHA Self-Sufficiency'!#REF!,'FHA Self-Sufficiency'!#REF!,'FHA Self-Sufficiency'!#REF!,'FHA Self-Sufficiency'!#REF!,'FHA Self-Sufficiency'!#REF!,'FHA Self-Sufficiency'!#REF!,'FHA Self-Sufficiency'!#REF!,'FHA Self-Sufficiency'!#REF!,'FHA Self-Sufficiency'!#REF!,'FHA Self-Sufficiency'!#REF!,'FHA Self-Sufficiency'!#REF!,'FHA Self-Sufficiency'!#REF!,'FHA Self-Sufficiency'!#REF!,'FHA Self-Sufficiency'!#REF!,'FHA Self-Sufficiency'!#REF!</definedName>
    <definedName name="OMURange" localSheetId="27">'Owner Multi-Unit conv to Inv.'!$K$52:$L$55,'Owner Multi-Unit conv to Inv.'!$D$7:$H$7,'Owner Multi-Unit conv to Inv.'!$L$9,'Owner Multi-Unit conv to Inv.'!$K$11,'Owner Multi-Unit conv to Inv.'!$K$12,'Owner Multi-Unit conv to Inv.'!$C$18:$D$18,'Owner Multi-Unit conv to Inv.'!$C$20:$D$20,'Owner Multi-Unit conv to Inv.'!$J$27:$K$34,'Owner Multi-Unit conv to Inv.'!$M$27:$N$34,'Owner Multi-Unit conv to Inv.'!$D$34:$H$34,'Owner Multi-Unit conv to Inv.'!$F$41,'Owner Multi-Unit conv to Inv.'!$B$45:$F$45,'Owner Multi-Unit conv to Inv.'!$A$68:$O$71,'Owner Multi-Unit conv to Inv.'!$N$73,'Owner Multi-Unit conv to Inv.'!$N$74,'Owner Multi-Unit conv to Inv.'!$M$74,'Owner Multi-Unit conv to Inv.'!$L$74:$L$75,'Owner Multi-Unit conv to Inv.'!$L$74</definedName>
    <definedName name="OMURange" localSheetId="26">'Primary with Rent inc.'!$K$55:$L$58,'Primary with Rent inc.'!$D$7:$H$7,'Primary with Rent inc.'!$L$9,'Primary with Rent inc.'!$K$13,'Primary with Rent inc.'!$K$15,'Primary with Rent inc.'!$C$23:$D$23,'Primary with Rent inc.'!$J$30:$K$37,'Primary with Rent inc.'!$M$30:$O$37,'Primary with Rent inc.'!$E$37:$H$37,'Primary with Rent inc.'!$F$44,'Primary with Rent inc.'!$B$48:$F$48,'Primary with Rent inc.'!$A$71:$P$74,'Primary with Rent inc.'!$O$76,'Primary with Rent inc.'!$O$77,'Primary with Rent inc.'!$M$77,'Primary with Rent inc.'!$L$77:$L$78,'Primary with Rent inc.'!$O$13,'Primary with Rent inc.'!$P$75,'Primary with Rent inc.'!$L$77,'Primary with Rent inc.'!$L$11</definedName>
    <definedName name="PFalse" localSheetId="21">'1065'!$M$69,'1065'!$M$70,'1065'!$N$71,'1065'!$L$69,'1065'!$R$10:$R$11</definedName>
    <definedName name="POmit" localSheetId="21">'1065'!$N$70</definedName>
    <definedName name="PPer" localSheetId="21">'1065'!$J$37,'1065'!$M$37</definedName>
    <definedName name="PPL" localSheetId="21">'1065'!$M$33,'1065'!$Z$11,'1065'!$AC$11,'1065'!$Z$17,'1065'!$AF$17,'1065'!$Z$19,'1065'!$AF$19,'1065'!$R$19,'1065'!$Z$26:$AD$30,'1065'!$AF$26:$AJ$30,'1065'!$R$29:$V$30,'1065'!$P$67:$AK$68</definedName>
    <definedName name="PPLPer" localSheetId="21">'1065'!$Z$32,'1065'!$AF$32</definedName>
    <definedName name="PRange" localSheetId="21">'1065'!$D$6,'1065'!$D$8,'1065'!$J$11:$K$13,'1065'!$M$11:$N$13,'1065'!$C$13,'1065'!$J$16:$K$19,'1065'!$M$16:$N$19,'1065'!$C$19,'1065'!$J$26:$K$35,'1065'!$K$43:$L$43,'1065'!$M$26:$N$35,'1065'!$C$35,'1065'!$F$52,'1065'!$B$56:$F$56,'1065'!$A$66:$O$68,'1065'!$J$45:$K$45,'1065'!$M$45:$N$45,'1065'!$N$2:$N$3</definedName>
    <definedName name="_xlnm.Print_Area" localSheetId="1">'I&amp;D Worksheet'!$A$1:$P$75</definedName>
    <definedName name="QCAFalse" localSheetId="36">'QC - Assets'!$E$62:$E$69,'QC - Assets'!$C$62:$D$73</definedName>
    <definedName name="QCAOne" localSheetId="36">'QC - Assets'!$G$62:$G$69</definedName>
    <definedName name="QCARange" localSheetId="36">'QC - Assets'!$E$4,'QC - Assets'!$K$4,'QC - Assets'!$L$7,'QC - Assets'!$J$7,'QC - Assets'!$D$7,'QC - Assets'!$G$10,'QC - Assets'!$G$17,'QC - Assets'!$D$14,'QC - Assets'!$J$14,'QC - Assets'!$L$14,'QC - Assets'!$J$21,'QC - Assets'!$L$21,'QC - Assets'!$D$21,'QC - Assets'!$G$24,'QC - Assets'!$D$35,'QC - Assets'!$J$35,'QC - Assets'!$G$31,'QC - Assets'!$J$28,'QC - Assets'!$L$28,'QC - Assets'!$D$28,'QC - Assets'!$L$35,'QC - Assets'!$G$38,'QC - Assets'!$L$42,'QC - Assets'!$J$42,'QC - Assets'!$D$42,'QC - Assets'!$G$45,'QC - Assets'!$D$49,'QC - Assets'!$J$49,'QC - Assets'!$L$49,'QC - Assets'!$G$52,'QC - Assets'!$L$56,'QC - Assets'!$J$56,'QC - Assets'!$G$59,'QC - Assets'!$D$56</definedName>
    <definedName name="QCCFalse" localSheetId="37">'QC - Credit &amp; Liabilities'!$K$58:$N$59</definedName>
    <definedName name="QCCRange" localSheetId="37">'QC - Credit &amp; Liabilities'!$D$6,'QC - Credit &amp; Liabilities'!$K$6,'QC - Credit &amp; Liabilities'!$B$13:$M$22,'QC - Credit &amp; Liabilities'!$B$28:$M$37,'QC - Credit &amp; Liabilities'!$A$52:$N$56</definedName>
    <definedName name="RentFalse" localSheetId="18">'Rent Inc. (sch E)'!$M$75,'Rent Inc. (sch E)'!$Q$75,'Rent Inc. (sch E)'!$Q$74,'Rent Inc. (sch E)'!$P$75,'Rent Inc. (sch E)'!$N$73:$N$75</definedName>
    <definedName name="RentMisc" localSheetId="18">'Rent Inc. (sch E)'!$C$47:$G$47</definedName>
    <definedName name="RentOmit" localSheetId="18">'Rent Inc. (sch E)'!$P$74</definedName>
    <definedName name="RentRange" localSheetId="18">'Rent Inc. (sch E)'!$M$47:$N$47,'Rent Inc. (sch E)'!$M$9:$N$9,'Rent Inc. (sch E)'!$H$11:$J$11,'Rent Inc. (sch E)'!$J$13:$K$13,'Rent Inc. (sch E)'!$L$15:$M$15,'Rent Inc. (sch E)'!$B$5,'Rent Inc. (sch E)'!$J$20:$L$27,'Rent Inc. (sch E)'!$N$20:$P$27,'Rent Inc. (sch E)'!$E$27,'Rent Inc. (sch E)'!$F$33,'Rent Inc. (sch E)'!$B$37:$F$37,'Rent Inc. (sch E)'!$M$43:$N$46,'Rent Inc. (sch E)'!$A$59:$Q$61</definedName>
    <definedName name="RIOne" localSheetId="28">'Residual Income Calc wkst'!$M$67:$N$67</definedName>
    <definedName name="RIRange" localSheetId="28">'Residual Income Calc wkst'!$A$55:$O$56,'Residual Income Calc wkst'!$J$39,'Residual Income Calc wkst'!$M$32,'Residual Income Calc wkst'!$F$30,'Residual Income Calc wkst'!$J$20:$K$25,'Residual Income Calc wkst'!$J$14:$K$16,'Residual Income Calc wkst'!$M$11,'Residual Income Calc wkst'!$M$9,'Residual Income Calc wkst'!$D$5</definedName>
    <definedName name="RSUBlank" localSheetId="13">'RSU Income'!$C$6:$F$6,'RSU Income'!$E$10:$G$10,'RSU Income'!$I$33:$J$33,'RSU Income'!$I$42:$J$42,'RSU Income'!$I$45:$J$45,'RSU Income'!$A$80:$K$82</definedName>
    <definedName name="RSUFALSE" localSheetId="13">'RSU Income'!$K$83,'RSU Income'!$J$84,'RSU Income'!$J$85</definedName>
    <definedName name="RSUOmit" localSheetId="13">'RSU Income'!$J$85</definedName>
    <definedName name="RSUZERO" localSheetId="13">'RSU Income'!$K$84,'RSU Income'!$K$85</definedName>
    <definedName name="SchCFalse" localSheetId="20">'Sch C'!$M$68,'Sch C'!$N$68:$N$69,'Sch C'!$M$69</definedName>
    <definedName name="SchCPL" localSheetId="20">'Sch C'!$Z$11,'Sch C'!$AC$11,'Sch C'!$Z$16,'Sch C'!$Z$17,'Sch C'!$Z$18,'Sch C'!$Z$19,'Sch C'!$Z$20,'Sch C'!$AF$16,'Sch C'!$AF$17,'Sch C'!$AF$18,'Sch C'!$AF$19,'Sch C'!$AF$20,'Sch C'!$R$19,'Sch C'!$R$20,'Sch C'!$P$62:$AK$65,'Sch C'!$P$1</definedName>
    <definedName name="SchCRange" localSheetId="20">'Sch C'!$N$2,'Sch C'!$D$6:$H$6,'Sch C'!$D$8:$H$8,'Sch C'!$J$11:$K$16,'Sch C'!$M$11:$N$16,'Sch C'!$J$19:$K$19,'Sch C'!$M$19:$N$19,'Sch C'!$J$22:$K$22,'Sch C'!$J$23:$K$23,'Sch C'!$M$22:$N$22,'Sch C'!$M$23:$N$23,'Sch C'!$C$23:$G$23,'Sch C'!$F$29,'Sch C'!$B$33:$F$33,'Sch C'!$A$43:$O$45</definedName>
    <definedName name="SFalse" localSheetId="22">'1120S'!$M$68,'1120S'!$M$69,'1120S'!$N$70,'1120S'!$L$68,'1120S'!$R$11:$R$12</definedName>
    <definedName name="SOmit" localSheetId="22">'1120S'!$N$69</definedName>
    <definedName name="SPer" localSheetId="22">'1120S'!$J$35,'1120S'!$M$35</definedName>
    <definedName name="SPLPer" localSheetId="22">'1120S'!$Z$30,'1120S'!$AF$30</definedName>
    <definedName name="SPLRange" localSheetId="22">'1120S'!$Z$11,'1120S'!$AC$11,'1120S'!$Z$16:$AD$18,'1120S'!$AF$16:$AJ$18,'1120S'!$R$18,'1120S'!$R$27:$V$28,'1120S'!$Z$24:$AD$28,'1120S'!$AF$24:$AJ$28,'1120S'!$P$66:$AK$67</definedName>
    <definedName name="SRange" localSheetId="22">'1120S'!$D$6,'1120S'!$D$8,'1120S'!$J$11:$K$13,'1120S'!$M$11:$N$13,'1120S'!$C$13,'1120S'!$C$18,'1120S'!$J$16:$K$18,'1120S'!$M$16:$N$18,'1120S'!$J$25:$K$33,'1120S'!$M$25:$N$33,'1120S'!$C$33,'1120S'!$F$49,'1120S'!$B$53:$F$53,'1120S'!$A$65:$O$67,'1120S'!$K$40:$L$40,'1120S'!$J$42:$K$42,'1120S'!$M$42:$N$42,'1120S'!$N$2:$N$3</definedName>
    <definedName name="thirtypercentblank" localSheetId="12">'30% of Income Calc.'!$E$7:$H$7,'30% of Income Calc.'!$L$16:$N$16,'30% of Income Calc.'!$A$49:$P$52</definedName>
    <definedName name="thirtypercentFalse" localSheetId="12">'30% of Income Calc.'!$P$54</definedName>
    <definedName name="thirtypercentone" localSheetId="12">'30% of Income Calc.'!$P$53</definedName>
    <definedName name="Version">"Version 2026.1"</definedName>
    <definedName name="VIBlank0" localSheetId="9">'Variable with Increase'!$D$13,'Variable with Increase'!$V$15,'Variable with Increase'!$V$19,'Variable with Increase'!$V$21,'Variable with Increase'!$V$285</definedName>
    <definedName name="VIBlank1" localSheetId="9">'Variable with Increase'!$D$6:$M$6,'Variable with Increase'!$D$8:$M$8,'Variable with Increase'!$D$19:$L$19,'Variable with Increase'!$H$30,'Variable with Increase'!$J$30,'Variable with Increase'!$L$30:$M$30,'Variable with Increase'!$H$32,'Variable with Increase'!$J$32,'Variable with Increase'!$L$32:$M$32,'Variable with Increase'!$H$34,'Variable with Increase'!$J$34,'Variable with Increase'!$L$34:$M$34,'Variable with Increase'!$H$36,'Variable with Increase'!$J$36,'Variable with Increase'!$L$36:$M$36,'Variable with Increase'!$H$38,'Variable with Increase'!$J$38,'Variable with Increase'!$L$38:$M$38,'Variable with Increase'!$H$40,'Variable with Increase'!$J$40,'Variable with Increase'!$L$40:$M$40,'Variable with Increase'!$H$42,'Variable with Increase'!$J$42,'Variable with Increase'!$L$42:$M$42,'Variable with Increase'!$H$44,'Variable with Increase'!$J$44,'Variable with Increase'!$L$44:$M$44,'Variable with Increase'!$H$46,'Variable with Increase'!$J$46,'Variable with Increase'!$L$46:$M$46,'Variable with Increase'!$H$48,'Variable with Increase'!$J$48,'Variable with Increase'!$L$48:$M$48,'Variable with Increase'!$H$50,'Variable with Increase'!$J$50,'Variable with Increase'!$L$50:$M$50,'Variable with Increase'!$H$52,'Variable with Increase'!$J$52,'Variable with Increase'!$L$52:$M$52</definedName>
    <definedName name="VIBlank2" localSheetId="9">'Variable with Increase'!$H$54,'Variable with Increase'!$J$54,'Variable with Increase'!$L$54,'Variable with Increase'!$H$56,'Variable with Increase'!$J$56,'Variable with Increase'!$L$56,'Variable with Increase'!$H$58,'Variable with Increase'!$J$58,'Variable with Increase'!$L$58,'Variable with Increase'!$H$60,'Variable with Increase'!$J$60,'Variable with Increase'!$L$60,'Variable with Increase'!$H$62,'Variable with Increase'!$J$62,'Variable with Increase'!$L$62,'Variable with Increase'!$H$64,'Variable with Increase'!$J$64,'Variable with Increase'!$L$64,'Variable with Increase'!$H$66,'Variable with Increase'!$J$66,'Variable with Increase'!$L$66,'Variable with Increase'!$H$68,'Variable with Increase'!$J$68,'Variable with Increase'!$L$68,'Variable with Increase'!$H$70,'Variable with Increase'!$J$70,'Variable with Increase'!$L$70,'Variable with Increase'!$H$72,'Variable with Increase'!$J$72,'Variable with Increase'!$L$72,'Variable with Increase'!$H$74,'Variable with Increase'!$J$74,'Variable with Increase'!$L$74,'Variable with Increase'!$H$76,'Variable with Increase'!$J$76,'Variable with Increase'!$L$76,'Variable with Increase'!$H$78,'Variable with Increase'!$J$78,'Variable with Increase'!$L$78,'Variable with Increase'!$H$80,'Variable with Increase'!$J$80,'Variable with Increase'!$L$80</definedName>
    <definedName name="VIBlank3" localSheetId="9">'Variable with Increase'!$H$82,'Variable with Increase'!$J$82,'Variable with Increase'!$L$82,'Variable with Increase'!$H$84,'Variable with Increase'!$J$84,'Variable with Increase'!$L$84,'Variable with Increase'!$H$86,'Variable with Increase'!$J$86,'Variable with Increase'!$L$86,'Variable with Increase'!$H$88,'Variable with Increase'!$J$88,'Variable with Increase'!$L$88,'Variable with Increase'!$H$90,'Variable with Increase'!$J$90,'Variable with Increase'!$L$90,'Variable with Increase'!$H$92,'Variable with Increase'!$J$92,'Variable with Increase'!$L$92,'Variable with Increase'!$H$94,'Variable with Increase'!$J$94,'Variable with Increase'!$L$94,'Variable with Increase'!$H$100,'Variable with Increase'!$J$100,'Variable with Increase'!$L$100,'Variable with Increase'!$H$102,'Variable with Increase'!$J$102,'Variable with Increase'!$L$102,'Variable with Increase'!$H$104,'Variable with Increase'!$J$104,'Variable with Increase'!$L$104,'Variable with Increase'!$H$106,'Variable with Increase'!$J$106,'Variable with Increase'!$L$106,'Variable with Increase'!$H$108,'Variable with Increase'!$J$108,'Variable with Increase'!$L$108,'Variable with Increase'!$H$110,'Variable with Increase'!$J$110,'Variable with Increase'!$L$110,'Variable with Increase'!$H$112,'Variable with Increase'!$J$112,'Variable with Increase'!$L$112,'Variable with Increase'!$H$114,'Variable with Increase'!$J$114,'Variable with Increase'!$L$114</definedName>
    <definedName name="VIBlank4" localSheetId="9">'Variable with Increase'!$H$116,'Variable with Increase'!$J$116,'Variable with Increase'!$L$116,'Variable with Increase'!$H$118,'Variable with Increase'!$J$118,'Variable with Increase'!$L$118,'Variable with Increase'!$H$120,'Variable with Increase'!$J$120,'Variable with Increase'!$L$120,'Variable with Increase'!$H$122,'Variable with Increase'!$J$122,'Variable with Increase'!$L$122,'Variable with Increase'!$H$124,'Variable with Increase'!$J$124,'Variable with Increase'!$L$124,'Variable with Increase'!$H$126,'Variable with Increase'!$J$126,'Variable with Increase'!$L$126,'Variable with Increase'!$H$128,'Variable with Increase'!$J$128,'Variable with Increase'!$L$128,'Variable with Increase'!$H$130,'Variable with Increase'!$J$130,'Variable with Increase'!$L$130,'Variable with Increase'!$H$132,'Variable with Increase'!$J$132,'Variable with Increase'!$L$132,'Variable with Increase'!$H$134,'Variable with Increase'!$J$134,'Variable with Increase'!$L$134,'Variable with Increase'!$H$136,'Variable with Increase'!$J$136,'Variable with Increase'!$L$136,'Variable with Increase'!$A$282:$Y$283</definedName>
    <definedName name="VIBlank5" localSheetId="9">'Variable with Increase'!$H$138,'Variable with Increase'!$J$138,'Variable with Increase'!$L$138,'Variable with Increase'!$H$140,'Variable with Increase'!$J$140,'Variable with Increase'!$L$140,'Variable with Increase'!$H$142,'Variable with Increase'!$J$142,'Variable with Increase'!$L$142,'Variable with Increase'!$H$144,'Variable with Increase'!$J$144,'Variable with Increase'!$L$144,'Variable with Increase'!$H$146,'Variable with Increase'!$J$146,'Variable with Increase'!$L$146,'Variable with Increase'!$H$148,'Variable with Increase'!$J$148,'Variable with Increase'!$L$148,'Variable with Increase'!$H$150,'Variable with Increase'!$J$150,'Variable with Increase'!$L$150,'Variable with Increase'!$H$152,'Variable with Increase'!$J$152,'Variable with Increase'!$L$152,'Variable with Increase'!$H$154,'Variable with Increase'!$J$154,'Variable with Increase'!$L$154,'Variable with Increase'!$H$156,'Variable with Increase'!$J$156,'Variable with Increase'!$L$156,'Variable with Increase'!$H$158,'Variable with Increase'!$J$158,'Variable with Increase'!$L$158,'Variable with Increase'!$H$160,'Variable with Increase'!$J$160,'Variable with Increase'!$L$160,'Variable with Increase'!$H$162,'Variable with Increase'!$J$162,'Variable with Increase'!$L$162,'Variable with Increase'!$H$164,'Variable with Increase'!$J$164,'Variable with Increase'!$L$164,'Variable with Increase'!$H$166,'Variable with Increase'!$J$166,'Variable with Increase'!$L$166,'Variable with Increase'!$H$168,'Variable with Increase'!$J$168,'Variable with Increase'!$L$168,'Variable with Increase'!$H$170,'Variable with Increase'!$J$170,'Variable with Increase'!$L$170,'Variable with Increase'!$H$172,'Variable with Increase'!$J$172,'Variable with Increase'!$L$172</definedName>
    <definedName name="VIBlank6" localSheetId="9">'Variable with Increase'!$H$174,'Variable with Increase'!$J$174,'Variable with Increase'!$L$174,'Variable with Increase'!$H$176,'Variable with Increase'!$J$176,'Variable with Increase'!$L$176,'Variable with Increase'!$H$178,'Variable with Increase'!$J$178,'Variable with Increase'!$L$178,'Variable with Increase'!$H$180,'Variable with Increase'!$J$180,'Variable with Increase'!$L$180,'Variable with Increase'!$H$182,'Variable with Increase'!$J$182,'Variable with Increase'!$L$182,'Variable with Increase'!$H$184,'Variable with Increase'!$J$184,'Variable with Increase'!$L$184,'Variable with Increase'!$H$186,'Variable with Increase'!$J$186,'Variable with Increase'!$L$186,'Variable with Increase'!$H$188,'Variable with Increase'!$J$188,'Variable with Increase'!$L$188,'Variable with Increase'!$H$190,'Variable with Increase'!$J$190,'Variable with Increase'!$L$190,'Variable with Increase'!$H$192,'Variable with Increase'!$J$192,'Variable with Increase'!$L$192,'Variable with Increase'!$H$194,'Variable with Increase'!$J$194,'Variable with Increase'!$L$194,'Variable with Increase'!$H$196,'Variable with Increase'!$J$196,'Variable with Increase'!$L$196,'Variable with Increase'!$H$198,'Variable with Increase'!$J$198,'Variable with Increase'!$L$198,'Variable with Increase'!$H$200,'Variable with Increase'!$J$200,'Variable with Increase'!$L$200,'Variable with Increase'!$H$202,'Variable with Increase'!$J$202,'Variable with Increase'!$L$202,'Variable with Increase'!$H$204,'Variable with Increase'!$J$204,'Variable with Increase'!$L$204,'Variable with Increase'!$H$209,'Variable with Increase'!$J$209,'Variable with Increase'!$L$209,'Variable with Increase'!$H$211,'Variable with Increase'!$J$211,'Variable with Increase'!$L$211,'Variable with Increase'!$H$213,'Variable with Increase'!$J$213,'Variable with Increase'!$L$213:$M$213</definedName>
    <definedName name="VIBlank7" localSheetId="9">'Variable with Increase'!$H$215,'Variable with Increase'!$J$215,'Variable with Increase'!$L$215,'Variable with Increase'!$H$217,'Variable with Increase'!$J$217,'Variable with Increase'!$L$217,'Variable with Increase'!$H$219,'Variable with Increase'!$J$219,'Variable with Increase'!$L$219,'Variable with Increase'!$H$221,'Variable with Increase'!$J$221,'Variable with Increase'!$L$221,'Variable with Increase'!$H$223,'Variable with Increase'!$J$223,'Variable with Increase'!$L$223,'Variable with Increase'!$H$225,'Variable with Increase'!$J$225,'Variable with Increase'!$L$225,'Variable with Increase'!$J$227,'Variable with Increase'!$H$227,'Variable with Increase'!$L$227,'Variable with Increase'!$H$229,'Variable with Increase'!$J$229,'Variable with Increase'!$L$229,'Variable with Increase'!$H$231,'Variable with Increase'!$J$231,'Variable with Increase'!$L$231,'Variable with Increase'!$H$233,'Variable with Increase'!$J$233,'Variable with Increase'!$L$233,'Variable with Increase'!$H$235,'Variable with Increase'!$J$235,'Variable with Increase'!$L$235,'Variable with Increase'!$H$237,'Variable with Increase'!$J$237,'Variable with Increase'!$L$237,'Variable with Increase'!$H$239,'Variable with Increase'!$J$239,'Variable with Increase'!$L$239,'Variable with Increase'!$H$241,'Variable with Increase'!$J$241,'Variable with Increase'!$L$241,'Variable with Increase'!$H$243,'Variable with Increase'!$J$243,'Variable with Increase'!$L$243</definedName>
    <definedName name="VIFalse" localSheetId="9">'Variable with Increase'!$Y$286,'Variable with Increase'!$X$285:$X$286,'Variable with Increase'!$X$284</definedName>
    <definedName name="VIOmit" localSheetId="9">'Variable with Increase'!$X$286</definedName>
    <definedName name="VIZero" localSheetId="9">'Variable with Increase'!$V$15</definedName>
  </definedNames>
  <calcPr calcId="191029"/>
  <customWorkbookViews>
    <customWorkbookView name="2" guid="{F6F8AA9B-E24B-473E-B61F-666F74B21956}" maximized="1" windowWidth="1366" windowHeight="517" tabRatio="821" activeSheetId="10"/>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 i="10" l="1"/>
  <c r="C60" i="75"/>
  <c r="B67" i="75"/>
  <c r="B63" i="103"/>
  <c r="H20" i="103"/>
  <c r="B53" i="103"/>
  <c r="M38" i="75" a="1"/>
  <c r="M38" i="75" s="1"/>
  <c r="J38" i="75"/>
  <c r="N36" i="103" a="1"/>
  <c r="N36" i="103" s="1"/>
  <c r="J36" i="103"/>
  <c r="N28" i="1" a="1"/>
  <c r="N28" i="1" s="1"/>
  <c r="J28" i="1"/>
  <c r="B65" i="103"/>
  <c r="A45" i="44"/>
  <c r="A36" i="44"/>
  <c r="A27" i="44"/>
  <c r="A18" i="44"/>
  <c r="A9" i="44"/>
  <c r="B62" i="103" l="1"/>
  <c r="AF10" i="10" l="1"/>
  <c r="A18" i="1" l="1"/>
  <c r="B55" i="75"/>
  <c r="G10" i="111"/>
  <c r="C17" i="111"/>
  <c r="C42" i="105"/>
  <c r="T1" i="145"/>
  <c r="L8" i="145"/>
  <c r="P11" i="145"/>
  <c r="P62" i="145" s="1"/>
  <c r="T11" i="145"/>
  <c r="T62" i="145" s="1"/>
  <c r="J13" i="145"/>
  <c r="L15" i="145"/>
  <c r="N15" i="145" s="1"/>
  <c r="L14" i="145" s="1"/>
  <c r="P15" i="145"/>
  <c r="R15" i="145" s="1"/>
  <c r="T15" i="145"/>
  <c r="V15" i="145" s="1"/>
  <c r="S17" i="145"/>
  <c r="W17" i="145"/>
  <c r="L59" i="145"/>
  <c r="O15" i="145" s="1"/>
  <c r="P59" i="145"/>
  <c r="L5" i="145" s="1"/>
  <c r="T59" i="145"/>
  <c r="W15" i="145" s="1"/>
  <c r="L62" i="145"/>
  <c r="O64" i="145"/>
  <c r="T65" i="145" s="1"/>
  <c r="L66" i="145"/>
  <c r="A87" i="145"/>
  <c r="S91" i="145"/>
  <c r="I47" i="51"/>
  <c r="I45" i="51"/>
  <c r="I44" i="51"/>
  <c r="I46" i="51"/>
  <c r="G31" i="111" l="1"/>
  <c r="D30" i="111"/>
  <c r="M15" i="145"/>
  <c r="L16" i="145" s="1"/>
  <c r="O16" i="145" s="1"/>
  <c r="L60" i="145"/>
  <c r="L67" i="145" s="1"/>
  <c r="T14" i="145"/>
  <c r="U15" i="145"/>
  <c r="T60" i="145" s="1"/>
  <c r="T67" i="145" s="1"/>
  <c r="P14" i="145"/>
  <c r="Q15" i="145"/>
  <c r="P60" i="145" s="1"/>
  <c r="P67" i="145" s="1"/>
  <c r="T66" i="145"/>
  <c r="P66" i="145"/>
  <c r="S15" i="145"/>
  <c r="L6" i="145"/>
  <c r="L4" i="145"/>
  <c r="C72" i="145"/>
  <c r="C70" i="145"/>
  <c r="K25" i="130"/>
  <c r="M1" i="78"/>
  <c r="J4" i="78" s="1"/>
  <c r="B24" i="105"/>
  <c r="B27" i="105"/>
  <c r="B26" i="105"/>
  <c r="B25" i="105"/>
  <c r="B23" i="105"/>
  <c r="N1" i="16"/>
  <c r="AO401" i="125"/>
  <c r="Q31" i="35"/>
  <c r="I8" i="51"/>
  <c r="J6" i="51"/>
  <c r="H6" i="51"/>
  <c r="H60" i="51"/>
  <c r="I7" i="51"/>
  <c r="J8" i="51"/>
  <c r="J60" i="51"/>
  <c r="H59" i="51"/>
  <c r="G60" i="51"/>
  <c r="J7" i="51"/>
  <c r="G6" i="51"/>
  <c r="G59" i="51"/>
  <c r="AL2" i="16" l="1"/>
  <c r="AL3" i="16"/>
  <c r="O64" i="16"/>
  <c r="O63" i="16"/>
  <c r="G70" i="145"/>
  <c r="C64" i="145"/>
  <c r="T16" i="145"/>
  <c r="W16" i="145" s="1"/>
  <c r="G72" i="145"/>
  <c r="P16" i="145"/>
  <c r="S16" i="145" s="1"/>
  <c r="A8" i="51"/>
  <c r="A6" i="51"/>
  <c r="A7" i="51"/>
  <c r="D6" i="51"/>
  <c r="C6" i="51"/>
  <c r="A60" i="51"/>
  <c r="C60" i="51"/>
  <c r="C90" i="18" s="1"/>
  <c r="D60" i="51"/>
  <c r="D59" i="51"/>
  <c r="C59" i="51"/>
  <c r="C88" i="18" s="1"/>
  <c r="U1" i="144"/>
  <c r="Y1" i="144" s="1"/>
  <c r="M75" i="144"/>
  <c r="Q75" i="144"/>
  <c r="U75" i="144"/>
  <c r="U44" i="144"/>
  <c r="U80" i="144" s="1"/>
  <c r="M80" i="144"/>
  <c r="Q44" i="144"/>
  <c r="Q86" i="144" s="1"/>
  <c r="S25" i="144"/>
  <c r="S26" i="144" s="1"/>
  <c r="S29" i="144" s="1"/>
  <c r="S33" i="144" s="1"/>
  <c r="D36" i="144" s="1"/>
  <c r="T109" i="144"/>
  <c r="B106" i="144"/>
  <c r="M86" i="144"/>
  <c r="X51" i="144"/>
  <c r="T51" i="144"/>
  <c r="U49" i="144"/>
  <c r="W49" i="144" s="1"/>
  <c r="Q49" i="144"/>
  <c r="S49" i="144" s="1"/>
  <c r="M49" i="144"/>
  <c r="O49" i="144" s="1"/>
  <c r="M48" i="144" s="1"/>
  <c r="K47" i="144"/>
  <c r="M8" i="144"/>
  <c r="B55" i="20"/>
  <c r="B26" i="20"/>
  <c r="J13" i="20"/>
  <c r="B27" i="20" s="1"/>
  <c r="J42" i="20"/>
  <c r="B56" i="20" s="1"/>
  <c r="F66" i="145" l="1"/>
  <c r="F63" i="145" s="1"/>
  <c r="E1" i="144"/>
  <c r="O10" i="144"/>
  <c r="Q104" i="144" s="1"/>
  <c r="G42" i="144"/>
  <c r="F82" i="144"/>
  <c r="U86" i="144"/>
  <c r="Q80" i="144"/>
  <c r="K76" i="144"/>
  <c r="D38" i="144"/>
  <c r="E40" i="144"/>
  <c r="N49" i="144"/>
  <c r="D89" i="144"/>
  <c r="Q48" i="144"/>
  <c r="R49" i="144"/>
  <c r="U48" i="144"/>
  <c r="V49" i="144"/>
  <c r="D91" i="144"/>
  <c r="S14" i="130"/>
  <c r="E15" i="77"/>
  <c r="F11" i="79"/>
  <c r="H36" i="128"/>
  <c r="H34" i="129"/>
  <c r="I182" i="51"/>
  <c r="I194" i="51"/>
  <c r="I193" i="51"/>
  <c r="J59" i="51"/>
  <c r="I192" i="51"/>
  <c r="I184" i="51"/>
  <c r="I189" i="51"/>
  <c r="I181" i="51"/>
  <c r="I190" i="51"/>
  <c r="I195" i="51"/>
  <c r="I60" i="51"/>
  <c r="I191" i="51"/>
  <c r="I180" i="51"/>
  <c r="I179" i="51"/>
  <c r="I183" i="51"/>
  <c r="I178" i="51"/>
  <c r="A59" i="51" l="1"/>
  <c r="F60" i="51"/>
  <c r="X49" i="144"/>
  <c r="M50" i="144"/>
  <c r="P50" i="144" s="1"/>
  <c r="Q76" i="144"/>
  <c r="Q77" i="144" s="1"/>
  <c r="J76" i="144" s="1"/>
  <c r="U76" i="144"/>
  <c r="U77" i="144" s="1"/>
  <c r="J77" i="144" s="1"/>
  <c r="M76" i="144"/>
  <c r="M77" i="144" s="1"/>
  <c r="J75" i="144" s="1"/>
  <c r="P49" i="144"/>
  <c r="T49" i="144"/>
  <c r="Q50" i="144"/>
  <c r="T50" i="144" s="1"/>
  <c r="U50" i="144"/>
  <c r="X50" i="144" s="1"/>
  <c r="C22" i="111"/>
  <c r="K45" i="105"/>
  <c r="J9" i="75"/>
  <c r="B28" i="105"/>
  <c r="B29" i="105"/>
  <c r="C52" i="105"/>
  <c r="J1" i="105"/>
  <c r="K1" i="105" s="1"/>
  <c r="C20" i="111"/>
  <c r="F1" i="111"/>
  <c r="Q25" i="35"/>
  <c r="O1" i="111"/>
  <c r="P1" i="111" s="1"/>
  <c r="J220" i="51"/>
  <c r="G219" i="51"/>
  <c r="G160" i="51"/>
  <c r="G216" i="51"/>
  <c r="G220" i="51"/>
  <c r="I133" i="51"/>
  <c r="I220" i="51"/>
  <c r="G133" i="51"/>
  <c r="I58" i="51"/>
  <c r="I57" i="51"/>
  <c r="I161" i="51"/>
  <c r="G215" i="51"/>
  <c r="I216" i="51"/>
  <c r="G161" i="51"/>
  <c r="G132" i="51"/>
  <c r="I8" i="111" l="1"/>
  <c r="K54" i="111" s="1"/>
  <c r="J227" i="51" s="1"/>
  <c r="A227" i="51" s="1"/>
  <c r="C46" i="105"/>
  <c r="I52" i="105"/>
  <c r="J90" i="18"/>
  <c r="F90" i="18"/>
  <c r="Q78" i="144"/>
  <c r="Q87" i="144" s="1"/>
  <c r="M78" i="144"/>
  <c r="M87" i="144" s="1"/>
  <c r="U78" i="144"/>
  <c r="U87" i="144" s="1"/>
  <c r="D84" i="144"/>
  <c r="P84" i="144" s="1"/>
  <c r="G86" i="144"/>
  <c r="A13" i="75"/>
  <c r="U1" i="130"/>
  <c r="X1" i="130" s="1"/>
  <c r="C23" i="130" s="1"/>
  <c r="N26" i="130"/>
  <c r="E28" i="130"/>
  <c r="E30" i="130" s="1"/>
  <c r="R31" i="130"/>
  <c r="R32" i="130"/>
  <c r="N33" i="130"/>
  <c r="R33" i="130"/>
  <c r="R34" i="130"/>
  <c r="R35" i="130"/>
  <c r="R36" i="130"/>
  <c r="R37" i="130"/>
  <c r="R38" i="130"/>
  <c r="R39" i="130"/>
  <c r="R41" i="130"/>
  <c r="B43" i="130"/>
  <c r="N43" i="130"/>
  <c r="W43" i="130" s="1"/>
  <c r="E45" i="130"/>
  <c r="A45" i="130" s="1"/>
  <c r="N50" i="130"/>
  <c r="B60" i="130"/>
  <c r="N60" i="130"/>
  <c r="S60" i="130" s="1"/>
  <c r="E62" i="130"/>
  <c r="E64" i="130" s="1"/>
  <c r="N67" i="130"/>
  <c r="B77" i="130"/>
  <c r="N77" i="130"/>
  <c r="W77" i="130" s="1"/>
  <c r="E79" i="130"/>
  <c r="E83" i="130" s="1"/>
  <c r="N84" i="130"/>
  <c r="A114" i="130"/>
  <c r="W119" i="130"/>
  <c r="N1" i="128"/>
  <c r="N1" i="129"/>
  <c r="I6" i="129"/>
  <c r="S6" i="129"/>
  <c r="I8" i="129"/>
  <c r="S8" i="129"/>
  <c r="Z8" i="129" s="1"/>
  <c r="M10" i="129"/>
  <c r="S47" i="129" s="1"/>
  <c r="AF10" i="129"/>
  <c r="AG9" i="129" s="1"/>
  <c r="AF11" i="129" s="1"/>
  <c r="W12" i="129"/>
  <c r="AA14" i="129"/>
  <c r="AC14" i="129" s="1"/>
  <c r="AA13" i="129" s="1"/>
  <c r="AB14" i="129"/>
  <c r="J19" i="129"/>
  <c r="L19" i="129"/>
  <c r="O19" i="129"/>
  <c r="Z19" i="129"/>
  <c r="AF19" i="129"/>
  <c r="J24" i="129"/>
  <c r="M24" i="129"/>
  <c r="Z29" i="129"/>
  <c r="Z32" i="129" s="1"/>
  <c r="AF29" i="129"/>
  <c r="AF32" i="129" s="1"/>
  <c r="A37" i="129"/>
  <c r="T47" i="129"/>
  <c r="E52" i="129"/>
  <c r="F52" i="129"/>
  <c r="C60" i="129"/>
  <c r="A71" i="129"/>
  <c r="M74" i="129"/>
  <c r="AC74" i="129"/>
  <c r="I6" i="128"/>
  <c r="S6" i="128"/>
  <c r="I8" i="128"/>
  <c r="S8" i="128"/>
  <c r="Z8" i="128" s="1"/>
  <c r="M10" i="128"/>
  <c r="C62" i="128" s="1"/>
  <c r="AF10" i="128"/>
  <c r="AG9" i="128" s="1"/>
  <c r="AF11" i="128" s="1"/>
  <c r="W12" i="128"/>
  <c r="AA14" i="128"/>
  <c r="AC14" i="128" s="1"/>
  <c r="AB14" i="128" s="1"/>
  <c r="J20" i="128"/>
  <c r="L20" i="128"/>
  <c r="O20" i="128"/>
  <c r="Z20" i="128"/>
  <c r="AF20" i="128"/>
  <c r="J25" i="128"/>
  <c r="M25" i="128"/>
  <c r="Z25" i="128"/>
  <c r="AF25" i="128"/>
  <c r="Z31" i="128"/>
  <c r="Z34" i="128" s="1"/>
  <c r="AF31" i="128"/>
  <c r="AF34" i="128" s="1"/>
  <c r="A40" i="128"/>
  <c r="T49" i="128"/>
  <c r="E55" i="128"/>
  <c r="F55" i="128"/>
  <c r="A72" i="128"/>
  <c r="P72" i="128"/>
  <c r="M76" i="128"/>
  <c r="AB76" i="128"/>
  <c r="Q19" i="35"/>
  <c r="V1" i="125"/>
  <c r="X1" i="125" s="1"/>
  <c r="N6" i="125"/>
  <c r="N8" i="125"/>
  <c r="L13" i="125"/>
  <c r="E25" i="125"/>
  <c r="C28" i="125"/>
  <c r="C30" i="125"/>
  <c r="C32" i="125"/>
  <c r="K32" i="125"/>
  <c r="C34" i="125"/>
  <c r="C36" i="125" s="1"/>
  <c r="C38" i="125" s="1"/>
  <c r="C40" i="125" s="1"/>
  <c r="C42" i="125" s="1"/>
  <c r="C44" i="125" s="1"/>
  <c r="C46" i="125" s="1"/>
  <c r="C48" i="125" s="1"/>
  <c r="C50" i="125" s="1"/>
  <c r="C52" i="125" s="1"/>
  <c r="C54" i="125" s="1"/>
  <c r="C56" i="125" s="1"/>
  <c r="C58" i="125" s="1"/>
  <c r="C60" i="125" s="1"/>
  <c r="C62" i="125" s="1"/>
  <c r="C64" i="125" s="1"/>
  <c r="C66" i="125" s="1"/>
  <c r="C68" i="125" s="1"/>
  <c r="C70" i="125" s="1"/>
  <c r="C72" i="125" s="1"/>
  <c r="C74" i="125" s="1"/>
  <c r="C76" i="125" s="1"/>
  <c r="C78" i="125" s="1"/>
  <c r="C80" i="125" s="1"/>
  <c r="C82" i="125" s="1"/>
  <c r="C84" i="125" s="1"/>
  <c r="C86" i="125" s="1"/>
  <c r="C88" i="125" s="1"/>
  <c r="C90" i="125" s="1"/>
  <c r="C92" i="125" s="1"/>
  <c r="C94" i="125" s="1"/>
  <c r="C100" i="125" s="1"/>
  <c r="C102" i="125" s="1"/>
  <c r="C104" i="125" s="1"/>
  <c r="C106" i="125" s="1"/>
  <c r="C108" i="125" s="1"/>
  <c r="C110" i="125" s="1"/>
  <c r="C112" i="125" s="1"/>
  <c r="C114" i="125" s="1"/>
  <c r="C116" i="125" s="1"/>
  <c r="C118" i="125" s="1"/>
  <c r="C120" i="125" s="1"/>
  <c r="C122" i="125" s="1"/>
  <c r="C124" i="125" s="1"/>
  <c r="C126" i="125" s="1"/>
  <c r="C128" i="125" s="1"/>
  <c r="C130" i="125" s="1"/>
  <c r="C132" i="125" s="1"/>
  <c r="C134" i="125" s="1"/>
  <c r="C136" i="125" s="1"/>
  <c r="C138" i="125" s="1"/>
  <c r="C140" i="125" s="1"/>
  <c r="C142" i="125" s="1"/>
  <c r="C144" i="125" s="1"/>
  <c r="C146" i="125" s="1"/>
  <c r="C148" i="125" s="1"/>
  <c r="C150" i="125" s="1"/>
  <c r="C152" i="125" s="1"/>
  <c r="C154" i="125" s="1"/>
  <c r="C156" i="125" s="1"/>
  <c r="C158" i="125" s="1"/>
  <c r="C160" i="125" s="1"/>
  <c r="C162" i="125" s="1"/>
  <c r="C164" i="125" s="1"/>
  <c r="C166" i="125" s="1"/>
  <c r="C168" i="125" s="1"/>
  <c r="C170" i="125" s="1"/>
  <c r="C172" i="125" s="1"/>
  <c r="C174" i="125" s="1"/>
  <c r="C176" i="125" s="1"/>
  <c r="C178" i="125" s="1"/>
  <c r="C180" i="125" s="1"/>
  <c r="C182" i="125" s="1"/>
  <c r="C184" i="125" s="1"/>
  <c r="C186" i="125" s="1"/>
  <c r="C188" i="125" s="1"/>
  <c r="C190" i="125" s="1"/>
  <c r="C192" i="125" s="1"/>
  <c r="C194" i="125" s="1"/>
  <c r="C196" i="125" s="1"/>
  <c r="C198" i="125" s="1"/>
  <c r="C200" i="125" s="1"/>
  <c r="C202" i="125" s="1"/>
  <c r="C204" i="125" s="1"/>
  <c r="C209" i="125" s="1"/>
  <c r="C211" i="125" s="1"/>
  <c r="C213" i="125" s="1"/>
  <c r="C215" i="125" s="1"/>
  <c r="C217" i="125" s="1"/>
  <c r="C219" i="125" s="1"/>
  <c r="C221" i="125" s="1"/>
  <c r="C223" i="125" s="1"/>
  <c r="C225" i="125" s="1"/>
  <c r="C227" i="125" s="1"/>
  <c r="C229" i="125" s="1"/>
  <c r="C231" i="125" s="1"/>
  <c r="C233" i="125" s="1"/>
  <c r="C235" i="125" s="1"/>
  <c r="C237" i="125" s="1"/>
  <c r="C239" i="125" s="1"/>
  <c r="C241" i="125" s="1"/>
  <c r="C243" i="125" s="1"/>
  <c r="A291" i="125"/>
  <c r="U291" i="125"/>
  <c r="AQ294" i="125"/>
  <c r="AV398" i="125" s="1"/>
  <c r="AR294" i="125"/>
  <c r="AT294" i="125" s="1"/>
  <c r="BA294" i="125" s="1"/>
  <c r="AA295" i="125"/>
  <c r="AP295" i="125"/>
  <c r="AQ295" i="125"/>
  <c r="AR295" i="125"/>
  <c r="AT295" i="125" s="1"/>
  <c r="BA295" i="125" s="1"/>
  <c r="AA296" i="125"/>
  <c r="AA297" i="125" s="1"/>
  <c r="AA298" i="125" s="1"/>
  <c r="AA299" i="125" s="1"/>
  <c r="AP296" i="125"/>
  <c r="AQ296" i="125"/>
  <c r="AR296" i="125"/>
  <c r="AT296" i="125" s="1"/>
  <c r="AP297" i="125"/>
  <c r="AQ297" i="125"/>
  <c r="AR297" i="125"/>
  <c r="AT297" i="125" s="1"/>
  <c r="AS297" i="125"/>
  <c r="AP298" i="125"/>
  <c r="AP299" i="125" s="1"/>
  <c r="AP300" i="125" s="1"/>
  <c r="AP301" i="125" s="1"/>
  <c r="AP302" i="125" s="1"/>
  <c r="AP303" i="125" s="1"/>
  <c r="AP304" i="125" s="1"/>
  <c r="AP305" i="125" s="1"/>
  <c r="AP306" i="125" s="1"/>
  <c r="AP307" i="125" s="1"/>
  <c r="AP308" i="125" s="1"/>
  <c r="AP309" i="125" s="1"/>
  <c r="AP310" i="125" s="1"/>
  <c r="AP311" i="125" s="1"/>
  <c r="AP312" i="125" s="1"/>
  <c r="AP313" i="125" s="1"/>
  <c r="AP314" i="125" s="1"/>
  <c r="AP315" i="125" s="1"/>
  <c r="AP316" i="125" s="1"/>
  <c r="AP317" i="125" s="1"/>
  <c r="AP318" i="125" s="1"/>
  <c r="AP319" i="125" s="1"/>
  <c r="AP320" i="125" s="1"/>
  <c r="AP321" i="125" s="1"/>
  <c r="AP322" i="125" s="1"/>
  <c r="AP323" i="125" s="1"/>
  <c r="AP324" i="125" s="1"/>
  <c r="AP325" i="125" s="1"/>
  <c r="AP326" i="125" s="1"/>
  <c r="AP327" i="125" s="1"/>
  <c r="AP328" i="125" s="1"/>
  <c r="AQ298" i="125"/>
  <c r="AR298" i="125"/>
  <c r="AT298" i="125" s="1"/>
  <c r="AZ298" i="125" s="1"/>
  <c r="AQ299" i="125"/>
  <c r="AR299" i="125"/>
  <c r="AT299" i="125" s="1"/>
  <c r="BA299" i="125" s="1"/>
  <c r="AA300" i="125"/>
  <c r="AA301" i="125" s="1"/>
  <c r="AA302" i="125" s="1"/>
  <c r="AA303" i="125" s="1"/>
  <c r="AA304" i="125" s="1"/>
  <c r="AA305" i="125" s="1"/>
  <c r="AA306" i="125" s="1"/>
  <c r="AA307" i="125" s="1"/>
  <c r="AA308" i="125" s="1"/>
  <c r="AA309" i="125" s="1"/>
  <c r="AA310" i="125" s="1"/>
  <c r="AA311" i="125" s="1"/>
  <c r="AA312" i="125" s="1"/>
  <c r="AA313" i="125" s="1"/>
  <c r="AA314" i="125" s="1"/>
  <c r="AA315" i="125" s="1"/>
  <c r="AA316" i="125" s="1"/>
  <c r="AA317" i="125" s="1"/>
  <c r="AA318" i="125" s="1"/>
  <c r="AA319" i="125" s="1"/>
  <c r="AA320" i="125" s="1"/>
  <c r="AA321" i="125" s="1"/>
  <c r="AA322" i="125" s="1"/>
  <c r="AA323" i="125" s="1"/>
  <c r="AA324" i="125" s="1"/>
  <c r="AA325" i="125" s="1"/>
  <c r="AA326" i="125" s="1"/>
  <c r="AA327" i="125" s="1"/>
  <c r="AA328" i="125" s="1"/>
  <c r="AA329" i="125" s="1"/>
  <c r="AA330" i="125" s="1"/>
  <c r="AA331" i="125" s="1"/>
  <c r="AA332" i="125" s="1"/>
  <c r="AA333" i="125" s="1"/>
  <c r="AA334" i="125" s="1"/>
  <c r="AA335" i="125" s="1"/>
  <c r="AA336" i="125" s="1"/>
  <c r="AA337" i="125" s="1"/>
  <c r="AA338" i="125" s="1"/>
  <c r="AA339" i="125" s="1"/>
  <c r="AA340" i="125" s="1"/>
  <c r="AA341" i="125" s="1"/>
  <c r="AA342" i="125" s="1"/>
  <c r="AA343" i="125" s="1"/>
  <c r="AA344" i="125" s="1"/>
  <c r="AA345" i="125" s="1"/>
  <c r="AA346" i="125" s="1"/>
  <c r="AA347" i="125" s="1"/>
  <c r="AA348" i="125" s="1"/>
  <c r="AA349" i="125" s="1"/>
  <c r="AA350" i="125" s="1"/>
  <c r="AA351" i="125" s="1"/>
  <c r="AA352" i="125" s="1"/>
  <c r="AA353" i="125" s="1"/>
  <c r="AA354" i="125" s="1"/>
  <c r="AA355" i="125" s="1"/>
  <c r="AA356" i="125" s="1"/>
  <c r="AA357" i="125" s="1"/>
  <c r="AA358" i="125" s="1"/>
  <c r="AA359" i="125" s="1"/>
  <c r="AA360" i="125" s="1"/>
  <c r="AA361" i="125" s="1"/>
  <c r="AA362" i="125" s="1"/>
  <c r="AA363" i="125" s="1"/>
  <c r="AA364" i="125" s="1"/>
  <c r="AA365" i="125" s="1"/>
  <c r="AA366" i="125" s="1"/>
  <c r="AA367" i="125" s="1"/>
  <c r="AA368" i="125" s="1"/>
  <c r="AA369" i="125" s="1"/>
  <c r="AA370" i="125" s="1"/>
  <c r="AA371" i="125" s="1"/>
  <c r="AA372" i="125" s="1"/>
  <c r="AA373" i="125" s="1"/>
  <c r="AA374" i="125" s="1"/>
  <c r="AA375" i="125" s="1"/>
  <c r="AA376" i="125" s="1"/>
  <c r="AA377" i="125" s="1"/>
  <c r="AA378" i="125" s="1"/>
  <c r="AA379" i="125" s="1"/>
  <c r="AA380" i="125" s="1"/>
  <c r="AA381" i="125" s="1"/>
  <c r="AA382" i="125" s="1"/>
  <c r="AA383" i="125" s="1"/>
  <c r="AA384" i="125" s="1"/>
  <c r="AA385" i="125" s="1"/>
  <c r="AA386" i="125" s="1"/>
  <c r="AA387" i="125" s="1"/>
  <c r="AA388" i="125" s="1"/>
  <c r="AA389" i="125" s="1"/>
  <c r="AA390" i="125" s="1"/>
  <c r="AA391" i="125" s="1"/>
  <c r="AA392" i="125" s="1"/>
  <c r="AA393" i="125" s="1"/>
  <c r="AA394" i="125" s="1"/>
  <c r="AA395" i="125" s="1"/>
  <c r="AA396" i="125" s="1"/>
  <c r="AA397" i="125" s="1"/>
  <c r="AQ300" i="125"/>
  <c r="AR300" i="125"/>
  <c r="AT300" i="125" s="1"/>
  <c r="AS300" i="125"/>
  <c r="AQ301" i="125"/>
  <c r="AR301" i="125"/>
  <c r="AT301" i="125" s="1"/>
  <c r="AQ302" i="125"/>
  <c r="AR302" i="125"/>
  <c r="AT302" i="125" s="1"/>
  <c r="AZ302" i="125" s="1"/>
  <c r="AQ303" i="125"/>
  <c r="AR303" i="125"/>
  <c r="AT303" i="125" s="1"/>
  <c r="AS303" i="125"/>
  <c r="AQ304" i="125"/>
  <c r="AR304" i="125"/>
  <c r="AT304" i="125" s="1"/>
  <c r="AQ305" i="125"/>
  <c r="AR305" i="125"/>
  <c r="AT305" i="125" s="1"/>
  <c r="AQ306" i="125"/>
  <c r="AR306" i="125"/>
  <c r="AT306" i="125" s="1"/>
  <c r="AQ307" i="125"/>
  <c r="AR307" i="125"/>
  <c r="AT307" i="125" s="1"/>
  <c r="AS307" i="125"/>
  <c r="AQ308" i="125"/>
  <c r="AR308" i="125"/>
  <c r="AT308" i="125" s="1"/>
  <c r="AQ309" i="125"/>
  <c r="AR309" i="125"/>
  <c r="AT309" i="125" s="1"/>
  <c r="BA309" i="125" s="1"/>
  <c r="AQ310" i="125"/>
  <c r="AR310" i="125"/>
  <c r="AT310" i="125" s="1"/>
  <c r="AQ311" i="125"/>
  <c r="AR311" i="125"/>
  <c r="AT311" i="125" s="1"/>
  <c r="AQ312" i="125"/>
  <c r="AR312" i="125"/>
  <c r="AT312" i="125" s="1"/>
  <c r="AQ313" i="125"/>
  <c r="AR313" i="125"/>
  <c r="AT313" i="125" s="1"/>
  <c r="BA313" i="125" s="1"/>
  <c r="AS313" i="125"/>
  <c r="AQ314" i="125"/>
  <c r="AR314" i="125"/>
  <c r="AT314" i="125" s="1"/>
  <c r="AS314" i="125"/>
  <c r="AQ315" i="125"/>
  <c r="AR315" i="125"/>
  <c r="AT315" i="125" s="1"/>
  <c r="AZ315" i="125" s="1"/>
  <c r="AQ316" i="125"/>
  <c r="AR316" i="125"/>
  <c r="AT316" i="125" s="1"/>
  <c r="AS316" i="125"/>
  <c r="AQ317" i="125"/>
  <c r="AR317" i="125"/>
  <c r="AT317" i="125" s="1"/>
  <c r="AS317" i="125"/>
  <c r="AQ318" i="125"/>
  <c r="AR318" i="125"/>
  <c r="AT318" i="125" s="1"/>
  <c r="AQ319" i="125"/>
  <c r="AR319" i="125"/>
  <c r="AT319" i="125" s="1"/>
  <c r="AS319" i="125"/>
  <c r="AQ320" i="125"/>
  <c r="AR320" i="125"/>
  <c r="AT320" i="125" s="1"/>
  <c r="AS320" i="125"/>
  <c r="AQ321" i="125"/>
  <c r="AR321" i="125"/>
  <c r="AT321" i="125" s="1"/>
  <c r="AS321" i="125"/>
  <c r="AQ322" i="125"/>
  <c r="AR322" i="125"/>
  <c r="AT322" i="125" s="1"/>
  <c r="AQ323" i="125"/>
  <c r="AR323" i="125"/>
  <c r="AT323" i="125" s="1"/>
  <c r="AS323" i="125"/>
  <c r="AQ324" i="125"/>
  <c r="AR324" i="125"/>
  <c r="AT324" i="125" s="1"/>
  <c r="AS324" i="125"/>
  <c r="AQ325" i="125"/>
  <c r="AR325" i="125"/>
  <c r="AT325" i="125" s="1"/>
  <c r="BA325" i="125" s="1"/>
  <c r="AQ326" i="125"/>
  <c r="AR326" i="125"/>
  <c r="AT326" i="125" s="1"/>
  <c r="AS326" i="125"/>
  <c r="AQ327" i="125"/>
  <c r="AR327" i="125"/>
  <c r="AT327" i="125" s="1"/>
  <c r="AS327" i="125"/>
  <c r="AQ328" i="125"/>
  <c r="AR328" i="125"/>
  <c r="AT328" i="125" s="1"/>
  <c r="AP329" i="125"/>
  <c r="AP330" i="125" s="1"/>
  <c r="AP331" i="125" s="1"/>
  <c r="AP332" i="125" s="1"/>
  <c r="AQ329" i="125"/>
  <c r="AR329" i="125"/>
  <c r="AT329" i="125" s="1"/>
  <c r="AZ329" i="125" s="1"/>
  <c r="AS329" i="125"/>
  <c r="AQ330" i="125"/>
  <c r="AR330" i="125"/>
  <c r="AT330" i="125" s="1"/>
  <c r="AQ331" i="125"/>
  <c r="AR331" i="125"/>
  <c r="AT331" i="125" s="1"/>
  <c r="AQ332" i="125"/>
  <c r="AR332" i="125"/>
  <c r="AT332" i="125" s="1"/>
  <c r="AS332" i="125"/>
  <c r="AP333" i="125"/>
  <c r="AQ333" i="125"/>
  <c r="AR333" i="125"/>
  <c r="AT333" i="125" s="1"/>
  <c r="BA333" i="125" s="1"/>
  <c r="AP334" i="125"/>
  <c r="AP335" i="125" s="1"/>
  <c r="AQ334" i="125"/>
  <c r="AR334" i="125"/>
  <c r="AT334" i="125" s="1"/>
  <c r="AZ334" i="125" s="1"/>
  <c r="AS334" i="125"/>
  <c r="AQ335" i="125"/>
  <c r="AR335" i="125"/>
  <c r="AT335" i="125" s="1"/>
  <c r="BA335" i="125" s="1"/>
  <c r="AP336" i="125"/>
  <c r="AP337" i="125" s="1"/>
  <c r="AP338" i="125" s="1"/>
  <c r="AP339" i="125" s="1"/>
  <c r="AP340" i="125" s="1"/>
  <c r="AP341" i="125" s="1"/>
  <c r="AP342" i="125" s="1"/>
  <c r="AP343" i="125" s="1"/>
  <c r="AP344" i="125" s="1"/>
  <c r="AP345" i="125" s="1"/>
  <c r="AP346" i="125" s="1"/>
  <c r="AP347" i="125" s="1"/>
  <c r="AP348" i="125" s="1"/>
  <c r="AP349" i="125" s="1"/>
  <c r="AP350" i="125" s="1"/>
  <c r="AP351" i="125" s="1"/>
  <c r="AP352" i="125" s="1"/>
  <c r="AP353" i="125" s="1"/>
  <c r="AP354" i="125" s="1"/>
  <c r="AQ336" i="125"/>
  <c r="AR336" i="125"/>
  <c r="AT336" i="125" s="1"/>
  <c r="BA336" i="125" s="1"/>
  <c r="AS336" i="125"/>
  <c r="AQ337" i="125"/>
  <c r="AR337" i="125"/>
  <c r="AT337" i="125" s="1"/>
  <c r="BB337" i="125" s="1"/>
  <c r="AS337" i="125"/>
  <c r="AQ338" i="125"/>
  <c r="AR338" i="125"/>
  <c r="AT338" i="125" s="1"/>
  <c r="AS338" i="125"/>
  <c r="AQ339" i="125"/>
  <c r="AR339" i="125"/>
  <c r="AT339" i="125" s="1"/>
  <c r="AQ340" i="125"/>
  <c r="AR340" i="125"/>
  <c r="AT340" i="125" s="1"/>
  <c r="AS340" i="125"/>
  <c r="AQ341" i="125"/>
  <c r="AR341" i="125"/>
  <c r="AT341" i="125" s="1"/>
  <c r="AS341" i="125"/>
  <c r="AQ342" i="125"/>
  <c r="AR342" i="125"/>
  <c r="AT342" i="125" s="1"/>
  <c r="AQ343" i="125"/>
  <c r="AR343" i="125"/>
  <c r="AT343" i="125" s="1"/>
  <c r="BB343" i="125" s="1"/>
  <c r="AS343" i="125"/>
  <c r="AQ344" i="125"/>
  <c r="AR344" i="125"/>
  <c r="AT344" i="125" s="1"/>
  <c r="BA344" i="125" s="1"/>
  <c r="AQ345" i="125"/>
  <c r="AR345" i="125"/>
  <c r="AT345" i="125" s="1"/>
  <c r="BB345" i="125" s="1"/>
  <c r="AS345" i="125"/>
  <c r="AQ346" i="125"/>
  <c r="AR346" i="125"/>
  <c r="AT346" i="125" s="1"/>
  <c r="AS346" i="125"/>
  <c r="AQ347" i="125"/>
  <c r="AR347" i="125"/>
  <c r="AT347" i="125" s="1"/>
  <c r="BB347" i="125" s="1"/>
  <c r="AQ348" i="125"/>
  <c r="AR348" i="125"/>
  <c r="AT348" i="125" s="1"/>
  <c r="AS348" i="125"/>
  <c r="AQ349" i="125"/>
  <c r="AR349" i="125"/>
  <c r="AT349" i="125" s="1"/>
  <c r="AS349" i="125"/>
  <c r="AQ350" i="125"/>
  <c r="AR350" i="125"/>
  <c r="AT350" i="125" s="1"/>
  <c r="AQ351" i="125"/>
  <c r="AR351" i="125"/>
  <c r="AT351" i="125" s="1"/>
  <c r="BB351" i="125" s="1"/>
  <c r="AS351" i="125"/>
  <c r="AQ352" i="125"/>
  <c r="AR352" i="125"/>
  <c r="AT352" i="125" s="1"/>
  <c r="BB352" i="125" s="1"/>
  <c r="AS352" i="125"/>
  <c r="AQ353" i="125"/>
  <c r="AR353" i="125"/>
  <c r="AT353" i="125" s="1"/>
  <c r="AS353" i="125"/>
  <c r="AQ354" i="125"/>
  <c r="AR354" i="125"/>
  <c r="AT354" i="125" s="1"/>
  <c r="AP355" i="125"/>
  <c r="AP356" i="125" s="1"/>
  <c r="AQ355" i="125"/>
  <c r="AR355" i="125"/>
  <c r="AT355" i="125" s="1"/>
  <c r="AS355" i="125"/>
  <c r="AQ356" i="125"/>
  <c r="AR356" i="125"/>
  <c r="AT356" i="125" s="1"/>
  <c r="AZ356" i="125" s="1"/>
  <c r="AP357" i="125"/>
  <c r="AP358" i="125" s="1"/>
  <c r="AQ357" i="125"/>
  <c r="AR357" i="125"/>
  <c r="AT357" i="125" s="1"/>
  <c r="BB357" i="125" s="1"/>
  <c r="AS357" i="125"/>
  <c r="AQ358" i="125"/>
  <c r="AR358" i="125"/>
  <c r="AT358" i="125" s="1"/>
  <c r="AS358" i="125"/>
  <c r="AP359" i="125"/>
  <c r="AQ359" i="125"/>
  <c r="AR359" i="125"/>
  <c r="AT359" i="125" s="1"/>
  <c r="AP360" i="125"/>
  <c r="AP361" i="125" s="1"/>
  <c r="AP362" i="125" s="1"/>
  <c r="AP363" i="125" s="1"/>
  <c r="AP364" i="125" s="1"/>
  <c r="AP365" i="125" s="1"/>
  <c r="AP366" i="125" s="1"/>
  <c r="AP367" i="125" s="1"/>
  <c r="AP368" i="125" s="1"/>
  <c r="AP369" i="125" s="1"/>
  <c r="AP370" i="125" s="1"/>
  <c r="AP371" i="125" s="1"/>
  <c r="AP372" i="125" s="1"/>
  <c r="AP373" i="125" s="1"/>
  <c r="AP374" i="125" s="1"/>
  <c r="AP375" i="125" s="1"/>
  <c r="AP376" i="125" s="1"/>
  <c r="AP377" i="125" s="1"/>
  <c r="AP378" i="125" s="1"/>
  <c r="AP379" i="125" s="1"/>
  <c r="AP380" i="125" s="1"/>
  <c r="AP381" i="125" s="1"/>
  <c r="AP382" i="125" s="1"/>
  <c r="AP383" i="125" s="1"/>
  <c r="AP384" i="125" s="1"/>
  <c r="AP385" i="125" s="1"/>
  <c r="AP386" i="125" s="1"/>
  <c r="AP387" i="125" s="1"/>
  <c r="AP388" i="125" s="1"/>
  <c r="AP389" i="125" s="1"/>
  <c r="AP390" i="125" s="1"/>
  <c r="AP391" i="125" s="1"/>
  <c r="AP392" i="125" s="1"/>
  <c r="AP393" i="125" s="1"/>
  <c r="AP394" i="125" s="1"/>
  <c r="AP395" i="125" s="1"/>
  <c r="AP396" i="125" s="1"/>
  <c r="AP397" i="125" s="1"/>
  <c r="AQ360" i="125"/>
  <c r="AR360" i="125"/>
  <c r="AT360" i="125" s="1"/>
  <c r="BB360" i="125" s="1"/>
  <c r="AS360" i="125"/>
  <c r="AQ361" i="125"/>
  <c r="AR361" i="125"/>
  <c r="AT361" i="125" s="1"/>
  <c r="AQ362" i="125"/>
  <c r="AR362" i="125"/>
  <c r="AT362" i="125" s="1"/>
  <c r="BB362" i="125" s="1"/>
  <c r="AQ363" i="125"/>
  <c r="AR363" i="125"/>
  <c r="AT363" i="125" s="1"/>
  <c r="AS363" i="125"/>
  <c r="AD364" i="125"/>
  <c r="AQ364" i="125"/>
  <c r="AR364" i="125"/>
  <c r="AT364" i="125" s="1"/>
  <c r="AS364" i="125"/>
  <c r="AD365" i="125"/>
  <c r="AQ365" i="125"/>
  <c r="AR365" i="125"/>
  <c r="AT365" i="125" s="1"/>
  <c r="AZ365" i="125" s="1"/>
  <c r="AS365" i="125"/>
  <c r="AD366" i="125"/>
  <c r="AQ366" i="125"/>
  <c r="AR366" i="125"/>
  <c r="AT366" i="125" s="1"/>
  <c r="BB366" i="125" s="1"/>
  <c r="AS366" i="125"/>
  <c r="AD367" i="125"/>
  <c r="AQ367" i="125"/>
  <c r="AR367" i="125"/>
  <c r="AT367" i="125" s="1"/>
  <c r="AS367" i="125"/>
  <c r="AD368" i="125"/>
  <c r="AQ368" i="125"/>
  <c r="AR368" i="125"/>
  <c r="AT368" i="125" s="1"/>
  <c r="AS368" i="125"/>
  <c r="AD369" i="125"/>
  <c r="AQ369" i="125"/>
  <c r="AR369" i="125"/>
  <c r="AT369" i="125" s="1"/>
  <c r="AS369" i="125"/>
  <c r="AD370" i="125"/>
  <c r="AQ370" i="125"/>
  <c r="AR370" i="125"/>
  <c r="AT370" i="125" s="1"/>
  <c r="BA370" i="125" s="1"/>
  <c r="AS370" i="125"/>
  <c r="AD371" i="125"/>
  <c r="AQ371" i="125"/>
  <c r="AR371" i="125"/>
  <c r="AT371" i="125" s="1"/>
  <c r="AS371" i="125"/>
  <c r="AD372" i="125"/>
  <c r="AQ372" i="125"/>
  <c r="AR372" i="125"/>
  <c r="AT372" i="125" s="1"/>
  <c r="AS372" i="125"/>
  <c r="AD373" i="125"/>
  <c r="AQ373" i="125"/>
  <c r="AR373" i="125"/>
  <c r="AT373" i="125" s="1"/>
  <c r="AZ373" i="125" s="1"/>
  <c r="AS373" i="125"/>
  <c r="AD374" i="125"/>
  <c r="AQ374" i="125"/>
  <c r="AR374" i="125"/>
  <c r="AT374" i="125" s="1"/>
  <c r="BB374" i="125" s="1"/>
  <c r="AS374" i="125"/>
  <c r="AD375" i="125"/>
  <c r="AQ375" i="125"/>
  <c r="AR375" i="125"/>
  <c r="AT375" i="125" s="1"/>
  <c r="AS375" i="125"/>
  <c r="AD376" i="125"/>
  <c r="AQ376" i="125"/>
  <c r="AR376" i="125"/>
  <c r="AT376" i="125" s="1"/>
  <c r="AS376" i="125"/>
  <c r="AD377" i="125"/>
  <c r="AQ377" i="125"/>
  <c r="AR377" i="125"/>
  <c r="AT377" i="125" s="1"/>
  <c r="AS377" i="125"/>
  <c r="AD378" i="125"/>
  <c r="AQ378" i="125"/>
  <c r="AR378" i="125"/>
  <c r="AT378" i="125" s="1"/>
  <c r="AS378" i="125"/>
  <c r="AD379" i="125"/>
  <c r="AQ379" i="125"/>
  <c r="AR379" i="125"/>
  <c r="AT379" i="125" s="1"/>
  <c r="AS379" i="125"/>
  <c r="AD380" i="125"/>
  <c r="AQ380" i="125"/>
  <c r="AR380" i="125"/>
  <c r="AT380" i="125" s="1"/>
  <c r="AS380" i="125"/>
  <c r="AD381" i="125"/>
  <c r="AQ381" i="125"/>
  <c r="AR381" i="125"/>
  <c r="AT381" i="125" s="1"/>
  <c r="AS381" i="125"/>
  <c r="AD382" i="125"/>
  <c r="AQ382" i="125"/>
  <c r="AR382" i="125"/>
  <c r="AT382" i="125" s="1"/>
  <c r="BA382" i="125" s="1"/>
  <c r="AS382" i="125"/>
  <c r="AD383" i="125"/>
  <c r="AQ383" i="125"/>
  <c r="AR383" i="125"/>
  <c r="AT383" i="125" s="1"/>
  <c r="AS383" i="125"/>
  <c r="AD384" i="125"/>
  <c r="AQ384" i="125"/>
  <c r="AR384" i="125"/>
  <c r="AT384" i="125" s="1"/>
  <c r="AS384" i="125"/>
  <c r="AD385" i="125"/>
  <c r="AQ385" i="125"/>
  <c r="AR385" i="125"/>
  <c r="AT385" i="125" s="1"/>
  <c r="BB385" i="125" s="1"/>
  <c r="AS385" i="125"/>
  <c r="AD386" i="125"/>
  <c r="AQ386" i="125"/>
  <c r="AR386" i="125"/>
  <c r="AT386" i="125" s="1"/>
  <c r="AZ386" i="125" s="1"/>
  <c r="AS386" i="125"/>
  <c r="AD387" i="125"/>
  <c r="AQ387" i="125"/>
  <c r="AR387" i="125"/>
  <c r="AT387" i="125" s="1"/>
  <c r="AS387" i="125"/>
  <c r="AD388" i="125"/>
  <c r="AQ388" i="125"/>
  <c r="AR388" i="125"/>
  <c r="AT388" i="125" s="1"/>
  <c r="AS388" i="125"/>
  <c r="AD389" i="125"/>
  <c r="AQ389" i="125"/>
  <c r="AR389" i="125"/>
  <c r="AT389" i="125" s="1"/>
  <c r="BA389" i="125" s="1"/>
  <c r="AS389" i="125"/>
  <c r="AD390" i="125"/>
  <c r="AQ390" i="125"/>
  <c r="AR390" i="125"/>
  <c r="AT390" i="125" s="1"/>
  <c r="AS390" i="125"/>
  <c r="AD391" i="125"/>
  <c r="AQ391" i="125"/>
  <c r="AR391" i="125"/>
  <c r="AT391" i="125" s="1"/>
  <c r="AS391" i="125"/>
  <c r="AD392" i="125"/>
  <c r="AQ392" i="125"/>
  <c r="AR392" i="125"/>
  <c r="AT392" i="125" s="1"/>
  <c r="BB392" i="125" s="1"/>
  <c r="AS392" i="125"/>
  <c r="AD393" i="125"/>
  <c r="AQ393" i="125"/>
  <c r="AR393" i="125"/>
  <c r="AT393" i="125" s="1"/>
  <c r="AS393" i="125"/>
  <c r="AD394" i="125"/>
  <c r="AQ394" i="125"/>
  <c r="AR394" i="125"/>
  <c r="AT394" i="125" s="1"/>
  <c r="AS394" i="125"/>
  <c r="AD395" i="125"/>
  <c r="AQ395" i="125"/>
  <c r="AR395" i="125"/>
  <c r="AT395" i="125" s="1"/>
  <c r="AS395" i="125"/>
  <c r="AD396" i="125"/>
  <c r="AQ396" i="125"/>
  <c r="AR396" i="125"/>
  <c r="AT396" i="125" s="1"/>
  <c r="AS396" i="125"/>
  <c r="AD397" i="125"/>
  <c r="AQ397" i="125"/>
  <c r="AR397" i="125"/>
  <c r="AT397" i="125" s="1"/>
  <c r="AS397" i="125"/>
  <c r="AO409" i="125"/>
  <c r="AS409" i="125"/>
  <c r="AS410" i="125"/>
  <c r="J75" i="51"/>
  <c r="J87" i="51"/>
  <c r="J77" i="51"/>
  <c r="J80" i="51"/>
  <c r="J72" i="51"/>
  <c r="J81" i="51"/>
  <c r="J78" i="51"/>
  <c r="J16" i="51"/>
  <c r="J74" i="51"/>
  <c r="J82" i="51"/>
  <c r="J85" i="51"/>
  <c r="J83" i="51"/>
  <c r="J70" i="51"/>
  <c r="I6" i="51"/>
  <c r="I16" i="51"/>
  <c r="J84" i="51"/>
  <c r="J88" i="51"/>
  <c r="J73" i="51"/>
  <c r="J86" i="51"/>
  <c r="J71" i="51"/>
  <c r="J76" i="51"/>
  <c r="J79" i="51"/>
  <c r="AL3" i="129" l="1"/>
  <c r="AL2" i="129"/>
  <c r="AL3" i="128"/>
  <c r="AL2" i="128"/>
  <c r="O69" i="129"/>
  <c r="M19" i="129" s="1"/>
  <c r="O68" i="129"/>
  <c r="A10" i="129" s="1"/>
  <c r="N69" i="128"/>
  <c r="M20" i="128" s="1"/>
  <c r="O69" i="128"/>
  <c r="A10" i="128" s="1"/>
  <c r="J112" i="130"/>
  <c r="J111" i="130"/>
  <c r="S77" i="130"/>
  <c r="O1" i="129"/>
  <c r="J34" i="129" s="1"/>
  <c r="O1" i="128"/>
  <c r="A52" i="128" s="1"/>
  <c r="AA13" i="128"/>
  <c r="AS362" i="125"/>
  <c r="AS361" i="125"/>
  <c r="AS359" i="125"/>
  <c r="AS356" i="125"/>
  <c r="AS354" i="125"/>
  <c r="AS350" i="125"/>
  <c r="AS347" i="125"/>
  <c r="AS344" i="125"/>
  <c r="AS342" i="125"/>
  <c r="AS339" i="125"/>
  <c r="AS335" i="125"/>
  <c r="AS333" i="125"/>
  <c r="AS331" i="125"/>
  <c r="AS330" i="125"/>
  <c r="AS328" i="125"/>
  <c r="AS325" i="125"/>
  <c r="AS322" i="125"/>
  <c r="AS318" i="125"/>
  <c r="AS315" i="125"/>
  <c r="AS312" i="125"/>
  <c r="AS308" i="125"/>
  <c r="AS306" i="125"/>
  <c r="AS305" i="125"/>
  <c r="G82" i="144"/>
  <c r="U85" i="144"/>
  <c r="H89" i="144"/>
  <c r="H91" i="144"/>
  <c r="W26" i="130"/>
  <c r="B52" i="129"/>
  <c r="D46" i="129"/>
  <c r="Z15" i="129"/>
  <c r="Z34" i="129"/>
  <c r="Z35" i="129" s="1"/>
  <c r="Z45" i="129" s="1"/>
  <c r="AE45" i="129" s="1"/>
  <c r="AF36" i="128"/>
  <c r="AI11" i="129"/>
  <c r="AG14" i="129" s="1"/>
  <c r="AI14" i="129" s="1"/>
  <c r="AG13" i="129" s="1"/>
  <c r="AF34" i="129"/>
  <c r="Z15" i="128"/>
  <c r="Z36" i="128"/>
  <c r="S43" i="130"/>
  <c r="D52" i="129"/>
  <c r="S49" i="128"/>
  <c r="N28" i="130"/>
  <c r="D49" i="128"/>
  <c r="D55" i="128"/>
  <c r="B55" i="128"/>
  <c r="N35" i="130"/>
  <c r="N52" i="130"/>
  <c r="E47" i="130"/>
  <c r="N47" i="130" s="1"/>
  <c r="S47" i="130" s="1"/>
  <c r="N45" i="130"/>
  <c r="A70" i="51"/>
  <c r="A62" i="130"/>
  <c r="E32" i="130"/>
  <c r="L32" i="130" s="1"/>
  <c r="E66" i="130"/>
  <c r="N62" i="130"/>
  <c r="E49" i="130"/>
  <c r="S26" i="130"/>
  <c r="L34" i="130"/>
  <c r="L30" i="130"/>
  <c r="N34" i="130"/>
  <c r="N30" i="130"/>
  <c r="N37" i="130"/>
  <c r="A30" i="130"/>
  <c r="L64" i="130"/>
  <c r="N64" i="130"/>
  <c r="L68" i="130"/>
  <c r="A64" i="130"/>
  <c r="N68" i="130"/>
  <c r="N71" i="130"/>
  <c r="L83" i="130"/>
  <c r="N83" i="130"/>
  <c r="A83" i="130"/>
  <c r="N87" i="130"/>
  <c r="B33" i="130"/>
  <c r="N79" i="130"/>
  <c r="A79" i="130"/>
  <c r="N86" i="130"/>
  <c r="E81" i="130"/>
  <c r="L89" i="130" s="1"/>
  <c r="I17" i="130"/>
  <c r="W60" i="130"/>
  <c r="A28" i="130"/>
  <c r="N69" i="130"/>
  <c r="AI11" i="128"/>
  <c r="AG14" i="128" s="1"/>
  <c r="AI14" i="128" s="1"/>
  <c r="AG13" i="128" s="1"/>
  <c r="A71" i="51"/>
  <c r="A72" i="51"/>
  <c r="A73" i="51"/>
  <c r="A74" i="51"/>
  <c r="A75" i="51"/>
  <c r="A76" i="51"/>
  <c r="A77" i="51"/>
  <c r="A78" i="51"/>
  <c r="A79" i="51"/>
  <c r="A80" i="51"/>
  <c r="A81" i="51"/>
  <c r="A82" i="51"/>
  <c r="A83" i="51"/>
  <c r="A84" i="51"/>
  <c r="A85" i="51"/>
  <c r="A86" i="51"/>
  <c r="A87" i="51"/>
  <c r="A88" i="51"/>
  <c r="BA398" i="125"/>
  <c r="AS304" i="125"/>
  <c r="AS302" i="125"/>
  <c r="AS301" i="125"/>
  <c r="AS299" i="125"/>
  <c r="AS298" i="125"/>
  <c r="AS296" i="125"/>
  <c r="AS294" i="125"/>
  <c r="C10" i="125"/>
  <c r="T285" i="125" s="1"/>
  <c r="A16" i="51"/>
  <c r="BA298" i="125"/>
  <c r="AZ333" i="125"/>
  <c r="AW301" i="125"/>
  <c r="BB299" i="125"/>
  <c r="BA297" i="125"/>
  <c r="AZ297" i="125"/>
  <c r="BA366" i="125"/>
  <c r="BB295" i="125"/>
  <c r="AS295" i="125"/>
  <c r="AV310" i="125"/>
  <c r="AV389" i="125"/>
  <c r="AW387" i="125"/>
  <c r="AW383" i="125"/>
  <c r="AX381" i="125"/>
  <c r="AW379" i="125"/>
  <c r="AX377" i="125"/>
  <c r="AX369" i="125"/>
  <c r="AX358" i="125"/>
  <c r="AX302" i="125"/>
  <c r="AX297" i="125"/>
  <c r="AV296" i="125"/>
  <c r="AV326" i="125"/>
  <c r="AV314" i="125"/>
  <c r="AX312" i="125"/>
  <c r="AW297" i="125"/>
  <c r="AZ293" i="125"/>
  <c r="AX301" i="125"/>
  <c r="AV293" i="125"/>
  <c r="AV297" i="125"/>
  <c r="AW394" i="125"/>
  <c r="AX390" i="125"/>
  <c r="AV350" i="125"/>
  <c r="AV346" i="125"/>
  <c r="AV342" i="125"/>
  <c r="AV338" i="125"/>
  <c r="AX308" i="125"/>
  <c r="AW305" i="125"/>
  <c r="AX298" i="125"/>
  <c r="AW364" i="125"/>
  <c r="AV305" i="125"/>
  <c r="AV301" i="125"/>
  <c r="AX397" i="125"/>
  <c r="AV393" i="125"/>
  <c r="AV304" i="125"/>
  <c r="AX294" i="125"/>
  <c r="AZ398" i="125"/>
  <c r="AW398" i="125"/>
  <c r="AV400" i="125" s="1"/>
  <c r="AV409" i="125" s="1"/>
  <c r="BA352" i="125"/>
  <c r="AS311" i="125"/>
  <c r="AZ352" i="125"/>
  <c r="AZ393" i="125"/>
  <c r="AZ389" i="125"/>
  <c r="AS309" i="125"/>
  <c r="BA376" i="125"/>
  <c r="AW376" i="125"/>
  <c r="BB334" i="125"/>
  <c r="AW333" i="125"/>
  <c r="BA312" i="125"/>
  <c r="AX335" i="125"/>
  <c r="BA329" i="125"/>
  <c r="AS310" i="125"/>
  <c r="BA393" i="125"/>
  <c r="AW347" i="125"/>
  <c r="BA372" i="125"/>
  <c r="AW372" i="125"/>
  <c r="AV372" i="125"/>
  <c r="AZ372" i="125"/>
  <c r="AV331" i="125"/>
  <c r="AX331" i="125"/>
  <c r="AX351" i="125"/>
  <c r="AZ336" i="125"/>
  <c r="AV335" i="125"/>
  <c r="AV334" i="125"/>
  <c r="AW351" i="125"/>
  <c r="AV315" i="125"/>
  <c r="AX373" i="125"/>
  <c r="AZ344" i="125"/>
  <c r="AZ351" i="125"/>
  <c r="AW335" i="125"/>
  <c r="BB363" i="125"/>
  <c r="AW363" i="125"/>
  <c r="AZ363" i="125"/>
  <c r="AX363" i="125"/>
  <c r="BA363" i="125"/>
  <c r="AV363" i="125"/>
  <c r="BB324" i="125"/>
  <c r="AX324" i="125"/>
  <c r="AZ324" i="125"/>
  <c r="BA324" i="125"/>
  <c r="AW324" i="125"/>
  <c r="AZ311" i="125"/>
  <c r="AV311" i="125"/>
  <c r="AX311" i="125"/>
  <c r="AW354" i="125"/>
  <c r="BB354" i="125"/>
  <c r="AV354" i="125"/>
  <c r="BB332" i="125"/>
  <c r="AW332" i="125"/>
  <c r="AX332" i="125"/>
  <c r="AZ332" i="125"/>
  <c r="BA332" i="125"/>
  <c r="AX359" i="125"/>
  <c r="BA359" i="125"/>
  <c r="AZ359" i="125"/>
  <c r="AW359" i="125"/>
  <c r="AW355" i="125"/>
  <c r="AX355" i="125"/>
  <c r="AZ355" i="125"/>
  <c r="AZ323" i="125"/>
  <c r="AV323" i="125"/>
  <c r="AX323" i="125"/>
  <c r="BA368" i="125"/>
  <c r="AZ368" i="125"/>
  <c r="AV368" i="125"/>
  <c r="AW368" i="125"/>
  <c r="AZ319" i="125"/>
  <c r="AV319" i="125"/>
  <c r="AX319" i="125"/>
  <c r="BB339" i="125"/>
  <c r="AZ339" i="125"/>
  <c r="AW339" i="125"/>
  <c r="AX339" i="125"/>
  <c r="BB328" i="125"/>
  <c r="AX328" i="125"/>
  <c r="AZ328" i="125"/>
  <c r="BA328" i="125"/>
  <c r="AW328" i="125"/>
  <c r="AX306" i="125"/>
  <c r="BA306" i="125"/>
  <c r="BB306" i="125"/>
  <c r="AZ306" i="125"/>
  <c r="BA384" i="125"/>
  <c r="AV384" i="125"/>
  <c r="AW384" i="125"/>
  <c r="AZ384" i="125"/>
  <c r="BA380" i="125"/>
  <c r="AV380" i="125"/>
  <c r="AW380" i="125"/>
  <c r="AZ380" i="125"/>
  <c r="BB320" i="125"/>
  <c r="AX320" i="125"/>
  <c r="AZ320" i="125"/>
  <c r="BA320" i="125"/>
  <c r="AW320" i="125"/>
  <c r="AZ307" i="125"/>
  <c r="AX307" i="125"/>
  <c r="AV307" i="125"/>
  <c r="AZ381" i="125"/>
  <c r="BA374" i="125"/>
  <c r="BA356" i="125"/>
  <c r="AZ347" i="125"/>
  <c r="BB393" i="125"/>
  <c r="BB390" i="125"/>
  <c r="BB389" i="125"/>
  <c r="AX365" i="125"/>
  <c r="AW356" i="125"/>
  <c r="AX347" i="125"/>
  <c r="AZ343" i="125"/>
  <c r="AZ335" i="125"/>
  <c r="AX315" i="125"/>
  <c r="BA308" i="125"/>
  <c r="BA390" i="125"/>
  <c r="AX343" i="125"/>
  <c r="AV394" i="125"/>
  <c r="AZ390" i="125"/>
  <c r="AZ376" i="125"/>
  <c r="AW343" i="125"/>
  <c r="BB387" i="125"/>
  <c r="AV376" i="125"/>
  <c r="BB381" i="125"/>
  <c r="AS411" i="125"/>
  <c r="AX391" i="125"/>
  <c r="AZ391" i="125"/>
  <c r="AV391" i="125"/>
  <c r="AW391" i="125"/>
  <c r="BA391" i="125"/>
  <c r="BB391" i="125"/>
  <c r="AV396" i="125"/>
  <c r="AW396" i="125"/>
  <c r="AX396" i="125"/>
  <c r="AZ396" i="125"/>
  <c r="BB396" i="125"/>
  <c r="BA396" i="125"/>
  <c r="AV378" i="125"/>
  <c r="AW378" i="125"/>
  <c r="AX378" i="125"/>
  <c r="AZ378" i="125"/>
  <c r="BA378" i="125"/>
  <c r="BB378" i="125"/>
  <c r="AV395" i="125"/>
  <c r="AW395" i="125"/>
  <c r="AX395" i="125"/>
  <c r="AZ395" i="125"/>
  <c r="BA395" i="125"/>
  <c r="BB395" i="125"/>
  <c r="AW397" i="125"/>
  <c r="AZ394" i="125"/>
  <c r="AW392" i="125"/>
  <c r="BA388" i="125"/>
  <c r="BB388" i="125"/>
  <c r="BA386" i="125"/>
  <c r="AV385" i="125"/>
  <c r="BA385" i="125"/>
  <c r="BB382" i="125"/>
  <c r="BB370" i="125"/>
  <c r="AZ369" i="125"/>
  <c r="BB358" i="125"/>
  <c r="AZ327" i="125"/>
  <c r="BA327" i="125"/>
  <c r="BB327" i="125"/>
  <c r="AW327" i="125"/>
  <c r="AV327" i="125"/>
  <c r="AX327" i="125"/>
  <c r="AV397" i="125"/>
  <c r="AX394" i="125"/>
  <c r="AV392" i="125"/>
  <c r="AX371" i="125"/>
  <c r="AZ371" i="125"/>
  <c r="BA371" i="125"/>
  <c r="BB371" i="125"/>
  <c r="AV371" i="125"/>
  <c r="AW371" i="125"/>
  <c r="AW353" i="125"/>
  <c r="AX353" i="125"/>
  <c r="BA353" i="125"/>
  <c r="AV353" i="125"/>
  <c r="AZ353" i="125"/>
  <c r="BB353" i="125"/>
  <c r="AV386" i="125"/>
  <c r="AW386" i="125"/>
  <c r="AX386" i="125"/>
  <c r="AV348" i="125"/>
  <c r="AW348" i="125"/>
  <c r="AX348" i="125"/>
  <c r="BB348" i="125"/>
  <c r="AZ348" i="125"/>
  <c r="BA348" i="125"/>
  <c r="AV377" i="125"/>
  <c r="AW377" i="125"/>
  <c r="BA377" i="125"/>
  <c r="AR399" i="125"/>
  <c r="AX379" i="125"/>
  <c r="AZ379" i="125"/>
  <c r="BA379" i="125"/>
  <c r="BB379" i="125"/>
  <c r="AV379" i="125"/>
  <c r="AV370" i="125"/>
  <c r="AW370" i="125"/>
  <c r="AX370" i="125"/>
  <c r="AZ370" i="125"/>
  <c r="AV369" i="125"/>
  <c r="AW369" i="125"/>
  <c r="BA369" i="125"/>
  <c r="BB369" i="125"/>
  <c r="AW361" i="125"/>
  <c r="AX361" i="125"/>
  <c r="AZ361" i="125"/>
  <c r="BA361" i="125"/>
  <c r="BB361" i="125"/>
  <c r="AV361" i="125"/>
  <c r="AZ358" i="125"/>
  <c r="BA358" i="125"/>
  <c r="AV358" i="125"/>
  <c r="AW358" i="125"/>
  <c r="AW357" i="125"/>
  <c r="AX357" i="125"/>
  <c r="BA357" i="125"/>
  <c r="AV357" i="125"/>
  <c r="AZ357" i="125"/>
  <c r="AW341" i="125"/>
  <c r="AX341" i="125"/>
  <c r="AZ341" i="125"/>
  <c r="BA341" i="125"/>
  <c r="AV341" i="125"/>
  <c r="BB341" i="125"/>
  <c r="BB397" i="125"/>
  <c r="AX393" i="125"/>
  <c r="AX389" i="125"/>
  <c r="AZ388" i="125"/>
  <c r="AZ385" i="125"/>
  <c r="AZ362" i="125"/>
  <c r="BA362" i="125"/>
  <c r="AV362" i="125"/>
  <c r="AW362" i="125"/>
  <c r="AX362" i="125"/>
  <c r="AV321" i="125"/>
  <c r="AW321" i="125"/>
  <c r="AX321" i="125"/>
  <c r="AZ321" i="125"/>
  <c r="BB321" i="125"/>
  <c r="BA321" i="125"/>
  <c r="BA397" i="125"/>
  <c r="AW393" i="125"/>
  <c r="BA392" i="125"/>
  <c r="AV390" i="125"/>
  <c r="AW390" i="125"/>
  <c r="AW389" i="125"/>
  <c r="AX388" i="125"/>
  <c r="AX387" i="125"/>
  <c r="AZ387" i="125"/>
  <c r="BA387" i="125"/>
  <c r="AV387" i="125"/>
  <c r="AX385" i="125"/>
  <c r="AX375" i="125"/>
  <c r="AZ375" i="125"/>
  <c r="BA375" i="125"/>
  <c r="BB375" i="125"/>
  <c r="AV375" i="125"/>
  <c r="AW375" i="125"/>
  <c r="AX367" i="125"/>
  <c r="AZ367" i="125"/>
  <c r="BA367" i="125"/>
  <c r="BB367" i="125"/>
  <c r="AV367" i="125"/>
  <c r="AW367" i="125"/>
  <c r="AV382" i="125"/>
  <c r="AW382" i="125"/>
  <c r="AX382" i="125"/>
  <c r="AZ382" i="125"/>
  <c r="AT398" i="125"/>
  <c r="AZ397" i="125"/>
  <c r="BB394" i="125"/>
  <c r="AZ392" i="125"/>
  <c r="AW388" i="125"/>
  <c r="AW385" i="125"/>
  <c r="AV381" i="125"/>
  <c r="AW381" i="125"/>
  <c r="BA381" i="125"/>
  <c r="BB377" i="125"/>
  <c r="AV364" i="125"/>
  <c r="BA364" i="125"/>
  <c r="BB364" i="125"/>
  <c r="AX364" i="125"/>
  <c r="AZ364" i="125"/>
  <c r="AW349" i="125"/>
  <c r="AX349" i="125"/>
  <c r="AZ349" i="125"/>
  <c r="BA349" i="125"/>
  <c r="AV349" i="125"/>
  <c r="BB349" i="125"/>
  <c r="BA394" i="125"/>
  <c r="AX392" i="125"/>
  <c r="AV388" i="125"/>
  <c r="BB386" i="125"/>
  <c r="AX383" i="125"/>
  <c r="AZ383" i="125"/>
  <c r="BA383" i="125"/>
  <c r="BB383" i="125"/>
  <c r="AV383" i="125"/>
  <c r="AZ377" i="125"/>
  <c r="AV374" i="125"/>
  <c r="AW374" i="125"/>
  <c r="AX374" i="125"/>
  <c r="AZ374" i="125"/>
  <c r="AV373" i="125"/>
  <c r="AW373" i="125"/>
  <c r="BA373" i="125"/>
  <c r="BB373" i="125"/>
  <c r="AV366" i="125"/>
  <c r="AW366" i="125"/>
  <c r="AX366" i="125"/>
  <c r="AZ366" i="125"/>
  <c r="AV365" i="125"/>
  <c r="AW365" i="125"/>
  <c r="BA365" i="125"/>
  <c r="BB365" i="125"/>
  <c r="AV340" i="125"/>
  <c r="AW340" i="125"/>
  <c r="AX340" i="125"/>
  <c r="BB340" i="125"/>
  <c r="AZ340" i="125"/>
  <c r="BA340" i="125"/>
  <c r="AX384" i="125"/>
  <c r="AX380" i="125"/>
  <c r="AX376" i="125"/>
  <c r="AX372" i="125"/>
  <c r="AX368" i="125"/>
  <c r="AV360" i="125"/>
  <c r="AX360" i="125"/>
  <c r="AZ350" i="125"/>
  <c r="BA350" i="125"/>
  <c r="BB350" i="125"/>
  <c r="AW350" i="125"/>
  <c r="AX350" i="125"/>
  <c r="AZ342" i="125"/>
  <c r="BA342" i="125"/>
  <c r="BB342" i="125"/>
  <c r="AW342" i="125"/>
  <c r="AX342" i="125"/>
  <c r="AV356" i="125"/>
  <c r="AX356" i="125"/>
  <c r="BA360" i="125"/>
  <c r="AZ354" i="125"/>
  <c r="BA354" i="125"/>
  <c r="AX354" i="125"/>
  <c r="AZ346" i="125"/>
  <c r="BA346" i="125"/>
  <c r="BB346" i="125"/>
  <c r="AW346" i="125"/>
  <c r="AX346" i="125"/>
  <c r="AZ338" i="125"/>
  <c r="BA338" i="125"/>
  <c r="BB338" i="125"/>
  <c r="AW338" i="125"/>
  <c r="AX338" i="125"/>
  <c r="BB384" i="125"/>
  <c r="BB380" i="125"/>
  <c r="BB376" i="125"/>
  <c r="BB372" i="125"/>
  <c r="BB368" i="125"/>
  <c r="AZ360" i="125"/>
  <c r="BB359" i="125"/>
  <c r="AV359" i="125"/>
  <c r="AW330" i="125"/>
  <c r="AX330" i="125"/>
  <c r="AZ330" i="125"/>
  <c r="BA330" i="125"/>
  <c r="BB330" i="125"/>
  <c r="AV330" i="125"/>
  <c r="AW360" i="125"/>
  <c r="BB356" i="125"/>
  <c r="BB355" i="125"/>
  <c r="AV355" i="125"/>
  <c r="BA355" i="125"/>
  <c r="AV352" i="125"/>
  <c r="AW352" i="125"/>
  <c r="AX352" i="125"/>
  <c r="AW345" i="125"/>
  <c r="AX345" i="125"/>
  <c r="AZ345" i="125"/>
  <c r="BA345" i="125"/>
  <c r="AV345" i="125"/>
  <c r="AV344" i="125"/>
  <c r="AW344" i="125"/>
  <c r="AX344" i="125"/>
  <c r="BB344" i="125"/>
  <c r="AW337" i="125"/>
  <c r="AX337" i="125"/>
  <c r="AZ337" i="125"/>
  <c r="BA337" i="125"/>
  <c r="AV337" i="125"/>
  <c r="AV336" i="125"/>
  <c r="AW336" i="125"/>
  <c r="AX336" i="125"/>
  <c r="BB336" i="125"/>
  <c r="AW322" i="125"/>
  <c r="AX322" i="125"/>
  <c r="AZ322" i="125"/>
  <c r="BA322" i="125"/>
  <c r="BB322" i="125"/>
  <c r="AV322" i="125"/>
  <c r="BA351" i="125"/>
  <c r="BA347" i="125"/>
  <c r="BA343" i="125"/>
  <c r="BA339" i="125"/>
  <c r="AW318" i="125"/>
  <c r="AX318" i="125"/>
  <c r="AZ318" i="125"/>
  <c r="BA318" i="125"/>
  <c r="BB318" i="125"/>
  <c r="AV317" i="125"/>
  <c r="AW317" i="125"/>
  <c r="AX317" i="125"/>
  <c r="AZ317" i="125"/>
  <c r="BB317" i="125"/>
  <c r="BB316" i="125"/>
  <c r="AV316" i="125"/>
  <c r="AW316" i="125"/>
  <c r="AZ316" i="125"/>
  <c r="AV351" i="125"/>
  <c r="AV347" i="125"/>
  <c r="AV343" i="125"/>
  <c r="AV339" i="125"/>
  <c r="AW334" i="125"/>
  <c r="AX334" i="125"/>
  <c r="BA334" i="125"/>
  <c r="AV333" i="125"/>
  <c r="AX333" i="125"/>
  <c r="AV329" i="125"/>
  <c r="AW329" i="125"/>
  <c r="AX329" i="125"/>
  <c r="BB329" i="125"/>
  <c r="AW314" i="125"/>
  <c r="AX314" i="125"/>
  <c r="AZ314" i="125"/>
  <c r="BA314" i="125"/>
  <c r="BB314" i="125"/>
  <c r="AV313" i="125"/>
  <c r="AW313" i="125"/>
  <c r="AX313" i="125"/>
  <c r="AZ313" i="125"/>
  <c r="BB313" i="125"/>
  <c r="BB312" i="125"/>
  <c r="AV312" i="125"/>
  <c r="AW312" i="125"/>
  <c r="AZ312" i="125"/>
  <c r="AZ331" i="125"/>
  <c r="BA331" i="125"/>
  <c r="BB331" i="125"/>
  <c r="AW331" i="125"/>
  <c r="AW326" i="125"/>
  <c r="AX326" i="125"/>
  <c r="AZ326" i="125"/>
  <c r="BA326" i="125"/>
  <c r="BB326" i="125"/>
  <c r="AV325" i="125"/>
  <c r="AW325" i="125"/>
  <c r="AX325" i="125"/>
  <c r="AZ325" i="125"/>
  <c r="BB325" i="125"/>
  <c r="AW300" i="125"/>
  <c r="AX300" i="125"/>
  <c r="AZ300" i="125"/>
  <c r="BA300" i="125"/>
  <c r="BB300" i="125"/>
  <c r="AV300" i="125"/>
  <c r="BA316" i="125"/>
  <c r="BB335" i="125"/>
  <c r="BB333" i="125"/>
  <c r="AV318" i="125"/>
  <c r="BA317" i="125"/>
  <c r="AX316" i="125"/>
  <c r="AW310" i="125"/>
  <c r="AX310" i="125"/>
  <c r="AZ310" i="125"/>
  <c r="BA310" i="125"/>
  <c r="BB310" i="125"/>
  <c r="AV309" i="125"/>
  <c r="AW309" i="125"/>
  <c r="AX309" i="125"/>
  <c r="AZ309" i="125"/>
  <c r="BB309" i="125"/>
  <c r="BB308" i="125"/>
  <c r="AV308" i="125"/>
  <c r="AW308" i="125"/>
  <c r="AZ308" i="125"/>
  <c r="AW323" i="125"/>
  <c r="AW319" i="125"/>
  <c r="AW315" i="125"/>
  <c r="AW311" i="125"/>
  <c r="AW307" i="125"/>
  <c r="AV303" i="125"/>
  <c r="AW303" i="125"/>
  <c r="AX303" i="125"/>
  <c r="AZ303" i="125"/>
  <c r="AZ305" i="125"/>
  <c r="BA305" i="125"/>
  <c r="BB305" i="125"/>
  <c r="BB302" i="125"/>
  <c r="AV302" i="125"/>
  <c r="AW302" i="125"/>
  <c r="AV295" i="125"/>
  <c r="AW295" i="125"/>
  <c r="AX295" i="125"/>
  <c r="AZ295" i="125"/>
  <c r="Z15" i="125"/>
  <c r="C16" i="125"/>
  <c r="Z16" i="125"/>
  <c r="Z13" i="125"/>
  <c r="M19" i="125" s="1"/>
  <c r="Z14" i="125"/>
  <c r="AV332" i="125"/>
  <c r="AV328" i="125"/>
  <c r="AV324" i="125"/>
  <c r="AV320" i="125"/>
  <c r="AV299" i="125"/>
  <c r="AW299" i="125"/>
  <c r="AX299" i="125"/>
  <c r="AZ299" i="125"/>
  <c r="AZ294" i="125"/>
  <c r="BB323" i="125"/>
  <c r="BB319" i="125"/>
  <c r="BB315" i="125"/>
  <c r="BB311" i="125"/>
  <c r="BB307" i="125"/>
  <c r="AV306" i="125"/>
  <c r="AW306" i="125"/>
  <c r="AW304" i="125"/>
  <c r="AX304" i="125"/>
  <c r="AZ304" i="125"/>
  <c r="BA304" i="125"/>
  <c r="BB304" i="125"/>
  <c r="BA323" i="125"/>
  <c r="BA319" i="125"/>
  <c r="BA315" i="125"/>
  <c r="BA311" i="125"/>
  <c r="BA307" i="125"/>
  <c r="BB303" i="125"/>
  <c r="AZ301" i="125"/>
  <c r="BA301" i="125"/>
  <c r="BB301" i="125"/>
  <c r="BB298" i="125"/>
  <c r="AV298" i="125"/>
  <c r="AW298" i="125"/>
  <c r="AW296" i="125"/>
  <c r="AX296" i="125"/>
  <c r="AZ296" i="125"/>
  <c r="BA296" i="125"/>
  <c r="BB296" i="125"/>
  <c r="AX305" i="125"/>
  <c r="BA303" i="125"/>
  <c r="BA302" i="125"/>
  <c r="BB294" i="125"/>
  <c r="AV294" i="125"/>
  <c r="AW294" i="125"/>
  <c r="BB297" i="125"/>
  <c r="J15" i="51"/>
  <c r="I59" i="51"/>
  <c r="Z37" i="128" l="1"/>
  <c r="Z47" i="128" s="1"/>
  <c r="AE47" i="128" s="1"/>
  <c r="L47" i="130"/>
  <c r="S113" i="130"/>
  <c r="A35" i="129"/>
  <c r="A36" i="129"/>
  <c r="A33" i="129"/>
  <c r="A39" i="128"/>
  <c r="A36" i="128"/>
  <c r="A44" i="129"/>
  <c r="A58" i="128"/>
  <c r="A51" i="128"/>
  <c r="A37" i="128"/>
  <c r="A47" i="128"/>
  <c r="A35" i="128"/>
  <c r="A34" i="128"/>
  <c r="D25" i="128"/>
  <c r="A32" i="129"/>
  <c r="A34" i="129"/>
  <c r="M36" i="128"/>
  <c r="M39" i="128" s="1"/>
  <c r="M44" i="128" s="1"/>
  <c r="A55" i="129"/>
  <c r="A48" i="129"/>
  <c r="M34" i="129"/>
  <c r="M36" i="129" s="1"/>
  <c r="M41" i="129" s="1"/>
  <c r="D24" i="129"/>
  <c r="A49" i="129"/>
  <c r="J36" i="128"/>
  <c r="J39" i="128" s="1"/>
  <c r="F6" i="51"/>
  <c r="F59" i="51"/>
  <c r="N66" i="130"/>
  <c r="S66" i="130" s="1"/>
  <c r="A66" i="130"/>
  <c r="W28" i="130"/>
  <c r="N70" i="130"/>
  <c r="S70" i="130" s="1"/>
  <c r="AH14" i="129"/>
  <c r="AF15" i="129" s="1"/>
  <c r="Z404" i="125"/>
  <c r="L70" i="130"/>
  <c r="N32" i="130"/>
  <c r="U39" i="130"/>
  <c r="S62" i="130"/>
  <c r="U73" i="130"/>
  <c r="S45" i="130"/>
  <c r="U56" i="130"/>
  <c r="S28" i="130"/>
  <c r="L55" i="130"/>
  <c r="L51" i="130"/>
  <c r="N51" i="130"/>
  <c r="S51" i="130" s="1"/>
  <c r="N72" i="130"/>
  <c r="S72" i="130" s="1"/>
  <c r="L72" i="130"/>
  <c r="A47" i="130"/>
  <c r="L49" i="130"/>
  <c r="A49" i="130"/>
  <c r="A32" i="130"/>
  <c r="N54" i="130"/>
  <c r="L38" i="130"/>
  <c r="W47" i="130"/>
  <c r="L36" i="130"/>
  <c r="N49" i="130"/>
  <c r="L66" i="130"/>
  <c r="W45" i="130"/>
  <c r="W62" i="130"/>
  <c r="N53" i="130"/>
  <c r="N55" i="130"/>
  <c r="L53" i="130"/>
  <c r="L87" i="130"/>
  <c r="S87" i="130"/>
  <c r="W87" i="130"/>
  <c r="W68" i="130"/>
  <c r="S68" i="130"/>
  <c r="S83" i="130"/>
  <c r="W83" i="130"/>
  <c r="S30" i="130"/>
  <c r="W30" i="130"/>
  <c r="S34" i="130"/>
  <c r="W34" i="130"/>
  <c r="A81" i="130"/>
  <c r="L81" i="130"/>
  <c r="N81" i="130"/>
  <c r="U90" i="130" s="1"/>
  <c r="N88" i="130"/>
  <c r="N85" i="130"/>
  <c r="L85" i="130"/>
  <c r="W79" i="130"/>
  <c r="S79" i="130"/>
  <c r="N89" i="130"/>
  <c r="N36" i="130"/>
  <c r="N38" i="130"/>
  <c r="S64" i="130"/>
  <c r="W64" i="130"/>
  <c r="J36" i="129"/>
  <c r="AH14" i="128"/>
  <c r="AZ400" i="125"/>
  <c r="AZ409" i="125" s="1"/>
  <c r="A15" i="51"/>
  <c r="AS399" i="125"/>
  <c r="AS408" i="125" s="1"/>
  <c r="AS400" i="125"/>
  <c r="E30" i="125"/>
  <c r="N19" i="125"/>
  <c r="AO404" i="125"/>
  <c r="BB399" i="125"/>
  <c r="BB400" i="125"/>
  <c r="AW399" i="125"/>
  <c r="AX402" i="125" s="1"/>
  <c r="BA399" i="125"/>
  <c r="AX400" i="125"/>
  <c r="AX399" i="125"/>
  <c r="J5" i="51"/>
  <c r="S32" i="130" l="1"/>
  <c r="A5" i="51"/>
  <c r="G30" i="125"/>
  <c r="K30" i="125" s="1"/>
  <c r="G32" i="125" s="1"/>
  <c r="AC295" i="125" s="1"/>
  <c r="AD409" i="125"/>
  <c r="AD410" i="125"/>
  <c r="J88" i="18"/>
  <c r="F88" i="18"/>
  <c r="J41" i="129"/>
  <c r="K38" i="129" s="1"/>
  <c r="J44" i="128"/>
  <c r="K41" i="128" s="1"/>
  <c r="W66" i="130"/>
  <c r="W49" i="130"/>
  <c r="W70" i="130"/>
  <c r="W32" i="130"/>
  <c r="W51" i="130"/>
  <c r="W72" i="130"/>
  <c r="N73" i="130"/>
  <c r="L73" i="130" s="1"/>
  <c r="S49" i="130"/>
  <c r="N56" i="130"/>
  <c r="L56" i="130" s="1"/>
  <c r="N41" i="130" s="1"/>
  <c r="W55" i="130"/>
  <c r="S55" i="130"/>
  <c r="S53" i="130"/>
  <c r="W53" i="130"/>
  <c r="N39" i="130"/>
  <c r="L39" i="130" s="1"/>
  <c r="N24" i="130" s="1"/>
  <c r="S81" i="130"/>
  <c r="W81" i="130"/>
  <c r="S89" i="130"/>
  <c r="W89" i="130"/>
  <c r="S36" i="130"/>
  <c r="W36" i="130"/>
  <c r="S38" i="130"/>
  <c r="W38" i="130"/>
  <c r="S85" i="130"/>
  <c r="W85" i="130"/>
  <c r="N90" i="130"/>
  <c r="L90" i="130" s="1"/>
  <c r="AF15" i="128"/>
  <c r="BB402" i="125"/>
  <c r="AS401" i="125"/>
  <c r="J246" i="125" s="1"/>
  <c r="B30" i="125"/>
  <c r="AB294" i="125"/>
  <c r="X22" i="125"/>
  <c r="V22" i="125" s="1"/>
  <c r="AX410" i="125"/>
  <c r="AX408" i="125"/>
  <c r="BB408" i="125"/>
  <c r="BB410" i="125"/>
  <c r="N75" i="130" l="1"/>
  <c r="N58" i="130"/>
  <c r="AC294" i="125"/>
  <c r="AD294" i="125" s="1"/>
  <c r="Z401" i="125"/>
  <c r="M43" i="129"/>
  <c r="M44" i="129"/>
  <c r="M38" i="129"/>
  <c r="B45" i="129" s="1"/>
  <c r="J43" i="129"/>
  <c r="M46" i="128"/>
  <c r="M41" i="128"/>
  <c r="A48" i="128" s="1"/>
  <c r="M47" i="128"/>
  <c r="P53" i="128" s="1"/>
  <c r="J47" i="128"/>
  <c r="E57" i="128" s="1"/>
  <c r="F57" i="128" s="1"/>
  <c r="W39" i="130"/>
  <c r="Q94" i="130" s="1"/>
  <c r="J46" i="128"/>
  <c r="W73" i="130"/>
  <c r="S73" i="130"/>
  <c r="S56" i="130"/>
  <c r="W56" i="130"/>
  <c r="Q96" i="130" s="1"/>
  <c r="S39" i="130"/>
  <c r="W90" i="130"/>
  <c r="S90" i="130"/>
  <c r="AS402" i="125"/>
  <c r="AS403" i="125"/>
  <c r="AE295" i="125"/>
  <c r="AM295" i="125" s="1"/>
  <c r="AD295" i="125"/>
  <c r="E32" i="125"/>
  <c r="AG293" i="125"/>
  <c r="AK293" i="125"/>
  <c r="F42" i="130" l="1"/>
  <c r="Q100" i="130"/>
  <c r="H100" i="130" s="1"/>
  <c r="Q98" i="130"/>
  <c r="H98" i="130" s="1"/>
  <c r="F28" i="130"/>
  <c r="L51" i="128"/>
  <c r="L58" i="128" s="1"/>
  <c r="AE294" i="125"/>
  <c r="AH294" i="125" s="1"/>
  <c r="B57" i="128"/>
  <c r="D57" i="128" s="1"/>
  <c r="M48" i="128" s="1"/>
  <c r="H94" i="130"/>
  <c r="H96" i="130"/>
  <c r="Q13" i="128"/>
  <c r="J48" i="128"/>
  <c r="AS404" i="125"/>
  <c r="AI295" i="125"/>
  <c r="AH295" i="125"/>
  <c r="AK295" i="125"/>
  <c r="AL295" i="125"/>
  <c r="B32" i="125"/>
  <c r="AB295" i="125"/>
  <c r="G34" i="125"/>
  <c r="AC296" i="125" s="1"/>
  <c r="R45" i="125"/>
  <c r="T26" i="125"/>
  <c r="P26" i="125"/>
  <c r="P45" i="125"/>
  <c r="F76" i="130" l="1"/>
  <c r="F59" i="130"/>
  <c r="Q102" i="130"/>
  <c r="AG294" i="125"/>
  <c r="S51" i="128"/>
  <c r="N58" i="128"/>
  <c r="Y51" i="128"/>
  <c r="AL294" i="125"/>
  <c r="AM294" i="125"/>
  <c r="AK294" i="125"/>
  <c r="AI294" i="125"/>
  <c r="AG295" i="125"/>
  <c r="G57" i="128"/>
  <c r="G56" i="128" s="1"/>
  <c r="C63" i="128" s="1"/>
  <c r="H53" i="128"/>
  <c r="T51" i="128"/>
  <c r="AF37" i="128"/>
  <c r="AF47" i="128" s="1"/>
  <c r="V51" i="128" s="1"/>
  <c r="AE296" i="125"/>
  <c r="AH296" i="125" s="1"/>
  <c r="AD296" i="125"/>
  <c r="E34" i="125"/>
  <c r="I177" i="51"/>
  <c r="I5" i="51"/>
  <c r="U57" i="128" l="1"/>
  <c r="U55" i="128"/>
  <c r="P59" i="128"/>
  <c r="P57" i="128"/>
  <c r="P55" i="128"/>
  <c r="AD49" i="128"/>
  <c r="K49" i="128"/>
  <c r="U53" i="128"/>
  <c r="C64" i="128"/>
  <c r="C61" i="128" s="1"/>
  <c r="U51" i="128"/>
  <c r="P61" i="128"/>
  <c r="U49" i="128"/>
  <c r="V49" i="128"/>
  <c r="AL296" i="125"/>
  <c r="AK296" i="125"/>
  <c r="AI296" i="125"/>
  <c r="AM296" i="125"/>
  <c r="G36" i="125"/>
  <c r="AC297" i="125" s="1"/>
  <c r="B34" i="125"/>
  <c r="AB296" i="125"/>
  <c r="AD51" i="128" l="1"/>
  <c r="U59" i="128" s="1"/>
  <c r="AG296" i="125"/>
  <c r="AE297" i="125"/>
  <c r="AH297" i="125" s="1"/>
  <c r="AD297" i="125"/>
  <c r="E36" i="125"/>
  <c r="D62" i="128" l="1"/>
  <c r="R64" i="128" s="1"/>
  <c r="AL297" i="125"/>
  <c r="AM297" i="125"/>
  <c r="AI297" i="125"/>
  <c r="AK297" i="125"/>
  <c r="AB297" i="125"/>
  <c r="B36" i="125"/>
  <c r="G38" i="125"/>
  <c r="AC298" i="125" s="1"/>
  <c r="AG297" i="125" l="1"/>
  <c r="E38" i="125"/>
  <c r="G40" i="125" s="1"/>
  <c r="AC299" i="125" s="1"/>
  <c r="AE298" i="125"/>
  <c r="AM298" i="125" s="1"/>
  <c r="AD298" i="125"/>
  <c r="AI298" i="125" l="1"/>
  <c r="AL298" i="125"/>
  <c r="B38" i="125"/>
  <c r="E40" i="125" s="1"/>
  <c r="AB298" i="125"/>
  <c r="AG298" i="125" s="1"/>
  <c r="AK298" i="125"/>
  <c r="AH298" i="125"/>
  <c r="AE299" i="125"/>
  <c r="AH299" i="125" s="1"/>
  <c r="AD299" i="125"/>
  <c r="AM299" i="125" l="1"/>
  <c r="AL299" i="125"/>
  <c r="AI299" i="125"/>
  <c r="G42" i="125"/>
  <c r="AC300" i="125" s="1"/>
  <c r="B40" i="125"/>
  <c r="AB299" i="125"/>
  <c r="AG299" i="125" s="1"/>
  <c r="AK299" i="125" l="1"/>
  <c r="AE300" i="125"/>
  <c r="AD300" i="125"/>
  <c r="E42" i="125"/>
  <c r="B42" i="125" s="1"/>
  <c r="AI300" i="125" l="1"/>
  <c r="AB300" i="125"/>
  <c r="AG300" i="125" s="1"/>
  <c r="G44" i="125"/>
  <c r="AC301" i="125" s="1"/>
  <c r="AE301" i="125" s="1"/>
  <c r="AM300" i="125"/>
  <c r="AH300" i="125"/>
  <c r="AL300" i="125"/>
  <c r="AK300" i="125"/>
  <c r="E44" i="125" l="1"/>
  <c r="B44" i="125" s="1"/>
  <c r="AL301" i="125"/>
  <c r="AH301" i="125"/>
  <c r="AD301" i="125"/>
  <c r="AM301" i="125" s="1"/>
  <c r="AI301" i="125" l="1"/>
  <c r="G46" i="125"/>
  <c r="AC302" i="125" s="1"/>
  <c r="AE302" i="125" s="1"/>
  <c r="AH302" i="125" s="1"/>
  <c r="AB301" i="125"/>
  <c r="AD302" i="125" l="1"/>
  <c r="AI302" i="125" s="1"/>
  <c r="AK301" i="125"/>
  <c r="AG301" i="125"/>
  <c r="E46" i="125"/>
  <c r="G48" i="125" s="1"/>
  <c r="AC303" i="125" s="1"/>
  <c r="AE303" i="125" s="1"/>
  <c r="AM302" i="125"/>
  <c r="AL302" i="125"/>
  <c r="AD303" i="125" l="1"/>
  <c r="AI303" i="125" s="1"/>
  <c r="AB302" i="125"/>
  <c r="B46" i="125"/>
  <c r="E48" i="125" s="1"/>
  <c r="AB303" i="125" s="1"/>
  <c r="AH303" i="125"/>
  <c r="AL303" i="125"/>
  <c r="AM303" i="125"/>
  <c r="AK302" i="125" l="1"/>
  <c r="AG302" i="125"/>
  <c r="B48" i="125"/>
  <c r="G50" i="125"/>
  <c r="AC304" i="125" s="1"/>
  <c r="AE304" i="125" s="1"/>
  <c r="AK303" i="125"/>
  <c r="AG303" i="125"/>
  <c r="E50" i="125" l="1"/>
  <c r="AB304" i="125" s="1"/>
  <c r="AD304" i="125"/>
  <c r="AI304" i="125" s="1"/>
  <c r="AH304" i="125"/>
  <c r="AL304" i="125"/>
  <c r="AM304" i="125"/>
  <c r="B50" i="125" l="1"/>
  <c r="G52" i="125"/>
  <c r="AC305" i="125" s="1"/>
  <c r="AE305" i="125" s="1"/>
  <c r="AK304" i="125"/>
  <c r="AG304" i="125"/>
  <c r="E52" i="125" l="1"/>
  <c r="AB305" i="125" s="1"/>
  <c r="AK305" i="125" s="1"/>
  <c r="AD305" i="125"/>
  <c r="AI305" i="125" s="1"/>
  <c r="AM305" i="125"/>
  <c r="AH305" i="125"/>
  <c r="AL305" i="125"/>
  <c r="B52" i="125" l="1"/>
  <c r="G54" i="125"/>
  <c r="AC306" i="125" s="1"/>
  <c r="AE306" i="125" s="1"/>
  <c r="AH306" i="125" s="1"/>
  <c r="AG305" i="125"/>
  <c r="E54" i="125" l="1"/>
  <c r="G56" i="125" s="1"/>
  <c r="AC307" i="125" s="1"/>
  <c r="AE307" i="125" s="1"/>
  <c r="AD306" i="125"/>
  <c r="AI306" i="125" s="1"/>
  <c r="AL306" i="125"/>
  <c r="AM306" i="125"/>
  <c r="B54" i="125" l="1"/>
  <c r="E56" i="125" s="1"/>
  <c r="G58" i="125" s="1"/>
  <c r="AC308" i="125" s="1"/>
  <c r="AB306" i="125"/>
  <c r="AK306" i="125" s="1"/>
  <c r="AD307" i="125"/>
  <c r="AI307" i="125" s="1"/>
  <c r="AM307" i="125"/>
  <c r="AL307" i="125"/>
  <c r="AH307" i="125"/>
  <c r="AB307" i="125" l="1"/>
  <c r="AK307" i="125" s="1"/>
  <c r="B56" i="125"/>
  <c r="E58" i="125" s="1"/>
  <c r="AB308" i="125" s="1"/>
  <c r="AG306" i="125"/>
  <c r="AE308" i="125"/>
  <c r="AD308" i="125"/>
  <c r="AG307" i="125" l="1"/>
  <c r="AK308" i="125"/>
  <c r="AH308" i="125"/>
  <c r="AM308" i="125"/>
  <c r="AL308" i="125"/>
  <c r="AI308" i="125"/>
  <c r="AG308" i="125"/>
  <c r="B58" i="125"/>
  <c r="G60" i="125"/>
  <c r="AC309" i="125" s="1"/>
  <c r="E60" i="125" l="1"/>
  <c r="G62" i="125" s="1"/>
  <c r="AC310" i="125" s="1"/>
  <c r="AE309" i="125"/>
  <c r="AD309" i="125"/>
  <c r="AB309" i="125" l="1"/>
  <c r="AK309" i="125" s="1"/>
  <c r="B60" i="125"/>
  <c r="E62" i="125" s="1"/>
  <c r="AL309" i="125"/>
  <c r="AH309" i="125"/>
  <c r="AM309" i="125"/>
  <c r="AI309" i="125"/>
  <c r="AE310" i="125"/>
  <c r="AL310" i="125" s="1"/>
  <c r="AD310" i="125"/>
  <c r="AG309" i="125" l="1"/>
  <c r="AM310" i="125"/>
  <c r="AH310" i="125"/>
  <c r="AI310" i="125"/>
  <c r="G64" i="125"/>
  <c r="AC311" i="125" s="1"/>
  <c r="B62" i="125"/>
  <c r="AB310" i="125"/>
  <c r="AK310" i="125" s="1"/>
  <c r="AG310" i="125" l="1"/>
  <c r="AE311" i="125"/>
  <c r="AD311" i="125"/>
  <c r="E64" i="125"/>
  <c r="G66" i="125" s="1"/>
  <c r="AB311" i="125" l="1"/>
  <c r="AG311" i="125" s="1"/>
  <c r="B64" i="125"/>
  <c r="E66" i="125" s="1"/>
  <c r="AI311" i="125"/>
  <c r="AC312" i="125"/>
  <c r="AH311" i="125"/>
  <c r="AM311" i="125"/>
  <c r="AK311" i="125"/>
  <c r="AL311" i="125"/>
  <c r="AE312" i="125" l="1"/>
  <c r="AG312" i="125" s="1"/>
  <c r="AD312" i="125"/>
  <c r="AB312" i="125"/>
  <c r="G68" i="125"/>
  <c r="AC313" i="125" s="1"/>
  <c r="B66" i="125"/>
  <c r="AK312" i="125" l="1"/>
  <c r="AI312" i="125"/>
  <c r="AH312" i="125"/>
  <c r="AL312" i="125"/>
  <c r="AM312" i="125"/>
  <c r="E68" i="125"/>
  <c r="AB313" i="125" s="1"/>
  <c r="AE313" i="125"/>
  <c r="AH313" i="125" s="1"/>
  <c r="AD313" i="125"/>
  <c r="AG313" i="125" l="1"/>
  <c r="AI313" i="125"/>
  <c r="AL313" i="125"/>
  <c r="AM313" i="125"/>
  <c r="AK313" i="125"/>
  <c r="B68" i="125"/>
  <c r="G70" i="125"/>
  <c r="AC314" i="125" s="1"/>
  <c r="AE314" i="125" l="1"/>
  <c r="AD314" i="125"/>
  <c r="E70" i="125"/>
  <c r="G72" i="125" s="1"/>
  <c r="B70" i="125" l="1"/>
  <c r="E72" i="125" s="1"/>
  <c r="AB314" i="125"/>
  <c r="AK314" i="125" s="1"/>
  <c r="AM314" i="125"/>
  <c r="AI314" i="125"/>
  <c r="AL314" i="125"/>
  <c r="AG314" i="125"/>
  <c r="AH314" i="125"/>
  <c r="AC315" i="125"/>
  <c r="AE315" i="125" l="1"/>
  <c r="AL315" i="125" s="1"/>
  <c r="AD315" i="125"/>
  <c r="AB315" i="125"/>
  <c r="B72" i="125"/>
  <c r="G74" i="125"/>
  <c r="AC316" i="125" s="1"/>
  <c r="AI315" i="125" l="1"/>
  <c r="AH315" i="125"/>
  <c r="AG315" i="125"/>
  <c r="AK315" i="125"/>
  <c r="AM315" i="125"/>
  <c r="AE316" i="125"/>
  <c r="AL316" i="125" s="1"/>
  <c r="AD316" i="125"/>
  <c r="E74" i="125"/>
  <c r="AI316" i="125" l="1"/>
  <c r="AH316" i="125"/>
  <c r="AG316" i="125"/>
  <c r="AM316" i="125"/>
  <c r="G76" i="125"/>
  <c r="AC317" i="125" s="1"/>
  <c r="B74" i="125"/>
  <c r="AB316" i="125"/>
  <c r="AK316" i="125" s="1"/>
  <c r="E76" i="125" l="1"/>
  <c r="B76" i="125" s="1"/>
  <c r="AE317" i="125"/>
  <c r="AG317" i="125" s="1"/>
  <c r="AD317" i="125"/>
  <c r="AI317" i="125" l="1"/>
  <c r="AH317" i="125"/>
  <c r="AM317" i="125"/>
  <c r="AL317" i="125"/>
  <c r="G78" i="125"/>
  <c r="AC318" i="125" s="1"/>
  <c r="AE318" i="125" s="1"/>
  <c r="AB317" i="125"/>
  <c r="AK317" i="125" s="1"/>
  <c r="E78" i="125" l="1"/>
  <c r="B78" i="125" s="1"/>
  <c r="AD318" i="125"/>
  <c r="AM318" i="125" s="1"/>
  <c r="AG318" i="125"/>
  <c r="AL318" i="125"/>
  <c r="AH318" i="125"/>
  <c r="AI318" i="125"/>
  <c r="G80" i="125" l="1"/>
  <c r="AC319" i="125" s="1"/>
  <c r="AE319" i="125" s="1"/>
  <c r="AB318" i="125"/>
  <c r="AK318" i="125" s="1"/>
  <c r="AL319" i="125" l="1"/>
  <c r="AI319" i="125"/>
  <c r="AG319" i="125"/>
  <c r="AD319" i="125"/>
  <c r="AM319" i="125" s="1"/>
  <c r="E80" i="125"/>
  <c r="G82" i="125" s="1"/>
  <c r="AC320" i="125" s="1"/>
  <c r="AE320" i="125" s="1"/>
  <c r="AH319" i="125"/>
  <c r="AI320" i="125" l="1"/>
  <c r="AH320" i="125"/>
  <c r="B80" i="125"/>
  <c r="E82" i="125" s="1"/>
  <c r="AB320" i="125" s="1"/>
  <c r="AK320" i="125" s="1"/>
  <c r="AB319" i="125"/>
  <c r="AK319" i="125" s="1"/>
  <c r="AD320" i="125"/>
  <c r="AM320" i="125" s="1"/>
  <c r="AL320" i="125"/>
  <c r="AG320" i="125"/>
  <c r="B82" i="125" l="1"/>
  <c r="G84" i="125"/>
  <c r="AC321" i="125" s="1"/>
  <c r="AE321" i="125" s="1"/>
  <c r="AL321" i="125" s="1"/>
  <c r="AD321" i="125" l="1"/>
  <c r="AM321" i="125" s="1"/>
  <c r="E84" i="125"/>
  <c r="B84" i="125" s="1"/>
  <c r="AG321" i="125"/>
  <c r="AI321" i="125"/>
  <c r="AH321" i="125"/>
  <c r="G86" i="125" l="1"/>
  <c r="AC322" i="125" s="1"/>
  <c r="AB321" i="125"/>
  <c r="AK321" i="125" s="1"/>
  <c r="E86" i="125" l="1"/>
  <c r="AD322" i="125"/>
  <c r="AE322" i="125"/>
  <c r="AG322" i="125" l="1"/>
  <c r="AH322" i="125"/>
  <c r="AL322" i="125"/>
  <c r="AM322" i="125"/>
  <c r="AI322" i="125"/>
  <c r="G88" i="125"/>
  <c r="AB322" i="125"/>
  <c r="AK322" i="125" s="1"/>
  <c r="B86" i="125"/>
  <c r="AC323" i="125" l="1"/>
  <c r="E88" i="125"/>
  <c r="AB323" i="125" l="1"/>
  <c r="B88" i="125"/>
  <c r="G90" i="125"/>
  <c r="AC324" i="125" s="1"/>
  <c r="AE323" i="125"/>
  <c r="AD323" i="125"/>
  <c r="AE324" i="125" l="1"/>
  <c r="AD324" i="125"/>
  <c r="AG323" i="125"/>
  <c r="AI323" i="125"/>
  <c r="AL323" i="125"/>
  <c r="AM323" i="125"/>
  <c r="AH323" i="125"/>
  <c r="E90" i="125"/>
  <c r="AK323" i="125"/>
  <c r="B90" i="125" l="1"/>
  <c r="G92" i="125"/>
  <c r="AC325" i="125" s="1"/>
  <c r="AB324" i="125"/>
  <c r="AK324" i="125" s="1"/>
  <c r="AL324" i="125"/>
  <c r="AG324" i="125"/>
  <c r="AM324" i="125"/>
  <c r="AI324" i="125"/>
  <c r="AH324" i="125"/>
  <c r="AE325" i="125" l="1"/>
  <c r="AD325" i="125"/>
  <c r="E92" i="125"/>
  <c r="AB325" i="125" l="1"/>
  <c r="AK325" i="125" s="1"/>
  <c r="G94" i="125"/>
  <c r="AC326" i="125" s="1"/>
  <c r="B92" i="125"/>
  <c r="AL325" i="125"/>
  <c r="AI325" i="125"/>
  <c r="AG325" i="125"/>
  <c r="AM325" i="125"/>
  <c r="AH325" i="125"/>
  <c r="E94" i="125" l="1"/>
  <c r="B94" i="125" s="1"/>
  <c r="AE326" i="125"/>
  <c r="AD326" i="125"/>
  <c r="AM326" i="125" l="1"/>
  <c r="AB326" i="125"/>
  <c r="G100" i="125"/>
  <c r="AC327" i="125" s="1"/>
  <c r="AE327" i="125" s="1"/>
  <c r="AI326" i="125"/>
  <c r="AH326" i="125"/>
  <c r="AL326" i="125"/>
  <c r="AG326" i="125"/>
  <c r="AK326" i="125"/>
  <c r="AD327" i="125" l="1"/>
  <c r="AM327" i="125" s="1"/>
  <c r="E100" i="125"/>
  <c r="B100" i="125" s="1"/>
  <c r="AH327" i="125"/>
  <c r="AI327" i="125"/>
  <c r="AL327" i="125"/>
  <c r="AG327" i="125"/>
  <c r="G102" i="125" l="1"/>
  <c r="AC328" i="125" s="1"/>
  <c r="AD328" i="125" s="1"/>
  <c r="AB327" i="125"/>
  <c r="AK327" i="125" s="1"/>
  <c r="AE328" i="125" l="1"/>
  <c r="AM328" i="125" s="1"/>
  <c r="E102" i="125"/>
  <c r="B102" i="125" s="1"/>
  <c r="AI328" i="125" l="1"/>
  <c r="AG328" i="125"/>
  <c r="AH328" i="125"/>
  <c r="G104" i="125"/>
  <c r="AC329" i="125" s="1"/>
  <c r="AE329" i="125" s="1"/>
  <c r="AL328" i="125"/>
  <c r="AB328" i="125"/>
  <c r="AK328" i="125" s="1"/>
  <c r="AD329" i="125"/>
  <c r="E104" i="125"/>
  <c r="B104" i="125" s="1"/>
  <c r="G106" i="125" l="1"/>
  <c r="AC330" i="125" s="1"/>
  <c r="AE330" i="125" s="1"/>
  <c r="AL330" i="125" s="1"/>
  <c r="AB329" i="125"/>
  <c r="AK329" i="125" s="1"/>
  <c r="AM329" i="125"/>
  <c r="AL329" i="125"/>
  <c r="AH329" i="125"/>
  <c r="AI329" i="125"/>
  <c r="AG329" i="125"/>
  <c r="E106" i="125" l="1"/>
  <c r="B106" i="125" s="1"/>
  <c r="AD330" i="125"/>
  <c r="AM330" i="125" s="1"/>
  <c r="AI330" i="125"/>
  <c r="AH330" i="125"/>
  <c r="AG330" i="125"/>
  <c r="G108" i="125" l="1"/>
  <c r="AC331" i="125" s="1"/>
  <c r="AE331" i="125" s="1"/>
  <c r="AI331" i="125" s="1"/>
  <c r="AB330" i="125"/>
  <c r="AK330" i="125" s="1"/>
  <c r="E108" i="125" l="1"/>
  <c r="AG331" i="125"/>
  <c r="AL331" i="125"/>
  <c r="AH331" i="125"/>
  <c r="AD331" i="125"/>
  <c r="AM331" i="125" s="1"/>
  <c r="G110" i="125" l="1"/>
  <c r="AC332" i="125" s="1"/>
  <c r="AB331" i="125"/>
  <c r="AK331" i="125" s="1"/>
  <c r="B108" i="125"/>
  <c r="AD332" i="125" l="1"/>
  <c r="AE332" i="125"/>
  <c r="E110" i="125"/>
  <c r="AB332" i="125" l="1"/>
  <c r="AK332" i="125" s="1"/>
  <c r="G112" i="125"/>
  <c r="AC333" i="125" s="1"/>
  <c r="B110" i="125"/>
  <c r="AL332" i="125"/>
  <c r="AI332" i="125"/>
  <c r="AH332" i="125"/>
  <c r="AG332" i="125"/>
  <c r="AM332" i="125"/>
  <c r="AE333" i="125" l="1"/>
  <c r="AD333" i="125"/>
  <c r="E112" i="125"/>
  <c r="AM333" i="125" l="1"/>
  <c r="AB333" i="125"/>
  <c r="AK333" i="125" s="1"/>
  <c r="G114" i="125"/>
  <c r="AC334" i="125" s="1"/>
  <c r="B112" i="125"/>
  <c r="E114" i="125"/>
  <c r="AH333" i="125"/>
  <c r="AI333" i="125"/>
  <c r="AG333" i="125"/>
  <c r="AL333" i="125"/>
  <c r="AE334" i="125" l="1"/>
  <c r="AD334" i="125"/>
  <c r="AB334" i="125"/>
  <c r="B114" i="125"/>
  <c r="G116" i="125"/>
  <c r="AC335" i="125" s="1"/>
  <c r="AK334" i="125" l="1"/>
  <c r="E116" i="125"/>
  <c r="AM334" i="125"/>
  <c r="AE335" i="125"/>
  <c r="AD335" i="125"/>
  <c r="AI334" i="125"/>
  <c r="AH334" i="125"/>
  <c r="AL334" i="125"/>
  <c r="AG334" i="125"/>
  <c r="AM335" i="125" l="1"/>
  <c r="AG335" i="125"/>
  <c r="AI335" i="125"/>
  <c r="AL335" i="125"/>
  <c r="AH335" i="125"/>
  <c r="G118" i="125"/>
  <c r="AC336" i="125" s="1"/>
  <c r="AB335" i="125"/>
  <c r="AK335" i="125" s="1"/>
  <c r="B116" i="125"/>
  <c r="E118" i="125" s="1"/>
  <c r="AD336" i="125" l="1"/>
  <c r="AE336" i="125"/>
  <c r="G120" i="125"/>
  <c r="AC337" i="125" s="1"/>
  <c r="AB336" i="125"/>
  <c r="B118" i="125"/>
  <c r="AK336" i="125" l="1"/>
  <c r="E120" i="125"/>
  <c r="B120" i="125" s="1"/>
  <c r="AE337" i="125"/>
  <c r="AD337" i="125"/>
  <c r="AG336" i="125"/>
  <c r="AH336" i="125"/>
  <c r="AI336" i="125"/>
  <c r="AM336" i="125"/>
  <c r="AL336" i="125"/>
  <c r="AB337" i="125" l="1"/>
  <c r="G122" i="125"/>
  <c r="AC338" i="125" s="1"/>
  <c r="AE338" i="125" s="1"/>
  <c r="AK337" i="125"/>
  <c r="AD338" i="125"/>
  <c r="E122" i="125"/>
  <c r="AL337" i="125"/>
  <c r="AI337" i="125"/>
  <c r="AH337" i="125"/>
  <c r="AG337" i="125"/>
  <c r="AM337" i="125"/>
  <c r="AG338" i="125" l="1"/>
  <c r="AL338" i="125"/>
  <c r="AI338" i="125"/>
  <c r="AM338" i="125"/>
  <c r="AH338" i="125"/>
  <c r="B122" i="125"/>
  <c r="G124" i="125"/>
  <c r="AC339" i="125" s="1"/>
  <c r="AB338" i="125"/>
  <c r="AK338" i="125" s="1"/>
  <c r="AE339" i="125" l="1"/>
  <c r="AD339" i="125"/>
  <c r="E124" i="125"/>
  <c r="AB339" i="125" l="1"/>
  <c r="AK339" i="125" s="1"/>
  <c r="B124" i="125"/>
  <c r="G126" i="125"/>
  <c r="AC340" i="125" s="1"/>
  <c r="AG339" i="125"/>
  <c r="AI339" i="125"/>
  <c r="AH339" i="125"/>
  <c r="AM339" i="125"/>
  <c r="AL339" i="125"/>
  <c r="AE340" i="125" l="1"/>
  <c r="AD340" i="125"/>
  <c r="E126" i="125"/>
  <c r="G128" i="125" l="1"/>
  <c r="AC341" i="125" s="1"/>
  <c r="B126" i="125"/>
  <c r="AB340" i="125"/>
  <c r="AK340" i="125" s="1"/>
  <c r="AM340" i="125"/>
  <c r="AH340" i="125"/>
  <c r="AL340" i="125"/>
  <c r="AG340" i="125"/>
  <c r="AI340" i="125"/>
  <c r="AE341" i="125" l="1"/>
  <c r="AD341" i="125"/>
  <c r="E128" i="125"/>
  <c r="G130" i="125" l="1"/>
  <c r="AC342" i="125" s="1"/>
  <c r="B128" i="125"/>
  <c r="AB341" i="125"/>
  <c r="AK341" i="125" s="1"/>
  <c r="AI341" i="125"/>
  <c r="AG341" i="125"/>
  <c r="AH341" i="125"/>
  <c r="AM341" i="125"/>
  <c r="AL341" i="125"/>
  <c r="AE342" i="125" l="1"/>
  <c r="AD342" i="125"/>
  <c r="E130" i="125"/>
  <c r="AB342" i="125" l="1"/>
  <c r="G132" i="125"/>
  <c r="AC343" i="125" s="1"/>
  <c r="B130" i="125"/>
  <c r="E132" i="125"/>
  <c r="AG342" i="125"/>
  <c r="AH342" i="125"/>
  <c r="AM342" i="125"/>
  <c r="AL342" i="125"/>
  <c r="AK342" i="125"/>
  <c r="AI342" i="125"/>
  <c r="AE343" i="125" l="1"/>
  <c r="AD343" i="125"/>
  <c r="B132" i="125"/>
  <c r="G134" i="125"/>
  <c r="AC344" i="125" s="1"/>
  <c r="AB343" i="125"/>
  <c r="AK343" i="125" l="1"/>
  <c r="AM343" i="125"/>
  <c r="AE344" i="125"/>
  <c r="AD344" i="125"/>
  <c r="AH343" i="125"/>
  <c r="AG343" i="125"/>
  <c r="AI343" i="125"/>
  <c r="AL343" i="125"/>
  <c r="E134" i="125"/>
  <c r="AM344" i="125" l="1"/>
  <c r="B134" i="125"/>
  <c r="AB344" i="125"/>
  <c r="AK344" i="125" s="1"/>
  <c r="G136" i="125"/>
  <c r="AC345" i="125" s="1"/>
  <c r="AH344" i="125"/>
  <c r="AI344" i="125"/>
  <c r="AG344" i="125"/>
  <c r="AL344" i="125"/>
  <c r="E136" i="125" l="1"/>
  <c r="AE345" i="125"/>
  <c r="AD345" i="125"/>
  <c r="AM345" i="125" l="1"/>
  <c r="AG345" i="125"/>
  <c r="AI345" i="125"/>
  <c r="AH345" i="125"/>
  <c r="AL345" i="125"/>
  <c r="AB345" i="125"/>
  <c r="AK345" i="125" s="1"/>
  <c r="B136" i="125"/>
  <c r="G138" i="125"/>
  <c r="AC346" i="125" s="1"/>
  <c r="L49" i="1"/>
  <c r="L48" i="1"/>
  <c r="B15" i="1"/>
  <c r="I84" i="51"/>
  <c r="H72" i="51"/>
  <c r="H78" i="51"/>
  <c r="H81" i="51"/>
  <c r="H84" i="51"/>
  <c r="I83" i="51"/>
  <c r="I82" i="51"/>
  <c r="H83" i="51"/>
  <c r="H70" i="51"/>
  <c r="I73" i="51"/>
  <c r="I87" i="51"/>
  <c r="H86" i="51"/>
  <c r="H88" i="51"/>
  <c r="H75" i="51"/>
  <c r="H76" i="51"/>
  <c r="I79" i="51"/>
  <c r="I72" i="51"/>
  <c r="I74" i="51"/>
  <c r="I85" i="51"/>
  <c r="H85" i="51"/>
  <c r="I77" i="51"/>
  <c r="I76" i="51"/>
  <c r="I71" i="51"/>
  <c r="I86" i="51"/>
  <c r="I80" i="51"/>
  <c r="I78" i="51"/>
  <c r="H73" i="51"/>
  <c r="I88" i="51"/>
  <c r="I75" i="51"/>
  <c r="H77" i="51"/>
  <c r="H74" i="51"/>
  <c r="H79" i="51"/>
  <c r="H71" i="51"/>
  <c r="H87" i="51"/>
  <c r="H82" i="51"/>
  <c r="H80" i="51"/>
  <c r="I70" i="51"/>
  <c r="I81" i="51"/>
  <c r="E138" i="125" l="1"/>
  <c r="AE346" i="125"/>
  <c r="AD346" i="125"/>
  <c r="B13" i="1"/>
  <c r="B11" i="1"/>
  <c r="G85" i="51"/>
  <c r="G79" i="51"/>
  <c r="G74" i="51"/>
  <c r="G82" i="51"/>
  <c r="G69" i="51"/>
  <c r="G80" i="51"/>
  <c r="G86" i="51"/>
  <c r="G76" i="51"/>
  <c r="G78" i="51"/>
  <c r="G77" i="51"/>
  <c r="G87" i="51"/>
  <c r="G75" i="51"/>
  <c r="G84" i="51"/>
  <c r="G70" i="51"/>
  <c r="G83" i="51"/>
  <c r="G72" i="51"/>
  <c r="G88" i="51"/>
  <c r="G73" i="51"/>
  <c r="G71" i="51"/>
  <c r="G81" i="51"/>
  <c r="AB346" i="125" l="1"/>
  <c r="AK346" i="125" s="1"/>
  <c r="G140" i="125"/>
  <c r="AC347" i="125" s="1"/>
  <c r="B138" i="125"/>
  <c r="AL346" i="125"/>
  <c r="AM346" i="125"/>
  <c r="AG346" i="125"/>
  <c r="AI346" i="125"/>
  <c r="AH346" i="125"/>
  <c r="F62" i="44"/>
  <c r="A10" i="16"/>
  <c r="B43" i="1"/>
  <c r="G33" i="1"/>
  <c r="B70" i="96"/>
  <c r="U1" i="96"/>
  <c r="Y1" i="96" s="1"/>
  <c r="N77" i="75"/>
  <c r="O21" i="115"/>
  <c r="N11" i="115"/>
  <c r="D18" i="115" s="1"/>
  <c r="K45" i="35"/>
  <c r="J45" i="35"/>
  <c r="G45" i="35"/>
  <c r="M1" i="75"/>
  <c r="J11" i="75" s="1"/>
  <c r="B65" i="75" s="1"/>
  <c r="J51" i="51"/>
  <c r="J94" i="51"/>
  <c r="J57" i="51"/>
  <c r="G8" i="51"/>
  <c r="J104" i="51"/>
  <c r="G42" i="51"/>
  <c r="J99" i="51"/>
  <c r="G7" i="51"/>
  <c r="G5" i="51"/>
  <c r="H7" i="51"/>
  <c r="G43" i="51"/>
  <c r="H5" i="51"/>
  <c r="B38" i="116"/>
  <c r="B40" i="116"/>
  <c r="B39" i="116"/>
  <c r="H43" i="51"/>
  <c r="H8" i="51"/>
  <c r="H42" i="51"/>
  <c r="J49" i="51"/>
  <c r="J58" i="51"/>
  <c r="J50" i="51"/>
  <c r="B64" i="75" l="1"/>
  <c r="B63" i="75"/>
  <c r="AE347" i="125"/>
  <c r="AD347" i="125"/>
  <c r="E140" i="125"/>
  <c r="O1" i="75"/>
  <c r="U1" i="75" s="1"/>
  <c r="P17" i="75"/>
  <c r="L9" i="96"/>
  <c r="V81" i="96" s="1"/>
  <c r="B44" i="116"/>
  <c r="B43" i="116"/>
  <c r="B42" i="116"/>
  <c r="A104" i="51"/>
  <c r="A99" i="51"/>
  <c r="A94" i="51"/>
  <c r="A57" i="51"/>
  <c r="A58" i="51"/>
  <c r="A51" i="51"/>
  <c r="A49" i="51"/>
  <c r="C42" i="51"/>
  <c r="P11" i="115"/>
  <c r="P55" i="115"/>
  <c r="A54" i="115"/>
  <c r="A48" i="113"/>
  <c r="L48" i="113"/>
  <c r="F60" i="44"/>
  <c r="F38" i="15"/>
  <c r="B7" i="44"/>
  <c r="C7" i="44"/>
  <c r="C124" i="18"/>
  <c r="F124" i="18"/>
  <c r="J89" i="105"/>
  <c r="N1" i="15"/>
  <c r="N1" i="10"/>
  <c r="N1" i="1"/>
  <c r="B57" i="1" s="1"/>
  <c r="D1" i="77"/>
  <c r="E1" i="103"/>
  <c r="J8" i="103" s="1"/>
  <c r="O75" i="103" s="1"/>
  <c r="D1" i="105"/>
  <c r="H9" i="105" s="1"/>
  <c r="E1" i="86"/>
  <c r="E1" i="78"/>
  <c r="Q64" i="35"/>
  <c r="G1" i="96"/>
  <c r="Q57" i="35"/>
  <c r="Q71" i="35"/>
  <c r="Q51" i="35"/>
  <c r="Q21" i="35"/>
  <c r="Q27" i="35"/>
  <c r="M20" i="16"/>
  <c r="C16" i="111"/>
  <c r="J223" i="51"/>
  <c r="B41" i="116"/>
  <c r="G16" i="51"/>
  <c r="H16" i="51"/>
  <c r="AM2" i="10" l="1"/>
  <c r="AM3" i="10"/>
  <c r="AL3" i="15"/>
  <c r="AL2" i="15"/>
  <c r="O62" i="15"/>
  <c r="A13" i="15" s="1"/>
  <c r="O63" i="15"/>
  <c r="M16" i="15" s="1"/>
  <c r="O69" i="10"/>
  <c r="O68" i="10"/>
  <c r="A10" i="10" s="1"/>
  <c r="O1" i="10"/>
  <c r="A24" i="10" s="1"/>
  <c r="AB347" i="125"/>
  <c r="AK347" i="125" s="1"/>
  <c r="G142" i="125"/>
  <c r="AC348" i="125" s="1"/>
  <c r="B140" i="125"/>
  <c r="E142" i="125" s="1"/>
  <c r="AI347" i="125"/>
  <c r="AM347" i="125"/>
  <c r="AH347" i="125"/>
  <c r="AG347" i="125"/>
  <c r="AL347" i="125"/>
  <c r="I85" i="105"/>
  <c r="B16" i="1"/>
  <c r="B42" i="1" s="1"/>
  <c r="P16" i="1"/>
  <c r="O1" i="15"/>
  <c r="B45" i="116"/>
  <c r="A223" i="51"/>
  <c r="A50" i="51"/>
  <c r="R12" i="115"/>
  <c r="R10" i="115"/>
  <c r="E83" i="51"/>
  <c r="E84" i="51"/>
  <c r="E81" i="51"/>
  <c r="E76" i="51"/>
  <c r="E77" i="51"/>
  <c r="E85" i="51"/>
  <c r="E74" i="51"/>
  <c r="E78" i="51"/>
  <c r="E86" i="51"/>
  <c r="E82" i="51"/>
  <c r="E71" i="51"/>
  <c r="E79" i="51"/>
  <c r="E87" i="51"/>
  <c r="E73" i="51"/>
  <c r="E75" i="51"/>
  <c r="E72" i="51"/>
  <c r="E80" i="51"/>
  <c r="E88" i="51"/>
  <c r="N59" i="111"/>
  <c r="A56" i="111"/>
  <c r="A15" i="108"/>
  <c r="AC36" i="96"/>
  <c r="A99" i="108"/>
  <c r="A98" i="108"/>
  <c r="A97" i="108"/>
  <c r="M75" i="108"/>
  <c r="A75" i="108"/>
  <c r="B64" i="108"/>
  <c r="E63" i="108"/>
  <c r="B62" i="108"/>
  <c r="B61" i="108"/>
  <c r="K58" i="108"/>
  <c r="C57" i="108"/>
  <c r="K56" i="108"/>
  <c r="K57" i="108" s="1"/>
  <c r="B56" i="108"/>
  <c r="M55" i="108"/>
  <c r="C55" i="108"/>
  <c r="M54" i="108"/>
  <c r="C54" i="108"/>
  <c r="M53" i="108"/>
  <c r="C53" i="108"/>
  <c r="M52" i="108"/>
  <c r="B52" i="108"/>
  <c r="F51" i="108"/>
  <c r="A50" i="108"/>
  <c r="F44" i="108"/>
  <c r="E44" i="108"/>
  <c r="L41" i="108"/>
  <c r="L40" i="108"/>
  <c r="K40" i="108"/>
  <c r="M35" i="108"/>
  <c r="B46" i="108" s="1"/>
  <c r="D46" i="108" s="1"/>
  <c r="J35" i="108"/>
  <c r="E46" i="108" s="1"/>
  <c r="F46" i="108" s="1"/>
  <c r="J36" i="108" s="1"/>
  <c r="M26" i="108"/>
  <c r="A96" i="108" s="1"/>
  <c r="E26" i="108"/>
  <c r="H21" i="108"/>
  <c r="C21" i="108"/>
  <c r="H20" i="108"/>
  <c r="H19" i="108"/>
  <c r="A11" i="108"/>
  <c r="A24" i="108" s="1"/>
  <c r="J9" i="108"/>
  <c r="K47" i="108" s="1"/>
  <c r="L8" i="108"/>
  <c r="W12" i="16"/>
  <c r="W12" i="15"/>
  <c r="W12" i="10"/>
  <c r="K12" i="98"/>
  <c r="W44" i="98"/>
  <c r="N49" i="98"/>
  <c r="C45" i="98"/>
  <c r="B45" i="98" s="1"/>
  <c r="J20" i="16"/>
  <c r="J48" i="51"/>
  <c r="J56" i="51"/>
  <c r="I43" i="51"/>
  <c r="D44" i="108" l="1"/>
  <c r="K39" i="108"/>
  <c r="A22" i="10"/>
  <c r="A35" i="10"/>
  <c r="A28" i="10"/>
  <c r="A23" i="10"/>
  <c r="A19" i="10"/>
  <c r="A29" i="10"/>
  <c r="AB348" i="125"/>
  <c r="G144" i="125"/>
  <c r="AC349" i="125" s="1"/>
  <c r="B142" i="125"/>
  <c r="E144" i="125"/>
  <c r="G146" i="125" s="1"/>
  <c r="AC350" i="125" s="1"/>
  <c r="AD348" i="125"/>
  <c r="AE348" i="125"/>
  <c r="A33" i="15"/>
  <c r="A34" i="15"/>
  <c r="A39" i="15"/>
  <c r="A36" i="15"/>
  <c r="A35" i="15"/>
  <c r="A50" i="15"/>
  <c r="A44" i="15"/>
  <c r="A43" i="15"/>
  <c r="A56" i="51"/>
  <c r="K74" i="1"/>
  <c r="J34" i="15"/>
  <c r="J36" i="15" s="1"/>
  <c r="M34" i="15"/>
  <c r="M36" i="15" s="1"/>
  <c r="M39" i="15" s="1"/>
  <c r="A48" i="51"/>
  <c r="O15" i="115"/>
  <c r="F14" i="115"/>
  <c r="J18" i="115" s="1"/>
  <c r="C13" i="75"/>
  <c r="C15" i="75"/>
  <c r="C11" i="108"/>
  <c r="N14" i="108"/>
  <c r="M42" i="108" s="1"/>
  <c r="A25" i="108"/>
  <c r="G46" i="108"/>
  <c r="G45" i="108" s="1"/>
  <c r="I42" i="108"/>
  <c r="M36" i="108"/>
  <c r="A12" i="108"/>
  <c r="J20" i="108"/>
  <c r="B59" i="108"/>
  <c r="B97" i="108"/>
  <c r="C12" i="108"/>
  <c r="C37" i="108"/>
  <c r="C59" i="108"/>
  <c r="C14" i="108"/>
  <c r="B44" i="108"/>
  <c r="A11" i="103"/>
  <c r="R15" i="103" s="1"/>
  <c r="J9" i="103"/>
  <c r="J21" i="103" s="1"/>
  <c r="C19" i="105"/>
  <c r="G53" i="105"/>
  <c r="A86" i="105"/>
  <c r="H56" i="51"/>
  <c r="J69" i="51"/>
  <c r="G56" i="51"/>
  <c r="H58" i="51"/>
  <c r="G58" i="51"/>
  <c r="H57" i="51"/>
  <c r="G57" i="51"/>
  <c r="N20" i="108" l="1"/>
  <c r="K37" i="108"/>
  <c r="D11" i="103"/>
  <c r="B15" i="103"/>
  <c r="AM348" i="125"/>
  <c r="AI348" i="125"/>
  <c r="AH348" i="125"/>
  <c r="AL348" i="125"/>
  <c r="AG348" i="125"/>
  <c r="AB349" i="125"/>
  <c r="B144" i="125"/>
  <c r="E146" i="125" s="1"/>
  <c r="B146" i="125" s="1"/>
  <c r="AD349" i="125"/>
  <c r="AE349" i="125"/>
  <c r="AK348" i="125"/>
  <c r="AE350" i="125"/>
  <c r="AD350" i="125"/>
  <c r="O18" i="115"/>
  <c r="K27" i="115" s="1"/>
  <c r="O27" i="115" s="1"/>
  <c r="K52" i="105"/>
  <c r="A69" i="51"/>
  <c r="A68" i="51" s="1"/>
  <c r="R31" i="115"/>
  <c r="D13" i="103"/>
  <c r="C58" i="51"/>
  <c r="C86" i="18" s="1"/>
  <c r="D58" i="51"/>
  <c r="F86" i="18" s="1"/>
  <c r="C57" i="51"/>
  <c r="C84" i="18" s="1"/>
  <c r="D57" i="51"/>
  <c r="F84" i="18" s="1"/>
  <c r="F57" i="51"/>
  <c r="J84" i="18" s="1"/>
  <c r="C56" i="51"/>
  <c r="C82" i="18" s="1"/>
  <c r="D56" i="51"/>
  <c r="F82" i="18" s="1"/>
  <c r="F35" i="105"/>
  <c r="I42" i="51"/>
  <c r="I56" i="51"/>
  <c r="AK349" i="125" l="1"/>
  <c r="AM349" i="125"/>
  <c r="AH349" i="125"/>
  <c r="AL349" i="125"/>
  <c r="AG349" i="125"/>
  <c r="AI349" i="125"/>
  <c r="AB350" i="125"/>
  <c r="AK350" i="125" s="1"/>
  <c r="G148" i="125"/>
  <c r="AC351" i="125" s="1"/>
  <c r="AE351" i="125" s="1"/>
  <c r="AL350" i="125"/>
  <c r="AG350" i="125"/>
  <c r="AH350" i="125"/>
  <c r="AI350" i="125"/>
  <c r="AM350" i="125"/>
  <c r="F42" i="51"/>
  <c r="D42" i="51" s="1"/>
  <c r="F30" i="115"/>
  <c r="E70" i="51"/>
  <c r="F58" i="51"/>
  <c r="I11" i="51"/>
  <c r="I12" i="51"/>
  <c r="AD351" i="125" l="1"/>
  <c r="AM351" i="125" s="1"/>
  <c r="E148" i="125"/>
  <c r="AI351" i="125"/>
  <c r="AG351" i="125"/>
  <c r="AL351" i="125"/>
  <c r="AH351" i="125"/>
  <c r="J86" i="18"/>
  <c r="O11" i="96"/>
  <c r="B148" i="125" l="1"/>
  <c r="G150" i="125"/>
  <c r="AC352" i="125" s="1"/>
  <c r="AB351" i="125"/>
  <c r="AK351" i="125" s="1"/>
  <c r="T11" i="96"/>
  <c r="E150" i="125" l="1"/>
  <c r="AB352" i="125" s="1"/>
  <c r="AE352" i="125"/>
  <c r="AD352" i="125"/>
  <c r="I50" i="51"/>
  <c r="H48" i="51"/>
  <c r="G50" i="51"/>
  <c r="I54" i="51"/>
  <c r="H54" i="51"/>
  <c r="H52" i="51"/>
  <c r="I55" i="51"/>
  <c r="H55" i="51"/>
  <c r="I53" i="51"/>
  <c r="H50" i="51"/>
  <c r="G54" i="51"/>
  <c r="I51" i="51"/>
  <c r="G52" i="51"/>
  <c r="G49" i="51"/>
  <c r="G48" i="51"/>
  <c r="G55" i="51"/>
  <c r="H53" i="51"/>
  <c r="H51" i="51"/>
  <c r="G53" i="51"/>
  <c r="G51" i="51"/>
  <c r="H49" i="51"/>
  <c r="G15" i="51"/>
  <c r="B150" i="125" l="1"/>
  <c r="G152" i="125"/>
  <c r="AC353" i="125" s="1"/>
  <c r="AL352" i="125"/>
  <c r="AG352" i="125"/>
  <c r="AI352" i="125"/>
  <c r="AM352" i="125"/>
  <c r="AK352" i="125"/>
  <c r="AH352" i="125"/>
  <c r="C55" i="51"/>
  <c r="C80" i="18" s="1"/>
  <c r="D55" i="51"/>
  <c r="F55" i="51"/>
  <c r="J80" i="18" s="1"/>
  <c r="C54" i="51"/>
  <c r="D54" i="51"/>
  <c r="F78" i="18" s="1"/>
  <c r="F54" i="51"/>
  <c r="J78" i="18" s="1"/>
  <c r="C51" i="51"/>
  <c r="C72" i="18" s="1"/>
  <c r="D51" i="51"/>
  <c r="F72" i="18" s="1"/>
  <c r="F51" i="51"/>
  <c r="J72" i="18" s="1"/>
  <c r="F50" i="51"/>
  <c r="J70" i="18" s="1"/>
  <c r="C50" i="51"/>
  <c r="C70" i="18" s="1"/>
  <c r="D50" i="51"/>
  <c r="F70" i="18" s="1"/>
  <c r="C53" i="51"/>
  <c r="D53" i="51"/>
  <c r="F76" i="18" s="1"/>
  <c r="F53" i="51"/>
  <c r="J76" i="18" s="1"/>
  <c r="C49" i="51"/>
  <c r="C68" i="18" s="1"/>
  <c r="D49" i="51"/>
  <c r="F68" i="18" s="1"/>
  <c r="D52" i="51"/>
  <c r="F74" i="18" s="1"/>
  <c r="C52" i="51"/>
  <c r="C48" i="51"/>
  <c r="C66" i="18" s="1"/>
  <c r="D48" i="51"/>
  <c r="F66" i="18" s="1"/>
  <c r="E152" i="125" l="1"/>
  <c r="G154" i="125" s="1"/>
  <c r="AE353" i="125"/>
  <c r="AD353" i="125"/>
  <c r="F80" i="18"/>
  <c r="C78" i="18"/>
  <c r="C76" i="18"/>
  <c r="C74" i="18"/>
  <c r="C15" i="51"/>
  <c r="C24" i="18" s="1"/>
  <c r="C16" i="51"/>
  <c r="C26" i="18" s="1"/>
  <c r="F16" i="51"/>
  <c r="J26" i="18" s="1"/>
  <c r="D16" i="51"/>
  <c r="F26" i="18" s="1"/>
  <c r="B152" i="125" l="1"/>
  <c r="E154" i="125" s="1"/>
  <c r="AB353" i="125"/>
  <c r="AK353" i="125" s="1"/>
  <c r="AC354" i="125"/>
  <c r="AM353" i="125"/>
  <c r="AI353" i="125"/>
  <c r="AG353" i="125"/>
  <c r="AH353" i="125"/>
  <c r="AL353" i="125"/>
  <c r="B154" i="125" l="1"/>
  <c r="G156" i="125"/>
  <c r="AC355" i="125" s="1"/>
  <c r="AB354" i="125"/>
  <c r="AD354" i="125"/>
  <c r="AE354" i="125"/>
  <c r="E62" i="44"/>
  <c r="A5" i="44" s="1"/>
  <c r="E61" i="44"/>
  <c r="D61" i="44"/>
  <c r="C61" i="44"/>
  <c r="B61" i="44"/>
  <c r="A61" i="44"/>
  <c r="I49" i="51"/>
  <c r="D46" i="44" l="1"/>
  <c r="F46" i="44"/>
  <c r="D37" i="44"/>
  <c r="F37" i="44"/>
  <c r="D28" i="44"/>
  <c r="F28" i="44"/>
  <c r="D19" i="44"/>
  <c r="F19" i="44"/>
  <c r="D10" i="44"/>
  <c r="F10" i="44"/>
  <c r="AE355" i="125"/>
  <c r="AD355" i="125"/>
  <c r="E156" i="125"/>
  <c r="AH354" i="125"/>
  <c r="AM354" i="125"/>
  <c r="AL354" i="125"/>
  <c r="AG354" i="125"/>
  <c r="AI354" i="125"/>
  <c r="AK354" i="125"/>
  <c r="A4" i="44"/>
  <c r="L1" i="44"/>
  <c r="L61" i="44" s="1"/>
  <c r="F49" i="51"/>
  <c r="J68" i="18" s="1"/>
  <c r="N48" i="103"/>
  <c r="J89" i="51"/>
  <c r="D7" i="44" l="1"/>
  <c r="AM355" i="125"/>
  <c r="AH355" i="125"/>
  <c r="AI355" i="125"/>
  <c r="AL355" i="125"/>
  <c r="AG355" i="125"/>
  <c r="G158" i="125"/>
  <c r="AC356" i="125" s="1"/>
  <c r="AB355" i="125"/>
  <c r="AK355" i="125" s="1"/>
  <c r="B156" i="125"/>
  <c r="A89" i="51"/>
  <c r="A6" i="44"/>
  <c r="A7" i="44"/>
  <c r="E27" i="103"/>
  <c r="L56" i="103"/>
  <c r="L55" i="103"/>
  <c r="L54" i="103"/>
  <c r="L53" i="103"/>
  <c r="M58" i="75"/>
  <c r="M57" i="75"/>
  <c r="M56" i="75"/>
  <c r="M55" i="75"/>
  <c r="K59" i="75"/>
  <c r="A103" i="103"/>
  <c r="A102" i="103"/>
  <c r="A101" i="103"/>
  <c r="N79" i="103"/>
  <c r="A76" i="103"/>
  <c r="F45" i="103"/>
  <c r="E45" i="103"/>
  <c r="B47" i="103"/>
  <c r="D47" i="103" s="1"/>
  <c r="E47" i="103"/>
  <c r="F47" i="103" s="1"/>
  <c r="N27" i="103"/>
  <c r="H22" i="103"/>
  <c r="H21" i="103"/>
  <c r="F49" i="44" l="1"/>
  <c r="M47" i="44" s="1"/>
  <c r="F13" i="44"/>
  <c r="M11" i="44" s="1"/>
  <c r="F40" i="44"/>
  <c r="M38" i="44" s="1"/>
  <c r="F22" i="44"/>
  <c r="M20" i="44" s="1"/>
  <c r="F31" i="44"/>
  <c r="M29" i="44" s="1"/>
  <c r="AE356" i="125"/>
  <c r="AD356" i="125"/>
  <c r="E158" i="125"/>
  <c r="J6" i="44"/>
  <c r="A100" i="103"/>
  <c r="J37" i="103"/>
  <c r="I43" i="103"/>
  <c r="A25" i="103"/>
  <c r="K40" i="103"/>
  <c r="D45" i="103"/>
  <c r="A13" i="103"/>
  <c r="A26" i="103"/>
  <c r="G47" i="103"/>
  <c r="G46" i="103" s="1"/>
  <c r="N37" i="103"/>
  <c r="B60" i="103"/>
  <c r="B101" i="103"/>
  <c r="C38" i="103"/>
  <c r="C60" i="103"/>
  <c r="B45" i="103"/>
  <c r="AI356" i="125" l="1"/>
  <c r="AL356" i="125"/>
  <c r="AG356" i="125"/>
  <c r="AM356" i="125"/>
  <c r="AH356" i="125"/>
  <c r="B158" i="125"/>
  <c r="AB356" i="125"/>
  <c r="AK356" i="125" s="1"/>
  <c r="G160" i="125"/>
  <c r="AC357" i="125" s="1"/>
  <c r="K48" i="103"/>
  <c r="K41" i="103" s="1"/>
  <c r="K38" i="103"/>
  <c r="E160" i="125" l="1"/>
  <c r="AD357" i="125"/>
  <c r="AE357" i="125"/>
  <c r="E24" i="103"/>
  <c r="A53" i="75"/>
  <c r="B59" i="75"/>
  <c r="C58" i="75"/>
  <c r="C56" i="75"/>
  <c r="C57" i="75"/>
  <c r="F54" i="75"/>
  <c r="G162" i="125" l="1"/>
  <c r="AC358" i="125" s="1"/>
  <c r="AB357" i="125"/>
  <c r="AK357" i="125" s="1"/>
  <c r="B160" i="125"/>
  <c r="AH357" i="125"/>
  <c r="AG357" i="125"/>
  <c r="AI357" i="125"/>
  <c r="AM357" i="125"/>
  <c r="AL357" i="125"/>
  <c r="L8" i="75"/>
  <c r="A15" i="75"/>
  <c r="E162" i="125" l="1"/>
  <c r="B162" i="125" s="1"/>
  <c r="AE358" i="125"/>
  <c r="AD358" i="125"/>
  <c r="A27" i="75"/>
  <c r="A28" i="75"/>
  <c r="G164" i="125" l="1"/>
  <c r="AC359" i="125" s="1"/>
  <c r="AE359" i="125" s="1"/>
  <c r="AB358" i="125"/>
  <c r="AK358" i="125" s="1"/>
  <c r="AM358" i="125"/>
  <c r="AL358" i="125"/>
  <c r="AG358" i="125"/>
  <c r="AI358" i="125"/>
  <c r="AH358" i="125"/>
  <c r="E164" i="125" l="1"/>
  <c r="AB359" i="125" s="1"/>
  <c r="AK359" i="125" s="1"/>
  <c r="AD359" i="125"/>
  <c r="AM359" i="125" s="1"/>
  <c r="AH359" i="125"/>
  <c r="AL359" i="125"/>
  <c r="AG359" i="125"/>
  <c r="AI359" i="125"/>
  <c r="H15" i="51"/>
  <c r="G166" i="125" l="1"/>
  <c r="AC360" i="125" s="1"/>
  <c r="AD360" i="125" s="1"/>
  <c r="B164" i="125"/>
  <c r="D15" i="51"/>
  <c r="F24" i="18" s="1"/>
  <c r="E166" i="125" l="1"/>
  <c r="B166" i="125" s="1"/>
  <c r="AE360" i="125"/>
  <c r="AL360" i="125" s="1"/>
  <c r="AG360" i="125" l="1"/>
  <c r="AM360" i="125"/>
  <c r="AI360" i="125"/>
  <c r="AH360" i="125"/>
  <c r="AB360" i="125"/>
  <c r="AK360" i="125" s="1"/>
  <c r="G168" i="125"/>
  <c r="AC361" i="125" s="1"/>
  <c r="AE361" i="125" s="1"/>
  <c r="M12" i="100"/>
  <c r="M11" i="100"/>
  <c r="M10" i="100"/>
  <c r="T71" i="100"/>
  <c r="A71" i="100"/>
  <c r="N52" i="100"/>
  <c r="M25" i="100"/>
  <c r="U22" i="100"/>
  <c r="Q22" i="100"/>
  <c r="M22" i="100"/>
  <c r="U14" i="100"/>
  <c r="Q14" i="100"/>
  <c r="M8" i="100"/>
  <c r="M5" i="100"/>
  <c r="AD361" i="125" l="1"/>
  <c r="AM361" i="125" s="1"/>
  <c r="E168" i="125"/>
  <c r="AB361" i="125" s="1"/>
  <c r="AK361" i="125" s="1"/>
  <c r="AG361" i="125"/>
  <c r="AH361" i="125"/>
  <c r="AI361" i="125"/>
  <c r="AL361" i="125"/>
  <c r="M6" i="100"/>
  <c r="U27" i="100"/>
  <c r="Q27" i="100"/>
  <c r="H36" i="100"/>
  <c r="M4" i="100"/>
  <c r="D30" i="100" s="1"/>
  <c r="P30" i="100" s="1"/>
  <c r="S52" i="100" s="1"/>
  <c r="W52" i="100" s="1"/>
  <c r="M27" i="100"/>
  <c r="H38" i="100"/>
  <c r="Q25" i="100"/>
  <c r="U25" i="100"/>
  <c r="D36" i="100"/>
  <c r="D38" i="100"/>
  <c r="L16" i="99"/>
  <c r="N67" i="99"/>
  <c r="A63" i="99"/>
  <c r="G63" i="51"/>
  <c r="G170" i="125" l="1"/>
  <c r="AC362" i="125" s="1"/>
  <c r="AE362" i="125" s="1"/>
  <c r="B168" i="125"/>
  <c r="G32" i="100"/>
  <c r="M32" i="100" s="1"/>
  <c r="C63" i="51"/>
  <c r="L20" i="99"/>
  <c r="L23" i="99" s="1"/>
  <c r="L24" i="99" s="1"/>
  <c r="AD362" i="125" l="1"/>
  <c r="AM362" i="125" s="1"/>
  <c r="E170" i="125"/>
  <c r="AB362" i="125" s="1"/>
  <c r="AK362" i="125" s="1"/>
  <c r="AH362" i="125"/>
  <c r="AG362" i="125"/>
  <c r="AI362" i="125"/>
  <c r="AL362" i="125"/>
  <c r="L27" i="99"/>
  <c r="U20" i="98"/>
  <c r="M6" i="98" s="1"/>
  <c r="Q20" i="98"/>
  <c r="M5" i="98" s="1"/>
  <c r="M20" i="98"/>
  <c r="M4" i="98" s="1"/>
  <c r="T72" i="98"/>
  <c r="A68" i="98"/>
  <c r="M29" i="98"/>
  <c r="M23" i="98"/>
  <c r="X16" i="98"/>
  <c r="T16" i="98"/>
  <c r="U14" i="98"/>
  <c r="W14" i="98" s="1"/>
  <c r="U13" i="98" s="1"/>
  <c r="Q14" i="98"/>
  <c r="S14" i="98" s="1"/>
  <c r="R14" i="98" s="1"/>
  <c r="M14" i="98"/>
  <c r="O14" i="98" s="1"/>
  <c r="M13" i="98" s="1"/>
  <c r="U10" i="98"/>
  <c r="Q10" i="98"/>
  <c r="M8" i="98"/>
  <c r="B170" i="125" l="1"/>
  <c r="G172" i="125"/>
  <c r="AC363" i="125" s="1"/>
  <c r="AD363" i="125" s="1"/>
  <c r="U23" i="98"/>
  <c r="Q29" i="98"/>
  <c r="Q15" i="98"/>
  <c r="T15" i="98" s="1"/>
  <c r="K30" i="99"/>
  <c r="O27" i="99"/>
  <c r="K31" i="99"/>
  <c r="N14" i="98"/>
  <c r="U29" i="98"/>
  <c r="D35" i="98"/>
  <c r="Q13" i="98"/>
  <c r="D33" i="98"/>
  <c r="D27" i="98"/>
  <c r="P27" i="98" s="1"/>
  <c r="S49" i="98" s="1"/>
  <c r="T14" i="98"/>
  <c r="V14" i="98"/>
  <c r="U15" i="98" s="1"/>
  <c r="Q23" i="98"/>
  <c r="Q21" i="98"/>
  <c r="I63" i="51"/>
  <c r="E172" i="125" l="1"/>
  <c r="B172" i="125" s="1"/>
  <c r="AE363" i="125"/>
  <c r="AI363" i="125" s="1"/>
  <c r="AD400" i="125"/>
  <c r="AD399" i="125"/>
  <c r="M15" i="98"/>
  <c r="P15" i="98" s="1"/>
  <c r="U21" i="98"/>
  <c r="U30" i="98" s="1"/>
  <c r="X15" i="98"/>
  <c r="F63" i="51"/>
  <c r="J92" i="18" s="1"/>
  <c r="P14" i="98"/>
  <c r="M21" i="98"/>
  <c r="M30" i="98" s="1"/>
  <c r="W49" i="98"/>
  <c r="X14" i="98"/>
  <c r="Q30" i="98"/>
  <c r="X86" i="96"/>
  <c r="A83" i="96"/>
  <c r="A72" i="96"/>
  <c r="N70" i="96"/>
  <c r="A70" i="96"/>
  <c r="A68" i="96"/>
  <c r="A66" i="96"/>
  <c r="B65" i="96"/>
  <c r="A65" i="96"/>
  <c r="A64" i="96"/>
  <c r="A63" i="96"/>
  <c r="Y62" i="96"/>
  <c r="U62" i="96"/>
  <c r="B62" i="96"/>
  <c r="A62" i="96"/>
  <c r="V61" i="96"/>
  <c r="C47" i="96"/>
  <c r="AE42" i="96"/>
  <c r="AB42" i="96"/>
  <c r="A42" i="96" s="1"/>
  <c r="C42" i="96"/>
  <c r="AE41" i="96"/>
  <c r="AB41" i="96"/>
  <c r="C41" i="96"/>
  <c r="AE40" i="96"/>
  <c r="AB40" i="96"/>
  <c r="C40" i="96"/>
  <c r="AF39" i="96"/>
  <c r="AE39" i="96"/>
  <c r="AC39" i="96"/>
  <c r="AB39" i="96"/>
  <c r="C39" i="96"/>
  <c r="AE38" i="96"/>
  <c r="AB38" i="96"/>
  <c r="C38" i="96"/>
  <c r="AE37" i="96"/>
  <c r="AB37" i="96"/>
  <c r="C37" i="96"/>
  <c r="AE36" i="96"/>
  <c r="AB36" i="96"/>
  <c r="C36" i="96"/>
  <c r="AE35" i="96"/>
  <c r="AB35" i="96"/>
  <c r="C35" i="96"/>
  <c r="AF34" i="96"/>
  <c r="AC34" i="96" s="1"/>
  <c r="AE34" i="96"/>
  <c r="AB34" i="96"/>
  <c r="C34" i="96"/>
  <c r="AE33" i="96"/>
  <c r="AB33" i="96"/>
  <c r="C33" i="96"/>
  <c r="AF32" i="96"/>
  <c r="AE32" i="96"/>
  <c r="AC32" i="96"/>
  <c r="AB32" i="96"/>
  <c r="C32" i="96"/>
  <c r="K22" i="96"/>
  <c r="F22" i="96"/>
  <c r="T19" i="96"/>
  <c r="O19" i="96"/>
  <c r="T17" i="96"/>
  <c r="O17" i="96"/>
  <c r="T15" i="96"/>
  <c r="O15" i="96"/>
  <c r="B14" i="96"/>
  <c r="T13" i="96"/>
  <c r="O13" i="96"/>
  <c r="S6" i="96"/>
  <c r="I52" i="51"/>
  <c r="AG363" i="125" l="1"/>
  <c r="AM363" i="125"/>
  <c r="G174" i="125"/>
  <c r="AC364" i="125" s="1"/>
  <c r="AE364" i="125" s="1"/>
  <c r="AK364" i="125" s="1"/>
  <c r="AB363" i="125"/>
  <c r="AK363" i="125" s="1"/>
  <c r="AL363" i="125"/>
  <c r="AH363" i="125"/>
  <c r="C92" i="18"/>
  <c r="F92" i="18"/>
  <c r="H33" i="98"/>
  <c r="G29" i="98"/>
  <c r="G25" i="98" s="1"/>
  <c r="F56" i="51"/>
  <c r="J82" i="18" s="1"/>
  <c r="F52" i="51"/>
  <c r="J74" i="18" s="1"/>
  <c r="L21" i="96"/>
  <c r="M21" i="96" s="1"/>
  <c r="C44" i="96" s="1"/>
  <c r="A41" i="96" s="1"/>
  <c r="AB45" i="96" s="1"/>
  <c r="R32" i="96" s="1"/>
  <c r="R33" i="96" s="1"/>
  <c r="H35" i="98"/>
  <c r="A36" i="96"/>
  <c r="A38" i="96"/>
  <c r="A37" i="96"/>
  <c r="A34" i="96"/>
  <c r="A35" i="96"/>
  <c r="A39" i="96"/>
  <c r="A32" i="96"/>
  <c r="A33" i="96"/>
  <c r="A40" i="96"/>
  <c r="AL364" i="125" l="1"/>
  <c r="AM364" i="125"/>
  <c r="AG364" i="125"/>
  <c r="AH364" i="125"/>
  <c r="AI364" i="125"/>
  <c r="E174" i="125"/>
  <c r="G176" i="125" s="1"/>
  <c r="AC365" i="125" s="1"/>
  <c r="AE365" i="125" s="1"/>
  <c r="R23" i="96"/>
  <c r="R24" i="96"/>
  <c r="AE45" i="96"/>
  <c r="R38" i="96" s="1"/>
  <c r="R39" i="96" s="1"/>
  <c r="O21" i="96"/>
  <c r="T21" i="96"/>
  <c r="A30" i="96"/>
  <c r="V62" i="96"/>
  <c r="AB364" i="125" l="1"/>
  <c r="B174" i="125"/>
  <c r="E176" i="125"/>
  <c r="AB365" i="125" s="1"/>
  <c r="AK365" i="125"/>
  <c r="AL365" i="125"/>
  <c r="AH365" i="125"/>
  <c r="AI365" i="125"/>
  <c r="AM365" i="125"/>
  <c r="AG365" i="125"/>
  <c r="F52" i="96"/>
  <c r="J52" i="96" s="1"/>
  <c r="F50" i="96"/>
  <c r="J50" i="96" s="1"/>
  <c r="E178" i="125" l="1"/>
  <c r="B178" i="125" s="1"/>
  <c r="B176" i="125"/>
  <c r="G178" i="125"/>
  <c r="AC366" i="125" s="1"/>
  <c r="AE366" i="125" s="1"/>
  <c r="AI366" i="125" s="1"/>
  <c r="B59" i="96"/>
  <c r="E66" i="96"/>
  <c r="V66" i="96" s="1"/>
  <c r="C55" i="96"/>
  <c r="AB366" i="125" l="1"/>
  <c r="G180" i="125"/>
  <c r="AC367" i="125" s="1"/>
  <c r="AE367" i="125" s="1"/>
  <c r="AK367" i="125" s="1"/>
  <c r="E180" i="125"/>
  <c r="B180" i="125" s="1"/>
  <c r="AG366" i="125"/>
  <c r="AK366" i="125"/>
  <c r="AL366" i="125"/>
  <c r="AH366" i="125"/>
  <c r="AM366" i="125"/>
  <c r="V68" i="96"/>
  <c r="V72" i="96" s="1"/>
  <c r="Y72" i="96" s="1"/>
  <c r="G182" i="125" l="1"/>
  <c r="AC368" i="125" s="1"/>
  <c r="AE368" i="125" s="1"/>
  <c r="AI368" i="125" s="1"/>
  <c r="AL367" i="125"/>
  <c r="AB367" i="125"/>
  <c r="AI367" i="125"/>
  <c r="E182" i="125"/>
  <c r="E184" i="125" s="1"/>
  <c r="AM367" i="125"/>
  <c r="AG367" i="125"/>
  <c r="AH367" i="125"/>
  <c r="B74" i="96"/>
  <c r="I48" i="51"/>
  <c r="AB368" i="125" l="1"/>
  <c r="AH368" i="125"/>
  <c r="AM368" i="125"/>
  <c r="AG368" i="125"/>
  <c r="G184" i="125"/>
  <c r="AC369" i="125" s="1"/>
  <c r="AE369" i="125" s="1"/>
  <c r="AG369" i="125" s="1"/>
  <c r="AL368" i="125"/>
  <c r="AK368" i="125"/>
  <c r="B182" i="125"/>
  <c r="G186" i="125"/>
  <c r="AC370" i="125" s="1"/>
  <c r="AE370" i="125" s="1"/>
  <c r="AB369" i="125"/>
  <c r="B184" i="125"/>
  <c r="E186" i="125"/>
  <c r="F48" i="51"/>
  <c r="J66" i="18" s="1"/>
  <c r="AI369" i="125" l="1"/>
  <c r="AM369" i="125"/>
  <c r="AL369" i="125"/>
  <c r="AK369" i="125"/>
  <c r="AH369" i="125"/>
  <c r="AK370" i="125"/>
  <c r="AI370" i="125"/>
  <c r="AL370" i="125"/>
  <c r="AM370" i="125"/>
  <c r="AH370" i="125"/>
  <c r="AG370" i="125"/>
  <c r="E188" i="125"/>
  <c r="G188" i="125"/>
  <c r="AC371" i="125" s="1"/>
  <c r="AE371" i="125" s="1"/>
  <c r="AB370" i="125"/>
  <c r="B186" i="125"/>
  <c r="G5" i="76"/>
  <c r="AG371" i="125" l="1"/>
  <c r="AL371" i="125"/>
  <c r="AK371" i="125"/>
  <c r="AH371" i="125"/>
  <c r="AI371" i="125"/>
  <c r="AM371" i="125"/>
  <c r="B188" i="125"/>
  <c r="AB371" i="125"/>
  <c r="G190" i="125"/>
  <c r="AC372" i="125" s="1"/>
  <c r="AE372" i="125" s="1"/>
  <c r="E190" i="125"/>
  <c r="H24" i="76"/>
  <c r="H23" i="76"/>
  <c r="H22" i="76"/>
  <c r="H21" i="76"/>
  <c r="H20" i="76"/>
  <c r="H19" i="76"/>
  <c r="H17" i="76"/>
  <c r="H16" i="76"/>
  <c r="H15" i="76"/>
  <c r="H13" i="76"/>
  <c r="H12" i="76"/>
  <c r="H10" i="76"/>
  <c r="E192" i="125" l="1"/>
  <c r="G192" i="125"/>
  <c r="AC373" i="125" s="1"/>
  <c r="AE373" i="125" s="1"/>
  <c r="B190" i="125"/>
  <c r="AB372" i="125"/>
  <c r="AM372" i="125"/>
  <c r="AG372" i="125"/>
  <c r="AI372" i="125"/>
  <c r="AK372" i="125"/>
  <c r="AH372" i="125"/>
  <c r="AL372" i="125"/>
  <c r="AI373" i="125" l="1"/>
  <c r="AM373" i="125"/>
  <c r="AL373" i="125"/>
  <c r="AH373" i="125"/>
  <c r="AG373" i="125"/>
  <c r="AK373" i="125"/>
  <c r="G194" i="125"/>
  <c r="AC374" i="125" s="1"/>
  <c r="AE374" i="125" s="1"/>
  <c r="AB373" i="125"/>
  <c r="B192" i="125"/>
  <c r="E194" i="125"/>
  <c r="AB374" i="125" l="1"/>
  <c r="G196" i="125"/>
  <c r="AC375" i="125" s="1"/>
  <c r="AE375" i="125" s="1"/>
  <c r="B194" i="125"/>
  <c r="E196" i="125"/>
  <c r="AH374" i="125"/>
  <c r="AL374" i="125"/>
  <c r="AK374" i="125"/>
  <c r="AM374" i="125"/>
  <c r="AI374" i="125"/>
  <c r="AG374" i="125"/>
  <c r="J32" i="77"/>
  <c r="I13" i="77"/>
  <c r="AK375" i="125" l="1"/>
  <c r="AG375" i="125"/>
  <c r="AL375" i="125"/>
  <c r="AI375" i="125"/>
  <c r="AH375" i="125"/>
  <c r="AM375" i="125"/>
  <c r="E198" i="125"/>
  <c r="G198" i="125"/>
  <c r="AC376" i="125" s="1"/>
  <c r="AE376" i="125" s="1"/>
  <c r="B196" i="125"/>
  <c r="AB375" i="125"/>
  <c r="I44" i="26"/>
  <c r="AM376" i="125" l="1"/>
  <c r="AH376" i="125"/>
  <c r="AI376" i="125"/>
  <c r="AK376" i="125"/>
  <c r="AG376" i="125"/>
  <c r="AL376" i="125"/>
  <c r="G200" i="125"/>
  <c r="AC377" i="125" s="1"/>
  <c r="AE377" i="125" s="1"/>
  <c r="B198" i="125"/>
  <c r="E200" i="125"/>
  <c r="AB376" i="125"/>
  <c r="AB377" i="125" l="1"/>
  <c r="E202" i="125"/>
  <c r="B200" i="125"/>
  <c r="G202" i="125"/>
  <c r="AC378" i="125" s="1"/>
  <c r="AE378" i="125" s="1"/>
  <c r="AH377" i="125"/>
  <c r="AI377" i="125"/>
  <c r="AK377" i="125"/>
  <c r="AM377" i="125"/>
  <c r="AL377" i="125"/>
  <c r="AG377" i="125"/>
  <c r="H46" i="51"/>
  <c r="G11" i="51"/>
  <c r="H47" i="51"/>
  <c r="H12" i="51"/>
  <c r="G46" i="51"/>
  <c r="H11" i="51"/>
  <c r="G12" i="51"/>
  <c r="G47" i="51"/>
  <c r="AG378" i="125" l="1"/>
  <c r="AH378" i="125"/>
  <c r="AM378" i="125"/>
  <c r="AK378" i="125"/>
  <c r="AL378" i="125"/>
  <c r="AI378" i="125"/>
  <c r="B202" i="125"/>
  <c r="E204" i="125"/>
  <c r="G204" i="125"/>
  <c r="AC379" i="125" s="1"/>
  <c r="AE379" i="125" s="1"/>
  <c r="AB378" i="125"/>
  <c r="C47" i="51"/>
  <c r="C64" i="18" s="1"/>
  <c r="C46" i="51"/>
  <c r="C62" i="18" s="1"/>
  <c r="D47" i="51"/>
  <c r="D46" i="51"/>
  <c r="F62" i="18" s="1"/>
  <c r="F46" i="51"/>
  <c r="J62" i="18" s="1"/>
  <c r="C43" i="51"/>
  <c r="C56" i="18" s="1"/>
  <c r="C54" i="18"/>
  <c r="D43" i="51"/>
  <c r="F54" i="18"/>
  <c r="C12" i="51"/>
  <c r="C22" i="18" s="1"/>
  <c r="C11" i="51"/>
  <c r="C20" i="18" s="1"/>
  <c r="D12" i="51"/>
  <c r="F22" i="18" s="1"/>
  <c r="D11" i="51"/>
  <c r="F20" i="18" s="1"/>
  <c r="F12" i="51"/>
  <c r="J22" i="18" s="1"/>
  <c r="B204" i="125" l="1"/>
  <c r="AB379" i="125"/>
  <c r="E209" i="125"/>
  <c r="G209" i="125"/>
  <c r="AC380" i="125" s="1"/>
  <c r="AE380" i="125" s="1"/>
  <c r="AM379" i="125"/>
  <c r="AG379" i="125"/>
  <c r="AH379" i="125"/>
  <c r="AL379" i="125"/>
  <c r="AI379" i="125"/>
  <c r="AK379" i="125"/>
  <c r="F64" i="18"/>
  <c r="F56" i="18"/>
  <c r="F11" i="51"/>
  <c r="J20" i="18" s="1"/>
  <c r="AI380" i="125" l="1"/>
  <c r="AL380" i="125"/>
  <c r="AG380" i="125"/>
  <c r="AM380" i="125"/>
  <c r="AK380" i="125"/>
  <c r="AH380" i="125"/>
  <c r="G211" i="125"/>
  <c r="AC381" i="125" s="1"/>
  <c r="AE381" i="125" s="1"/>
  <c r="AB380" i="125"/>
  <c r="E211" i="125"/>
  <c r="B209" i="125"/>
  <c r="AB381" i="125" l="1"/>
  <c r="E213" i="125"/>
  <c r="G213" i="125"/>
  <c r="AC382" i="125" s="1"/>
  <c r="AE382" i="125" s="1"/>
  <c r="B211" i="125"/>
  <c r="AH381" i="125"/>
  <c r="AG381" i="125"/>
  <c r="AK381" i="125"/>
  <c r="AI381" i="125"/>
  <c r="AL381" i="125"/>
  <c r="AM381" i="125"/>
  <c r="A73" i="86"/>
  <c r="M73" i="86"/>
  <c r="J24" i="86"/>
  <c r="J17" i="86"/>
  <c r="J11" i="86"/>
  <c r="J9" i="86"/>
  <c r="AK382" i="125" l="1"/>
  <c r="AG382" i="125"/>
  <c r="AM382" i="125"/>
  <c r="AI382" i="125"/>
  <c r="AH382" i="125"/>
  <c r="AL382" i="125"/>
  <c r="E215" i="125"/>
  <c r="AB382" i="125"/>
  <c r="G215" i="125"/>
  <c r="AC383" i="125" s="1"/>
  <c r="AE383" i="125" s="1"/>
  <c r="B213" i="125"/>
  <c r="K26" i="86"/>
  <c r="K29" i="86" s="1"/>
  <c r="AA32" i="75"/>
  <c r="AA25" i="75"/>
  <c r="AD82" i="75"/>
  <c r="AA19" i="75"/>
  <c r="AG383" i="125" l="1"/>
  <c r="AI383" i="125"/>
  <c r="AL383" i="125"/>
  <c r="AK383" i="125"/>
  <c r="AH383" i="125"/>
  <c r="AM383" i="125"/>
  <c r="E217" i="125"/>
  <c r="B215" i="125"/>
  <c r="G217" i="125"/>
  <c r="AC384" i="125" s="1"/>
  <c r="AE384" i="125" s="1"/>
  <c r="AB383" i="125"/>
  <c r="K39" i="86"/>
  <c r="H44" i="86" s="1"/>
  <c r="AB34" i="75"/>
  <c r="AB37" i="75" s="1"/>
  <c r="AB47" i="75" s="1"/>
  <c r="Y52" i="75" s="1"/>
  <c r="AA9" i="75"/>
  <c r="U7" i="75"/>
  <c r="AI384" i="125" l="1"/>
  <c r="AG384" i="125"/>
  <c r="AM384" i="125"/>
  <c r="AH384" i="125"/>
  <c r="AK384" i="125"/>
  <c r="AL384" i="125"/>
  <c r="E219" i="125"/>
  <c r="B217" i="125"/>
  <c r="AB384" i="125"/>
  <c r="G219" i="125"/>
  <c r="AC385" i="125" s="1"/>
  <c r="AE385" i="125" s="1"/>
  <c r="J48" i="1"/>
  <c r="I48" i="1"/>
  <c r="AB385" i="125" l="1"/>
  <c r="G221" i="125"/>
  <c r="AC386" i="125" s="1"/>
  <c r="AE386" i="125" s="1"/>
  <c r="E221" i="125"/>
  <c r="B219" i="125"/>
  <c r="AH385" i="125"/>
  <c r="AI385" i="125"/>
  <c r="AL385" i="125"/>
  <c r="AM385" i="125"/>
  <c r="AK385" i="125"/>
  <c r="AG385" i="125"/>
  <c r="L50" i="1"/>
  <c r="A106" i="75"/>
  <c r="A105" i="75"/>
  <c r="A104" i="75"/>
  <c r="F47" i="75"/>
  <c r="E47" i="75"/>
  <c r="G45" i="51"/>
  <c r="H45" i="51"/>
  <c r="G44" i="51"/>
  <c r="H44" i="51"/>
  <c r="AB386" i="125" l="1"/>
  <c r="B221" i="125"/>
  <c r="G223" i="125"/>
  <c r="AC387" i="125" s="1"/>
  <c r="AE387" i="125" s="1"/>
  <c r="E223" i="125"/>
  <c r="AI386" i="125"/>
  <c r="AL386" i="125"/>
  <c r="AH386" i="125"/>
  <c r="AG386" i="125"/>
  <c r="AM386" i="125"/>
  <c r="AK386" i="125"/>
  <c r="C44" i="51"/>
  <c r="C58" i="18" s="1"/>
  <c r="D44" i="51"/>
  <c r="F58" i="18" s="1"/>
  <c r="D45" i="51"/>
  <c r="F60" i="18" s="1"/>
  <c r="C45" i="51"/>
  <c r="C60" i="18" s="1"/>
  <c r="AI387" i="125" l="1"/>
  <c r="AM387" i="125"/>
  <c r="AK387" i="125"/>
  <c r="AG387" i="125"/>
  <c r="AL387" i="125"/>
  <c r="AH387" i="125"/>
  <c r="B223" i="125"/>
  <c r="G225" i="125"/>
  <c r="AC388" i="125" s="1"/>
  <c r="AE388" i="125" s="1"/>
  <c r="AB387" i="125"/>
  <c r="E225" i="125"/>
  <c r="N18" i="1"/>
  <c r="AK388" i="125" l="1"/>
  <c r="AI388" i="125"/>
  <c r="AL388" i="125"/>
  <c r="AM388" i="125"/>
  <c r="AG388" i="125"/>
  <c r="AH388" i="125"/>
  <c r="AB388" i="125"/>
  <c r="E227" i="125"/>
  <c r="B225" i="125"/>
  <c r="G227" i="125"/>
  <c r="AC389" i="125" s="1"/>
  <c r="AE389" i="125" s="1"/>
  <c r="D30" i="1"/>
  <c r="A53" i="1"/>
  <c r="F36" i="1"/>
  <c r="E36" i="1"/>
  <c r="D36" i="1"/>
  <c r="B36" i="1"/>
  <c r="G229" i="125" l="1"/>
  <c r="AC390" i="125" s="1"/>
  <c r="AE390" i="125" s="1"/>
  <c r="B227" i="125"/>
  <c r="AB389" i="125"/>
  <c r="E229" i="125"/>
  <c r="AM389" i="125"/>
  <c r="AG389" i="125"/>
  <c r="AL389" i="125"/>
  <c r="AI389" i="125"/>
  <c r="AK389" i="125"/>
  <c r="AH389" i="125"/>
  <c r="I22" i="51"/>
  <c r="I25" i="51"/>
  <c r="I24" i="51"/>
  <c r="I23" i="51"/>
  <c r="I21" i="51"/>
  <c r="AG390" i="125" l="1"/>
  <c r="AI390" i="125"/>
  <c r="AL390" i="125"/>
  <c r="AK390" i="125"/>
  <c r="AM390" i="125"/>
  <c r="AH390" i="125"/>
  <c r="E231" i="125"/>
  <c r="G231" i="125"/>
  <c r="AC391" i="125" s="1"/>
  <c r="AE391" i="125" s="1"/>
  <c r="B229" i="125"/>
  <c r="AB390" i="125"/>
  <c r="AG391" i="125" l="1"/>
  <c r="AI391" i="125"/>
  <c r="AL391" i="125"/>
  <c r="AK391" i="125"/>
  <c r="AM391" i="125"/>
  <c r="AH391" i="125"/>
  <c r="B231" i="125"/>
  <c r="E233" i="125"/>
  <c r="AB391" i="125"/>
  <c r="G233" i="125"/>
  <c r="AC392" i="125" s="1"/>
  <c r="AE392" i="125" s="1"/>
  <c r="F133" i="51"/>
  <c r="C133" i="51" s="1"/>
  <c r="B233" i="125" l="1"/>
  <c r="G235" i="125"/>
  <c r="AC393" i="125" s="1"/>
  <c r="AB392" i="125"/>
  <c r="E235" i="125"/>
  <c r="AL392" i="125"/>
  <c r="AK392" i="125"/>
  <c r="AG392" i="125"/>
  <c r="AH392" i="125"/>
  <c r="AI392" i="125"/>
  <c r="AM392" i="125"/>
  <c r="M16" i="79"/>
  <c r="M23" i="79" s="1"/>
  <c r="B51" i="79" s="1"/>
  <c r="B39" i="79"/>
  <c r="E22" i="79"/>
  <c r="H22" i="79" s="1"/>
  <c r="E20" i="79"/>
  <c r="C20" i="79"/>
  <c r="J21" i="10"/>
  <c r="J24" i="10" s="1"/>
  <c r="M10" i="10"/>
  <c r="M20" i="10" s="1"/>
  <c r="AF21" i="10"/>
  <c r="Z21" i="10"/>
  <c r="AF19" i="15"/>
  <c r="AF29" i="15"/>
  <c r="AF32" i="15" s="1"/>
  <c r="J9" i="15"/>
  <c r="E47" i="15" s="1"/>
  <c r="Z29" i="15"/>
  <c r="Z32" i="15" s="1"/>
  <c r="Z19" i="15"/>
  <c r="L35" i="15"/>
  <c r="J16" i="15"/>
  <c r="J39" i="15" s="1"/>
  <c r="Z21" i="16"/>
  <c r="E30" i="16"/>
  <c r="F30" i="16" s="1"/>
  <c r="AF21" i="16"/>
  <c r="B30" i="16"/>
  <c r="AF9" i="16"/>
  <c r="AG8" i="16" s="1"/>
  <c r="AF10" i="16" s="1"/>
  <c r="T34" i="16"/>
  <c r="M10" i="16"/>
  <c r="C35" i="16" s="1"/>
  <c r="AB69" i="16"/>
  <c r="AA14" i="16"/>
  <c r="AC14" i="16" s="1"/>
  <c r="AB14" i="16" s="1"/>
  <c r="Z15" i="16" s="1"/>
  <c r="S8" i="16"/>
  <c r="Z8" i="16" s="1"/>
  <c r="S6" i="16"/>
  <c r="F28" i="16"/>
  <c r="E28" i="16"/>
  <c r="AA14" i="10"/>
  <c r="AC14" i="10" s="1"/>
  <c r="AB14" i="10" s="1"/>
  <c r="Z15" i="10" s="1"/>
  <c r="H11" i="15"/>
  <c r="M11" i="15"/>
  <c r="M13" i="15"/>
  <c r="Y72" i="10"/>
  <c r="T35" i="10"/>
  <c r="S8" i="10"/>
  <c r="Z8" i="10" s="1"/>
  <c r="S6" i="10"/>
  <c r="F32" i="10"/>
  <c r="E32" i="10"/>
  <c r="AC68" i="15"/>
  <c r="AF10" i="15"/>
  <c r="AG9" i="15" s="1"/>
  <c r="AA14" i="15"/>
  <c r="AC14" i="15" s="1"/>
  <c r="AB14" i="15" s="1"/>
  <c r="Z15" i="15" s="1"/>
  <c r="S8" i="15"/>
  <c r="Z8" i="15" s="1"/>
  <c r="S6" i="15"/>
  <c r="M69" i="79"/>
  <c r="J34" i="77"/>
  <c r="J23" i="77"/>
  <c r="J25" i="77" s="1"/>
  <c r="B14" i="79"/>
  <c r="H13" i="79"/>
  <c r="H21" i="79"/>
  <c r="G15" i="79"/>
  <c r="E12" i="79"/>
  <c r="A65" i="79"/>
  <c r="K6" i="79"/>
  <c r="L112" i="78"/>
  <c r="L113" i="78" s="1"/>
  <c r="J112" i="78"/>
  <c r="J113" i="78" s="1"/>
  <c r="E112" i="78"/>
  <c r="E113" i="78" s="1"/>
  <c r="L100" i="78"/>
  <c r="L101" i="78" s="1"/>
  <c r="J100" i="78"/>
  <c r="J101" i="78" s="1"/>
  <c r="G100" i="78"/>
  <c r="G101" i="78" s="1"/>
  <c r="E100" i="78"/>
  <c r="E101" i="78" s="1"/>
  <c r="M71" i="78"/>
  <c r="A68" i="78"/>
  <c r="M66" i="78"/>
  <c r="C51" i="78"/>
  <c r="J43" i="78"/>
  <c r="N66" i="78" s="1"/>
  <c r="M30" i="78"/>
  <c r="M17" i="78"/>
  <c r="M26" i="78"/>
  <c r="J24" i="77"/>
  <c r="J58" i="77"/>
  <c r="A58" i="77"/>
  <c r="J6" i="77"/>
  <c r="M50" i="75"/>
  <c r="F60" i="35"/>
  <c r="E29" i="75"/>
  <c r="A18" i="75"/>
  <c r="E40" i="44"/>
  <c r="O47" i="44"/>
  <c r="G63" i="76"/>
  <c r="I24" i="76"/>
  <c r="I23" i="76"/>
  <c r="I22" i="76"/>
  <c r="I21" i="76"/>
  <c r="I20" i="76"/>
  <c r="I19" i="76"/>
  <c r="I18" i="76"/>
  <c r="I17" i="76"/>
  <c r="I16" i="76"/>
  <c r="I15" i="76"/>
  <c r="I14" i="76"/>
  <c r="I13" i="76"/>
  <c r="I12" i="76"/>
  <c r="I11" i="76"/>
  <c r="I10" i="76"/>
  <c r="I9" i="76"/>
  <c r="H18" i="76"/>
  <c r="O70" i="35"/>
  <c r="M82" i="75"/>
  <c r="A78" i="75"/>
  <c r="D8" i="75" s="1"/>
  <c r="B49" i="75"/>
  <c r="D49" i="75" s="1"/>
  <c r="E49" i="75"/>
  <c r="F49" i="75" s="1"/>
  <c r="M29" i="75"/>
  <c r="A103" i="75" s="1"/>
  <c r="F14" i="15"/>
  <c r="E39" i="26"/>
  <c r="K38" i="26" s="1"/>
  <c r="M38" i="26" s="1"/>
  <c r="I39" i="26"/>
  <c r="E14" i="26"/>
  <c r="G14" i="26" s="1"/>
  <c r="I14" i="26" s="1"/>
  <c r="E106" i="71"/>
  <c r="Q102" i="54"/>
  <c r="S102" i="54" s="1"/>
  <c r="Q100" i="54"/>
  <c r="S100" i="54" s="1"/>
  <c r="Q98" i="54"/>
  <c r="S98" i="54" s="1"/>
  <c r="Q96" i="54"/>
  <c r="S96" i="54" s="1"/>
  <c r="Q94" i="54"/>
  <c r="S94" i="54" s="1"/>
  <c r="Q84" i="54"/>
  <c r="S84" i="54" s="1"/>
  <c r="Q82" i="54"/>
  <c r="S82" i="54" s="1"/>
  <c r="Q80" i="54"/>
  <c r="S80" i="54" s="1"/>
  <c r="Q78" i="54"/>
  <c r="S78" i="54" s="1"/>
  <c r="Q76" i="54"/>
  <c r="S76" i="54" s="1"/>
  <c r="Q64" i="54"/>
  <c r="S64" i="54" s="1"/>
  <c r="Q62" i="54"/>
  <c r="S62" i="54" s="1"/>
  <c r="Q60" i="54"/>
  <c r="S60" i="54" s="1"/>
  <c r="Q58" i="54"/>
  <c r="S58" i="54" s="1"/>
  <c r="Q56" i="54"/>
  <c r="Q44" i="54"/>
  <c r="S44" i="54" s="1"/>
  <c r="Q42" i="54"/>
  <c r="S42" i="54" s="1"/>
  <c r="Q40" i="54"/>
  <c r="S40" i="54" s="1"/>
  <c r="Q38" i="54"/>
  <c r="S38" i="54" s="1"/>
  <c r="Q36" i="54"/>
  <c r="S36" i="54" s="1"/>
  <c r="Q24" i="54"/>
  <c r="S24" i="54" s="1"/>
  <c r="Q22" i="54"/>
  <c r="S22" i="54" s="1"/>
  <c r="Q16" i="54"/>
  <c r="S16" i="54" s="1"/>
  <c r="Q18" i="54"/>
  <c r="S18" i="54" s="1"/>
  <c r="Q20" i="54"/>
  <c r="S20" i="54" s="1"/>
  <c r="L73" i="35"/>
  <c r="K71" i="35" s="1"/>
  <c r="O84" i="54"/>
  <c r="O82" i="54"/>
  <c r="O80" i="54"/>
  <c r="O78" i="54"/>
  <c r="O76" i="54"/>
  <c r="O64" i="54"/>
  <c r="O62" i="54"/>
  <c r="O60" i="54"/>
  <c r="O58" i="54"/>
  <c r="O56" i="54"/>
  <c r="O44" i="54"/>
  <c r="O42" i="54"/>
  <c r="O40" i="54"/>
  <c r="O38" i="54"/>
  <c r="O36" i="54"/>
  <c r="O24" i="54"/>
  <c r="O22" i="54"/>
  <c r="O20" i="54"/>
  <c r="O18" i="54"/>
  <c r="O16" i="54"/>
  <c r="J64" i="32"/>
  <c r="L69" i="30"/>
  <c r="S130" i="54"/>
  <c r="M69" i="16"/>
  <c r="M68" i="15"/>
  <c r="M72" i="10"/>
  <c r="M68" i="44"/>
  <c r="N81" i="1"/>
  <c r="K67" i="26"/>
  <c r="J74" i="20"/>
  <c r="J65" i="38"/>
  <c r="J221" i="18"/>
  <c r="S1" i="54"/>
  <c r="E49" i="44"/>
  <c r="D49" i="44"/>
  <c r="E31" i="44"/>
  <c r="D31" i="44"/>
  <c r="E22" i="44"/>
  <c r="D22" i="44"/>
  <c r="D13" i="44"/>
  <c r="A66" i="16"/>
  <c r="A65" i="15"/>
  <c r="A70" i="10"/>
  <c r="A62" i="44"/>
  <c r="A73" i="1"/>
  <c r="A58" i="26"/>
  <c r="A68" i="20"/>
  <c r="A4" i="18"/>
  <c r="I6" i="16"/>
  <c r="I6" i="15"/>
  <c r="O38" i="44"/>
  <c r="O29" i="44"/>
  <c r="O20" i="44"/>
  <c r="O11" i="44"/>
  <c r="B38" i="1"/>
  <c r="E29" i="35"/>
  <c r="F18" i="35" s="1"/>
  <c r="D4" i="38"/>
  <c r="L1" i="35"/>
  <c r="D4" i="18"/>
  <c r="L6" i="35"/>
  <c r="J4" i="18" s="1"/>
  <c r="I19" i="26"/>
  <c r="L62" i="30"/>
  <c r="I56" i="30"/>
  <c r="I49" i="30"/>
  <c r="I42" i="30"/>
  <c r="I28" i="30"/>
  <c r="I14" i="30"/>
  <c r="I35" i="26"/>
  <c r="I8" i="16"/>
  <c r="I8" i="15"/>
  <c r="I7" i="30"/>
  <c r="J44" i="20"/>
  <c r="J50" i="20"/>
  <c r="J48" i="20"/>
  <c r="J46" i="20"/>
  <c r="J21" i="20"/>
  <c r="J19" i="20"/>
  <c r="J17" i="20"/>
  <c r="J15" i="20"/>
  <c r="G105" i="51"/>
  <c r="G115" i="51"/>
  <c r="I106" i="51"/>
  <c r="I144" i="51"/>
  <c r="G146" i="51"/>
  <c r="I113" i="51"/>
  <c r="I142" i="51"/>
  <c r="I101" i="51"/>
  <c r="I92" i="51"/>
  <c r="I105" i="51"/>
  <c r="G106" i="51"/>
  <c r="G145" i="51"/>
  <c r="G153" i="51"/>
  <c r="I155" i="51"/>
  <c r="G113" i="51"/>
  <c r="I152" i="51"/>
  <c r="G97" i="51"/>
  <c r="G101" i="51"/>
  <c r="G121" i="51"/>
  <c r="G89" i="51"/>
  <c r="I119" i="51"/>
  <c r="I100" i="51"/>
  <c r="G140" i="51"/>
  <c r="G103" i="51"/>
  <c r="G129" i="51"/>
  <c r="I107" i="51"/>
  <c r="G149" i="51"/>
  <c r="G116" i="51"/>
  <c r="G118" i="51"/>
  <c r="I118" i="51"/>
  <c r="G98" i="51"/>
  <c r="G151" i="51"/>
  <c r="I141" i="51"/>
  <c r="I91" i="51"/>
  <c r="G128" i="51"/>
  <c r="G141" i="51"/>
  <c r="G107" i="51"/>
  <c r="G155" i="51"/>
  <c r="I124" i="51"/>
  <c r="I121" i="51"/>
  <c r="I125" i="51"/>
  <c r="I96" i="51"/>
  <c r="I89" i="51"/>
  <c r="G92" i="51"/>
  <c r="G156" i="51"/>
  <c r="G142" i="51"/>
  <c r="G114" i="51"/>
  <c r="G148" i="51"/>
  <c r="I94" i="51"/>
  <c r="G143" i="51"/>
  <c r="I126" i="51"/>
  <c r="I90" i="51"/>
  <c r="G100" i="51"/>
  <c r="I154" i="51"/>
  <c r="I158" i="51"/>
  <c r="I148" i="51"/>
  <c r="G147" i="51"/>
  <c r="I115" i="51"/>
  <c r="G157" i="51"/>
  <c r="G96" i="51"/>
  <c r="G102" i="51"/>
  <c r="I122" i="51"/>
  <c r="G126" i="51"/>
  <c r="I114" i="51"/>
  <c r="G117" i="51"/>
  <c r="I145" i="51"/>
  <c r="I104" i="51"/>
  <c r="G95" i="51"/>
  <c r="I153" i="51"/>
  <c r="G91" i="51"/>
  <c r="I159" i="51"/>
  <c r="G130" i="51"/>
  <c r="I95" i="51"/>
  <c r="G123" i="51"/>
  <c r="I117" i="51"/>
  <c r="I149" i="51"/>
  <c r="G131" i="51"/>
  <c r="I129" i="51"/>
  <c r="G104" i="51"/>
  <c r="I93" i="51"/>
  <c r="G159" i="51"/>
  <c r="G150" i="51"/>
  <c r="I103" i="51"/>
  <c r="G112" i="51"/>
  <c r="G152" i="51"/>
  <c r="I147" i="51"/>
  <c r="I116" i="51"/>
  <c r="I150" i="51"/>
  <c r="I131" i="51"/>
  <c r="I97" i="51"/>
  <c r="I120" i="51"/>
  <c r="I140" i="51"/>
  <c r="I146" i="51"/>
  <c r="I102" i="51"/>
  <c r="G144" i="51"/>
  <c r="I156" i="51"/>
  <c r="G120" i="51"/>
  <c r="I99" i="51"/>
  <c r="G119" i="51"/>
  <c r="I128" i="51"/>
  <c r="G127" i="51"/>
  <c r="I98" i="51"/>
  <c r="I151" i="51"/>
  <c r="G108" i="51"/>
  <c r="G122" i="51"/>
  <c r="G154" i="51"/>
  <c r="G94" i="51"/>
  <c r="G125" i="51"/>
  <c r="G158" i="51"/>
  <c r="I108" i="51"/>
  <c r="G99" i="51"/>
  <c r="G124" i="51"/>
  <c r="I157" i="51"/>
  <c r="G93" i="51"/>
  <c r="I130" i="51"/>
  <c r="G90" i="51"/>
  <c r="I123" i="51"/>
  <c r="AG9" i="10" l="1"/>
  <c r="AF11" i="10" s="1"/>
  <c r="AB393" i="125"/>
  <c r="G237" i="125"/>
  <c r="AC394" i="125" s="1"/>
  <c r="AE394" i="125" s="1"/>
  <c r="B235" i="125"/>
  <c r="E237" i="125"/>
  <c r="AE393" i="125"/>
  <c r="J6" i="75"/>
  <c r="G35" i="15"/>
  <c r="L43" i="15" s="1"/>
  <c r="D30" i="16"/>
  <c r="M21" i="16" s="1"/>
  <c r="I45" i="75"/>
  <c r="D38" i="1"/>
  <c r="N29" i="1" s="1"/>
  <c r="J6" i="108"/>
  <c r="L57" i="103"/>
  <c r="M56" i="108"/>
  <c r="K41" i="108" s="1"/>
  <c r="D63" i="108" s="1"/>
  <c r="AA13" i="16"/>
  <c r="Z23" i="16" s="1"/>
  <c r="Z28" i="16" s="1"/>
  <c r="B54" i="79"/>
  <c r="B53" i="79"/>
  <c r="M9" i="15"/>
  <c r="C54" i="15" s="1"/>
  <c r="M21" i="10"/>
  <c r="M24" i="10" s="1"/>
  <c r="G18" i="35"/>
  <c r="L2" i="1"/>
  <c r="M59" i="75"/>
  <c r="H11" i="76"/>
  <c r="H14" i="76"/>
  <c r="H9" i="76"/>
  <c r="D22" i="16"/>
  <c r="M34" i="78"/>
  <c r="D28" i="16"/>
  <c r="C39" i="10"/>
  <c r="G39" i="26"/>
  <c r="F43" i="51"/>
  <c r="J56" i="18" s="1"/>
  <c r="Q46" i="54"/>
  <c r="S46" i="54" s="1"/>
  <c r="Q86" i="54"/>
  <c r="S86" i="54" s="1"/>
  <c r="Q66" i="54"/>
  <c r="S66" i="54" s="1"/>
  <c r="D26" i="10"/>
  <c r="K60" i="75"/>
  <c r="K61" i="75"/>
  <c r="J39" i="77"/>
  <c r="J40" i="77" s="1"/>
  <c r="L39" i="15"/>
  <c r="E49" i="15" s="1"/>
  <c r="F49" i="15" s="1"/>
  <c r="AA13" i="15"/>
  <c r="T41" i="15"/>
  <c r="F47" i="15"/>
  <c r="M32" i="1"/>
  <c r="M39" i="1" s="1"/>
  <c r="AA13" i="10"/>
  <c r="Z22" i="10" s="1"/>
  <c r="Z28" i="10" s="1"/>
  <c r="C62" i="75"/>
  <c r="D47" i="75"/>
  <c r="B47" i="75"/>
  <c r="E38" i="1"/>
  <c r="F38" i="1" s="1"/>
  <c r="M47" i="78"/>
  <c r="K13" i="26"/>
  <c r="M13" i="26" s="1"/>
  <c r="E32" i="35"/>
  <c r="Q26" i="54"/>
  <c r="Q104" i="54"/>
  <c r="S104" i="54" s="1"/>
  <c r="S56" i="54"/>
  <c r="B47" i="79"/>
  <c r="J24" i="20"/>
  <c r="H24" i="20" s="1"/>
  <c r="J53" i="20"/>
  <c r="H53" i="20" s="1"/>
  <c r="D40" i="44"/>
  <c r="E13" i="44"/>
  <c r="B13" i="35"/>
  <c r="J4" i="38"/>
  <c r="L41" i="79"/>
  <c r="N41" i="79" s="1"/>
  <c r="G25" i="79"/>
  <c r="B49" i="79"/>
  <c r="J36" i="77"/>
  <c r="J37" i="77" s="1"/>
  <c r="B62" i="75"/>
  <c r="K42" i="75"/>
  <c r="B104" i="75"/>
  <c r="C40" i="75"/>
  <c r="L24" i="16"/>
  <c r="L31" i="16" s="1"/>
  <c r="J21" i="16"/>
  <c r="B28" i="16"/>
  <c r="S34" i="16"/>
  <c r="AI10" i="16"/>
  <c r="AG14" i="16" s="1"/>
  <c r="AI14" i="16" s="1"/>
  <c r="Z34" i="15"/>
  <c r="AF34" i="15"/>
  <c r="AI11" i="15"/>
  <c r="AF11" i="15"/>
  <c r="S35" i="10"/>
  <c r="E34" i="10"/>
  <c r="F34" i="10" s="1"/>
  <c r="J25" i="10" s="1"/>
  <c r="B32" i="10"/>
  <c r="D32" i="10"/>
  <c r="I9" i="51"/>
  <c r="I160" i="51"/>
  <c r="I132" i="51"/>
  <c r="I143" i="51"/>
  <c r="I127" i="51"/>
  <c r="I10" i="51"/>
  <c r="I112" i="51"/>
  <c r="C17" i="75" l="1"/>
  <c r="J23" i="75"/>
  <c r="N31" i="16"/>
  <c r="Y35" i="16"/>
  <c r="AI11" i="10"/>
  <c r="AG14" i="10" s="1"/>
  <c r="AI14" i="10" s="1"/>
  <c r="AL393" i="125"/>
  <c r="AM393" i="125"/>
  <c r="AI393" i="125"/>
  <c r="AK393" i="125"/>
  <c r="AG393" i="125"/>
  <c r="AH393" i="125"/>
  <c r="E239" i="125"/>
  <c r="B237" i="125"/>
  <c r="AB394" i="125"/>
  <c r="G239" i="125"/>
  <c r="AC395" i="125" s="1"/>
  <c r="AI394" i="125"/>
  <c r="AG394" i="125"/>
  <c r="AL394" i="125"/>
  <c r="AK394" i="125"/>
  <c r="AM394" i="125"/>
  <c r="AH394" i="125"/>
  <c r="O21" i="103"/>
  <c r="N43" i="103"/>
  <c r="O23" i="75"/>
  <c r="M45" i="75"/>
  <c r="K50" i="75"/>
  <c r="K78" i="75"/>
  <c r="L50" i="15"/>
  <c r="K50" i="78"/>
  <c r="H34" i="1"/>
  <c r="K42" i="103"/>
  <c r="G30" i="16"/>
  <c r="G29" i="16" s="1"/>
  <c r="C37" i="16" s="1"/>
  <c r="H26" i="16"/>
  <c r="P37" i="16"/>
  <c r="S35" i="16"/>
  <c r="Q13" i="16"/>
  <c r="G38" i="1"/>
  <c r="G37" i="1" s="1"/>
  <c r="P1" i="1" s="1"/>
  <c r="J40" i="15"/>
  <c r="AE28" i="10"/>
  <c r="D41" i="15"/>
  <c r="O35" i="15"/>
  <c r="O39" i="15" s="1"/>
  <c r="B49" i="15" s="1"/>
  <c r="S41" i="15"/>
  <c r="B47" i="15"/>
  <c r="D47" i="15"/>
  <c r="B34" i="10"/>
  <c r="D34" i="10" s="1"/>
  <c r="I44" i="77"/>
  <c r="E46" i="77" s="1"/>
  <c r="I21" i="30"/>
  <c r="J54" i="18"/>
  <c r="F132" i="51"/>
  <c r="C132" i="51" s="1"/>
  <c r="Z35" i="15"/>
  <c r="Z39" i="15" s="1"/>
  <c r="AE39" i="15" s="1"/>
  <c r="J29" i="1"/>
  <c r="AG14" i="15"/>
  <c r="AI14" i="15" s="1"/>
  <c r="AG13" i="15" s="1"/>
  <c r="S26" i="54"/>
  <c r="Q114" i="54"/>
  <c r="S114" i="54" s="1"/>
  <c r="E44" i="77"/>
  <c r="A41" i="77"/>
  <c r="T35" i="16"/>
  <c r="AG13" i="16"/>
  <c r="AH14" i="16"/>
  <c r="AE28" i="16"/>
  <c r="L28" i="10"/>
  <c r="L35" i="10" s="1"/>
  <c r="T36" i="10"/>
  <c r="J219" i="51"/>
  <c r="X36" i="10" l="1"/>
  <c r="T43" i="15"/>
  <c r="N50" i="15"/>
  <c r="Y43" i="15"/>
  <c r="AH14" i="10"/>
  <c r="AF15" i="10" s="1"/>
  <c r="AG13" i="10"/>
  <c r="N35" i="10"/>
  <c r="AE395" i="125"/>
  <c r="AB395" i="125"/>
  <c r="G241" i="125"/>
  <c r="AC396" i="125" s="1"/>
  <c r="AE396" i="125" s="1"/>
  <c r="E241" i="125"/>
  <c r="B239" i="125"/>
  <c r="A219" i="51"/>
  <c r="M41" i="1"/>
  <c r="M48" i="1" s="1"/>
  <c r="L43" i="75"/>
  <c r="L44" i="75" s="1"/>
  <c r="K43" i="75"/>
  <c r="E26" i="75"/>
  <c r="A220" i="51"/>
  <c r="A55" i="1"/>
  <c r="D49" i="15"/>
  <c r="M40" i="15" s="1"/>
  <c r="S43" i="15" s="1"/>
  <c r="U37" i="16"/>
  <c r="K22" i="16"/>
  <c r="C36" i="16"/>
  <c r="C34" i="16" s="1"/>
  <c r="A54" i="1"/>
  <c r="L40" i="15"/>
  <c r="M25" i="10"/>
  <c r="H30" i="10"/>
  <c r="G34" i="10"/>
  <c r="G33" i="10" s="1"/>
  <c r="C41" i="10" s="1"/>
  <c r="L30" i="1"/>
  <c r="AH14" i="15"/>
  <c r="AF15" i="15" s="1"/>
  <c r="C70" i="51"/>
  <c r="F161" i="51"/>
  <c r="C161" i="51" s="1"/>
  <c r="F79" i="51"/>
  <c r="F21" i="51"/>
  <c r="F97" i="51"/>
  <c r="C97" i="51" s="1"/>
  <c r="C83" i="51"/>
  <c r="F143" i="51"/>
  <c r="C143" i="51" s="1"/>
  <c r="F85" i="51"/>
  <c r="F147" i="51"/>
  <c r="C147" i="51" s="1"/>
  <c r="F94" i="51"/>
  <c r="C94" i="51" s="1"/>
  <c r="F140" i="51"/>
  <c r="C140" i="51" s="1"/>
  <c r="F160" i="51"/>
  <c r="F131" i="51"/>
  <c r="C131" i="51" s="1"/>
  <c r="F155" i="51"/>
  <c r="C155" i="51" s="1"/>
  <c r="F76" i="51"/>
  <c r="F123" i="51"/>
  <c r="C123" i="51" s="1"/>
  <c r="F105" i="51"/>
  <c r="C105" i="51" s="1"/>
  <c r="C75" i="51"/>
  <c r="F157" i="51"/>
  <c r="C157" i="51" s="1"/>
  <c r="F89" i="51"/>
  <c r="C89" i="51" s="1"/>
  <c r="F127" i="51"/>
  <c r="C127" i="51" s="1"/>
  <c r="F154" i="51"/>
  <c r="C154" i="51" s="1"/>
  <c r="F103" i="51"/>
  <c r="C103" i="51" s="1"/>
  <c r="F115" i="51"/>
  <c r="C115" i="51" s="1"/>
  <c r="F112" i="51"/>
  <c r="F23" i="51"/>
  <c r="C77" i="51"/>
  <c r="F100" i="51"/>
  <c r="C100" i="51" s="1"/>
  <c r="F82" i="51"/>
  <c r="F145" i="51"/>
  <c r="C145" i="51" s="1"/>
  <c r="F90" i="51"/>
  <c r="C90" i="51" s="1"/>
  <c r="F158" i="51"/>
  <c r="C158" i="51" s="1"/>
  <c r="F84" i="51"/>
  <c r="F99" i="51"/>
  <c r="C99" i="51" s="1"/>
  <c r="F93" i="51"/>
  <c r="C93" i="51" s="1"/>
  <c r="F72" i="51"/>
  <c r="F130" i="51"/>
  <c r="C130" i="51" s="1"/>
  <c r="F71" i="51"/>
  <c r="C82" i="51"/>
  <c r="F121" i="51"/>
  <c r="C121" i="51" s="1"/>
  <c r="F91" i="51"/>
  <c r="C91" i="51" s="1"/>
  <c r="F150" i="51"/>
  <c r="C150" i="51" s="1"/>
  <c r="F86" i="51"/>
  <c r="C76" i="51"/>
  <c r="F45" i="51"/>
  <c r="J60" i="18" s="1"/>
  <c r="F92" i="51"/>
  <c r="C92" i="51" s="1"/>
  <c r="F87" i="51"/>
  <c r="F120" i="51"/>
  <c r="C120" i="51" s="1"/>
  <c r="F124" i="51"/>
  <c r="C124" i="51" s="1"/>
  <c r="F126" i="51"/>
  <c r="C126" i="51" s="1"/>
  <c r="F106" i="51"/>
  <c r="C106" i="51" s="1"/>
  <c r="C88" i="51"/>
  <c r="F81" i="51"/>
  <c r="F216" i="51"/>
  <c r="F149" i="51"/>
  <c r="C149" i="51" s="1"/>
  <c r="F22" i="51"/>
  <c r="C71" i="51"/>
  <c r="C80" i="51"/>
  <c r="C74" i="51"/>
  <c r="F75" i="51"/>
  <c r="F80" i="51"/>
  <c r="F83" i="51"/>
  <c r="C81" i="51"/>
  <c r="F24" i="51"/>
  <c r="F108" i="51"/>
  <c r="C108" i="51" s="1"/>
  <c r="F142" i="51"/>
  <c r="C142" i="51" s="1"/>
  <c r="C84" i="51"/>
  <c r="C87" i="51"/>
  <c r="C72" i="51"/>
  <c r="F95" i="51"/>
  <c r="C95" i="51" s="1"/>
  <c r="F96" i="51"/>
  <c r="C96" i="51" s="1"/>
  <c r="F125" i="51"/>
  <c r="C125" i="51" s="1"/>
  <c r="C78" i="51"/>
  <c r="C73" i="51"/>
  <c r="F156" i="51"/>
  <c r="C156" i="51" s="1"/>
  <c r="F159" i="51"/>
  <c r="C159" i="51" s="1"/>
  <c r="C86" i="51"/>
  <c r="F129" i="51"/>
  <c r="C129" i="51" s="1"/>
  <c r="F74" i="51"/>
  <c r="F77" i="51"/>
  <c r="F114" i="51"/>
  <c r="F117" i="51"/>
  <c r="C117" i="51" s="1"/>
  <c r="F113" i="51"/>
  <c r="C113" i="51" s="1"/>
  <c r="F78" i="51"/>
  <c r="F73" i="51"/>
  <c r="C79" i="51"/>
  <c r="F101" i="51"/>
  <c r="C101" i="51" s="1"/>
  <c r="F70" i="51"/>
  <c r="F98" i="51"/>
  <c r="C98" i="51" s="1"/>
  <c r="F141" i="51"/>
  <c r="C141" i="51" s="1"/>
  <c r="F122" i="51"/>
  <c r="C122" i="51" s="1"/>
  <c r="F88" i="51"/>
  <c r="F144" i="51"/>
  <c r="C144" i="51" s="1"/>
  <c r="F119" i="51"/>
  <c r="C119" i="51" s="1"/>
  <c r="F146" i="51"/>
  <c r="C146" i="51" s="1"/>
  <c r="F151" i="51"/>
  <c r="C151" i="51" s="1"/>
  <c r="F118" i="51"/>
  <c r="C118" i="51" s="1"/>
  <c r="C85" i="51"/>
  <c r="F153" i="51"/>
  <c r="C153" i="51" s="1"/>
  <c r="F25" i="51"/>
  <c r="F102" i="51"/>
  <c r="C102" i="51" s="1"/>
  <c r="F104" i="51"/>
  <c r="C104" i="51" s="1"/>
  <c r="F148" i="51"/>
  <c r="C148" i="51" s="1"/>
  <c r="F107" i="51"/>
  <c r="C107" i="51" s="1"/>
  <c r="F116" i="51"/>
  <c r="C116" i="51" s="1"/>
  <c r="F128" i="51"/>
  <c r="C128" i="51" s="1"/>
  <c r="F152" i="51"/>
  <c r="C152" i="51" s="1"/>
  <c r="AF15" i="16"/>
  <c r="AF23" i="16"/>
  <c r="AF28" i="16" s="1"/>
  <c r="V35" i="16" s="1"/>
  <c r="I219" i="51"/>
  <c r="P42" i="16" l="1"/>
  <c r="P41" i="16"/>
  <c r="P39" i="16"/>
  <c r="U41" i="16"/>
  <c r="U39" i="16"/>
  <c r="P45" i="16"/>
  <c r="AD34" i="16"/>
  <c r="P37" i="10"/>
  <c r="AL395" i="125"/>
  <c r="AG395" i="125"/>
  <c r="AM395" i="125"/>
  <c r="AK395" i="125"/>
  <c r="AH395" i="125"/>
  <c r="AI395" i="125"/>
  <c r="AB396" i="125"/>
  <c r="B241" i="125"/>
  <c r="E243" i="125"/>
  <c r="G243" i="125"/>
  <c r="AC397" i="125" s="1"/>
  <c r="AH396" i="125"/>
  <c r="AG396" i="125"/>
  <c r="AK396" i="125"/>
  <c r="AI396" i="125"/>
  <c r="AL396" i="125"/>
  <c r="AM396" i="125"/>
  <c r="W14" i="35"/>
  <c r="C52" i="1"/>
  <c r="K44" i="75"/>
  <c r="J44" i="75"/>
  <c r="A229" i="51"/>
  <c r="H12" i="35" s="1"/>
  <c r="W13" i="35" s="1"/>
  <c r="F220" i="51"/>
  <c r="C220" i="51" s="1"/>
  <c r="P49" i="1"/>
  <c r="G49" i="15"/>
  <c r="G48" i="15" s="1"/>
  <c r="C56" i="15" s="1"/>
  <c r="H45" i="15"/>
  <c r="Q13" i="15"/>
  <c r="P45" i="15"/>
  <c r="O40" i="15"/>
  <c r="Q13" i="10"/>
  <c r="AF22" i="10"/>
  <c r="AF28" i="10" s="1"/>
  <c r="V36" i="10" s="1"/>
  <c r="S36" i="10"/>
  <c r="K26" i="10"/>
  <c r="U37" i="10"/>
  <c r="C40" i="10"/>
  <c r="C38" i="10" s="1"/>
  <c r="AF35" i="15"/>
  <c r="AF39" i="15" s="1"/>
  <c r="V43" i="15" s="1"/>
  <c r="F47" i="51"/>
  <c r="J64" i="18" s="1"/>
  <c r="C114" i="51"/>
  <c r="F134" i="51"/>
  <c r="E39" i="35" s="1"/>
  <c r="C112" i="51"/>
  <c r="F162" i="51"/>
  <c r="E33" i="35" s="1"/>
  <c r="E34" i="35" s="1"/>
  <c r="V34" i="16"/>
  <c r="U34" i="16"/>
  <c r="U35" i="16"/>
  <c r="I215" i="51"/>
  <c r="H69" i="51"/>
  <c r="AD35" i="16" l="1"/>
  <c r="U42" i="16" s="1"/>
  <c r="U47" i="15"/>
  <c r="P47" i="15"/>
  <c r="P51" i="15"/>
  <c r="P49" i="15"/>
  <c r="U49" i="15"/>
  <c r="U41" i="10"/>
  <c r="U39" i="10"/>
  <c r="P43" i="10"/>
  <c r="P41" i="10"/>
  <c r="P39" i="10"/>
  <c r="P53" i="15"/>
  <c r="AD41" i="15"/>
  <c r="P45" i="10"/>
  <c r="AD35" i="10"/>
  <c r="AE397" i="125"/>
  <c r="AC399" i="125"/>
  <c r="B243" i="125"/>
  <c r="AB397" i="125"/>
  <c r="AB398" i="125" s="1"/>
  <c r="H19" i="35"/>
  <c r="K18" i="35" s="1"/>
  <c r="E69" i="51"/>
  <c r="E89" i="51" s="1"/>
  <c r="K41" i="15"/>
  <c r="U45" i="15"/>
  <c r="C55" i="15"/>
  <c r="C53" i="15" s="1"/>
  <c r="U35" i="10"/>
  <c r="V35" i="10"/>
  <c r="U36" i="10"/>
  <c r="U41" i="15"/>
  <c r="U43" i="15"/>
  <c r="V41" i="15"/>
  <c r="D36" i="16" l="1"/>
  <c r="R51" i="16" s="1"/>
  <c r="AD43" i="15"/>
  <c r="D54" i="15" s="1"/>
  <c r="AD36" i="10"/>
  <c r="D39" i="10" s="1"/>
  <c r="H25" i="125"/>
  <c r="AD401" i="125"/>
  <c r="AD408" i="125"/>
  <c r="Z409" i="125" s="1"/>
  <c r="AL397" i="125"/>
  <c r="AK397" i="125"/>
  <c r="AK398" i="125" s="1"/>
  <c r="AM397" i="125"/>
  <c r="AH397" i="125"/>
  <c r="AI397" i="125"/>
  <c r="AG397" i="125"/>
  <c r="AG398" i="125" s="1"/>
  <c r="AE398" i="125"/>
  <c r="F20" i="35"/>
  <c r="J39" i="75"/>
  <c r="G49" i="75"/>
  <c r="G48" i="75" s="1"/>
  <c r="R57" i="10" l="1"/>
  <c r="U43" i="10"/>
  <c r="U51" i="15"/>
  <c r="R56" i="15"/>
  <c r="AD403" i="125"/>
  <c r="AD402" i="125"/>
  <c r="AH399" i="125"/>
  <c r="AH398" i="125"/>
  <c r="AG400" i="125" s="1"/>
  <c r="AL398" i="125"/>
  <c r="AK400" i="125" s="1"/>
  <c r="AL399" i="125"/>
  <c r="AI399" i="125"/>
  <c r="AI400" i="125"/>
  <c r="AM399" i="125"/>
  <c r="AM400" i="125"/>
  <c r="L246" i="125"/>
  <c r="B247" i="125" s="1"/>
  <c r="G246" i="125"/>
  <c r="F8" i="51"/>
  <c r="M39" i="75"/>
  <c r="K40" i="75" s="1"/>
  <c r="AD411" i="125" l="1"/>
  <c r="U42" i="125" s="1"/>
  <c r="U47" i="125" s="1"/>
  <c r="AD404" i="125"/>
  <c r="AI402" i="125"/>
  <c r="T27" i="125" s="1"/>
  <c r="AM408" i="125"/>
  <c r="AK409" i="125" s="1"/>
  <c r="AM410" i="125" s="1"/>
  <c r="Q45" i="125" s="1"/>
  <c r="AI410" i="125"/>
  <c r="T45" i="125" s="1"/>
  <c r="AI408" i="125"/>
  <c r="AG409" i="125" s="1"/>
  <c r="AM402" i="125"/>
  <c r="P27" i="125" s="1"/>
  <c r="J14" i="18"/>
  <c r="U36" i="125" l="1"/>
  <c r="C20" i="125"/>
  <c r="U28" i="125" s="1"/>
  <c r="U32" i="125" s="1"/>
  <c r="X32" i="125" s="1"/>
  <c r="F219" i="51"/>
  <c r="F215" i="51"/>
  <c r="I15" i="51"/>
  <c r="F15" i="51" l="1"/>
  <c r="J24" i="18" s="1"/>
  <c r="C216" i="51"/>
  <c r="F217" i="51"/>
  <c r="F221" i="51"/>
  <c r="J110" i="18" l="1"/>
  <c r="H20" i="35"/>
  <c r="E38" i="35" s="1"/>
  <c r="C5" i="51"/>
  <c r="C8" i="18" s="1"/>
  <c r="F5" i="51"/>
  <c r="J8" i="18" s="1"/>
  <c r="F10" i="51"/>
  <c r="J18" i="18" s="1"/>
  <c r="C7" i="51"/>
  <c r="C12" i="18" s="1"/>
  <c r="F10" i="18"/>
  <c r="F9" i="51"/>
  <c r="J16" i="18" s="1"/>
  <c r="C8" i="51"/>
  <c r="C14" i="18" s="1"/>
  <c r="C10" i="18"/>
  <c r="J10" i="18"/>
  <c r="D7" i="51"/>
  <c r="F12" i="18" s="1"/>
  <c r="D5" i="51"/>
  <c r="F8" i="18" s="1"/>
  <c r="F44" i="51"/>
  <c r="J58" i="18" s="1"/>
  <c r="D8" i="51"/>
  <c r="F14" i="18" s="1"/>
  <c r="F7" i="51"/>
  <c r="J12" i="18" s="1"/>
  <c r="G192" i="51"/>
  <c r="H181" i="51"/>
  <c r="H172" i="51"/>
  <c r="G10" i="51"/>
  <c r="H189" i="51"/>
  <c r="G203" i="51"/>
  <c r="G212" i="51"/>
  <c r="H179" i="51"/>
  <c r="H203" i="51"/>
  <c r="G206" i="51"/>
  <c r="G167" i="51"/>
  <c r="H177" i="51"/>
  <c r="H206" i="51"/>
  <c r="G189" i="51"/>
  <c r="I199" i="51"/>
  <c r="I200" i="51"/>
  <c r="G171" i="51"/>
  <c r="G22" i="51"/>
  <c r="H200" i="51"/>
  <c r="H173" i="51"/>
  <c r="G194" i="51"/>
  <c r="G205" i="51"/>
  <c r="H180" i="51"/>
  <c r="I204" i="51"/>
  <c r="I41" i="51"/>
  <c r="G188" i="51"/>
  <c r="G180" i="51"/>
  <c r="G200" i="51"/>
  <c r="H171" i="51"/>
  <c r="G181" i="51"/>
  <c r="H166" i="51"/>
  <c r="G23" i="51"/>
  <c r="G173" i="51"/>
  <c r="G38" i="51"/>
  <c r="I39" i="51"/>
  <c r="H188" i="51"/>
  <c r="G20" i="51"/>
  <c r="I20" i="51"/>
  <c r="I212" i="51"/>
  <c r="I167" i="51"/>
  <c r="H204" i="51"/>
  <c r="G21" i="51"/>
  <c r="I202" i="51"/>
  <c r="G184" i="51"/>
  <c r="H192" i="51"/>
  <c r="G193" i="51"/>
  <c r="I173" i="51"/>
  <c r="H9" i="51"/>
  <c r="I201" i="51"/>
  <c r="G41" i="51"/>
  <c r="G168" i="51"/>
  <c r="H212" i="51"/>
  <c r="H202" i="51"/>
  <c r="I203" i="51"/>
  <c r="H10" i="51"/>
  <c r="G190" i="51"/>
  <c r="G204" i="51"/>
  <c r="G40" i="51"/>
  <c r="G179" i="51"/>
  <c r="H193" i="51"/>
  <c r="H195" i="51"/>
  <c r="H38" i="51"/>
  <c r="G211" i="51"/>
  <c r="H168" i="51"/>
  <c r="H205" i="51"/>
  <c r="H183" i="51"/>
  <c r="G39" i="51"/>
  <c r="H182" i="51"/>
  <c r="H178" i="51"/>
  <c r="H40" i="51"/>
  <c r="H211" i="51"/>
  <c r="I171" i="51"/>
  <c r="I170" i="51"/>
  <c r="I172" i="51"/>
  <c r="G202" i="51"/>
  <c r="H184" i="51"/>
  <c r="G170" i="51"/>
  <c r="G24" i="51"/>
  <c r="G178" i="51"/>
  <c r="G25" i="51"/>
  <c r="H199" i="51"/>
  <c r="I205" i="51"/>
  <c r="G182" i="51"/>
  <c r="G183" i="51"/>
  <c r="G195" i="51"/>
  <c r="G169" i="51"/>
  <c r="I211" i="51"/>
  <c r="H201" i="51"/>
  <c r="I168" i="51"/>
  <c r="G9" i="51"/>
  <c r="G199" i="51"/>
  <c r="I40" i="51"/>
  <c r="H194" i="51"/>
  <c r="I206" i="51"/>
  <c r="H190" i="51"/>
  <c r="H167" i="51"/>
  <c r="G177" i="51"/>
  <c r="I38" i="51"/>
  <c r="G172" i="51"/>
  <c r="H169" i="51"/>
  <c r="G201" i="51"/>
  <c r="I169" i="51"/>
  <c r="H191" i="51"/>
  <c r="I166" i="51"/>
  <c r="G191" i="51"/>
  <c r="H41" i="51"/>
  <c r="H170" i="51"/>
  <c r="H39" i="51"/>
  <c r="G166" i="51"/>
  <c r="J32" i="18" l="1"/>
  <c r="H32" i="18" s="1"/>
  <c r="F9" i="35" s="1"/>
  <c r="C219" i="51"/>
  <c r="C160" i="51"/>
  <c r="F13" i="35"/>
  <c r="J111" i="18" s="1"/>
  <c r="C215" i="51"/>
  <c r="D178" i="51"/>
  <c r="F139" i="18" s="1"/>
  <c r="C204" i="51"/>
  <c r="C189" i="18" s="1"/>
  <c r="C195" i="51"/>
  <c r="C172" i="18" s="1"/>
  <c r="F190" i="51"/>
  <c r="J162" i="18" s="1"/>
  <c r="D200" i="51"/>
  <c r="F181" i="18" s="1"/>
  <c r="C211" i="51"/>
  <c r="C200" i="18" s="1"/>
  <c r="C203" i="51"/>
  <c r="C187" i="18" s="1"/>
  <c r="C172" i="51"/>
  <c r="C128" i="18" s="1"/>
  <c r="C183" i="51"/>
  <c r="C149" i="18" s="1"/>
  <c r="D171" i="51"/>
  <c r="F126" i="18" s="1"/>
  <c r="C25" i="51"/>
  <c r="D188" i="51"/>
  <c r="F158" i="18" s="1"/>
  <c r="C166" i="51"/>
  <c r="C116" i="18" s="1"/>
  <c r="F180" i="51"/>
  <c r="J143" i="18" s="1"/>
  <c r="F195" i="51"/>
  <c r="J172" i="18" s="1"/>
  <c r="F200" i="51"/>
  <c r="J181" i="18" s="1"/>
  <c r="C178" i="51"/>
  <c r="C139" i="18" s="1"/>
  <c r="F181" i="51"/>
  <c r="J145" i="18" s="1"/>
  <c r="D204" i="51"/>
  <c r="F189" i="18" s="1"/>
  <c r="F40" i="51"/>
  <c r="J50" i="18" s="1"/>
  <c r="D195" i="51"/>
  <c r="F172" i="18" s="1"/>
  <c r="D168" i="51"/>
  <c r="F120" i="18" s="1"/>
  <c r="D180" i="51"/>
  <c r="F143" i="18" s="1"/>
  <c r="D40" i="51"/>
  <c r="F50" i="18" s="1"/>
  <c r="F172" i="51"/>
  <c r="J128" i="18" s="1"/>
  <c r="F191" i="51"/>
  <c r="J164" i="18" s="1"/>
  <c r="C202" i="51"/>
  <c r="C185" i="18" s="1"/>
  <c r="D192" i="51"/>
  <c r="F166" i="18" s="1"/>
  <c r="C206" i="51"/>
  <c r="C193" i="18" s="1"/>
  <c r="D9" i="51"/>
  <c r="F16" i="18" s="1"/>
  <c r="D193" i="51"/>
  <c r="F168" i="18" s="1"/>
  <c r="C167" i="51"/>
  <c r="C118" i="18" s="1"/>
  <c r="D181" i="51"/>
  <c r="F145" i="18" s="1"/>
  <c r="C212" i="51"/>
  <c r="C202" i="18" s="1"/>
  <c r="C21" i="51"/>
  <c r="D183" i="51"/>
  <c r="F149" i="18" s="1"/>
  <c r="C199" i="51"/>
  <c r="C179" i="18" s="1"/>
  <c r="F212" i="51"/>
  <c r="J202" i="18" s="1"/>
  <c r="C201" i="51"/>
  <c r="C183" i="18" s="1"/>
  <c r="D190" i="51"/>
  <c r="F162" i="18" s="1"/>
  <c r="C177" i="51"/>
  <c r="C137" i="18" s="1"/>
  <c r="C179" i="51"/>
  <c r="C141" i="18" s="1"/>
  <c r="F170" i="51"/>
  <c r="J124" i="18" s="1"/>
  <c r="D205" i="51"/>
  <c r="F191" i="18" s="1"/>
  <c r="C173" i="51"/>
  <c r="C130" i="18" s="1"/>
  <c r="F179" i="51"/>
  <c r="J141" i="18" s="1"/>
  <c r="C200" i="51"/>
  <c r="C181" i="18" s="1"/>
  <c r="F192" i="51"/>
  <c r="J166" i="18" s="1"/>
  <c r="C191" i="51"/>
  <c r="C164" i="18" s="1"/>
  <c r="C9" i="51"/>
  <c r="C16" i="18" s="1"/>
  <c r="F199" i="51"/>
  <c r="J179" i="18" s="1"/>
  <c r="F203" i="51"/>
  <c r="J187" i="18" s="1"/>
  <c r="D212" i="51"/>
  <c r="F202" i="18" s="1"/>
  <c r="C22" i="51"/>
  <c r="F169" i="51"/>
  <c r="J122" i="18" s="1"/>
  <c r="C24" i="51"/>
  <c r="F201" i="51"/>
  <c r="J183" i="18" s="1"/>
  <c r="F193" i="51"/>
  <c r="J168" i="18" s="1"/>
  <c r="D10" i="51"/>
  <c r="F18" i="18" s="1"/>
  <c r="F166" i="51"/>
  <c r="J116" i="18" s="1"/>
  <c r="F183" i="51"/>
  <c r="J149" i="18" s="1"/>
  <c r="F167" i="51"/>
  <c r="J118" i="18" s="1"/>
  <c r="F39" i="51"/>
  <c r="J48" i="18" s="1"/>
  <c r="C168" i="51"/>
  <c r="C120" i="18" s="1"/>
  <c r="F20" i="51"/>
  <c r="F32" i="51" s="1"/>
  <c r="C23" i="51"/>
  <c r="D39" i="51"/>
  <c r="F48" i="18" s="1"/>
  <c r="C20" i="51"/>
  <c r="D167" i="51"/>
  <c r="F118" i="18" s="1"/>
  <c r="C188" i="51"/>
  <c r="C158" i="18" s="1"/>
  <c r="F204" i="51"/>
  <c r="J189" i="18" s="1"/>
  <c r="D201" i="51"/>
  <c r="F183" i="18" s="1"/>
  <c r="C38" i="51"/>
  <c r="C46" i="18" s="1"/>
  <c r="D199" i="51"/>
  <c r="F179" i="18" s="1"/>
  <c r="C171" i="51"/>
  <c r="C126" i="18" s="1"/>
  <c r="C181" i="51"/>
  <c r="C145" i="18" s="1"/>
  <c r="C193" i="51"/>
  <c r="C168" i="18" s="1"/>
  <c r="F211" i="51"/>
  <c r="J200" i="18" s="1"/>
  <c r="D172" i="51"/>
  <c r="F128" i="18" s="1"/>
  <c r="C189" i="51"/>
  <c r="C160" i="18" s="1"/>
  <c r="F173" i="51"/>
  <c r="J130" i="18" s="1"/>
  <c r="F177" i="51"/>
  <c r="J137" i="18" s="1"/>
  <c r="D194" i="51"/>
  <c r="F170" i="18" s="1"/>
  <c r="C39" i="51"/>
  <c r="C48" i="18" s="1"/>
  <c r="F189" i="51"/>
  <c r="J160" i="18" s="1"/>
  <c r="C41" i="51"/>
  <c r="C52" i="18" s="1"/>
  <c r="D206" i="51"/>
  <c r="F193" i="18" s="1"/>
  <c r="C205" i="51"/>
  <c r="C191" i="18" s="1"/>
  <c r="D179" i="51"/>
  <c r="F141" i="18" s="1"/>
  <c r="F168" i="51"/>
  <c r="J120" i="18" s="1"/>
  <c r="D211" i="51"/>
  <c r="F200" i="18" s="1"/>
  <c r="C182" i="51"/>
  <c r="C147" i="18" s="1"/>
  <c r="C40" i="51"/>
  <c r="C50" i="18" s="1"/>
  <c r="C169" i="51"/>
  <c r="C122" i="18" s="1"/>
  <c r="D182" i="51"/>
  <c r="F147" i="18" s="1"/>
  <c r="C10" i="51"/>
  <c r="C18" i="18" s="1"/>
  <c r="C194" i="51"/>
  <c r="C170" i="18" s="1"/>
  <c r="D169" i="51"/>
  <c r="F122" i="18" s="1"/>
  <c r="D166" i="51"/>
  <c r="F116" i="18" s="1"/>
  <c r="F205" i="51"/>
  <c r="J191" i="18" s="1"/>
  <c r="C190" i="51"/>
  <c r="C162" i="18" s="1"/>
  <c r="C69" i="51"/>
  <c r="D184" i="51"/>
  <c r="F151" i="18" s="1"/>
  <c r="F194" i="51"/>
  <c r="J170" i="18" s="1"/>
  <c r="D203" i="51"/>
  <c r="F187" i="18" s="1"/>
  <c r="F182" i="51"/>
  <c r="J147" i="18" s="1"/>
  <c r="D38" i="51"/>
  <c r="F46" i="18" s="1"/>
  <c r="F206" i="51"/>
  <c r="J193" i="18" s="1"/>
  <c r="F202" i="51"/>
  <c r="J185" i="18" s="1"/>
  <c r="D202" i="51"/>
  <c r="F185" i="18" s="1"/>
  <c r="F184" i="51"/>
  <c r="J151" i="18" s="1"/>
  <c r="D191" i="51"/>
  <c r="F164" i="18" s="1"/>
  <c r="F171" i="51"/>
  <c r="J126" i="18" s="1"/>
  <c r="F38" i="51"/>
  <c r="J46" i="18" s="1"/>
  <c r="C192" i="51"/>
  <c r="C166" i="18" s="1"/>
  <c r="F41" i="51"/>
  <c r="J52" i="18" s="1"/>
  <c r="D173" i="51"/>
  <c r="F130" i="18" s="1"/>
  <c r="F178" i="51"/>
  <c r="J139" i="18" s="1"/>
  <c r="C180" i="51"/>
  <c r="C143" i="18" s="1"/>
  <c r="D41" i="51"/>
  <c r="F52" i="18" s="1"/>
  <c r="D177" i="51"/>
  <c r="F137" i="18" s="1"/>
  <c r="D189" i="51"/>
  <c r="F160" i="18" s="1"/>
  <c r="C184" i="51"/>
  <c r="C151" i="18" s="1"/>
  <c r="J98" i="18" l="1"/>
  <c r="H98" i="18" s="1"/>
  <c r="F10" i="35" s="1"/>
  <c r="P48" i="1" l="1"/>
  <c r="B56" i="1" s="1"/>
  <c r="I69" i="51"/>
  <c r="D49" i="1" l="1"/>
  <c r="F69" i="51"/>
  <c r="F109" i="51" s="1"/>
  <c r="J102" i="18" l="1"/>
  <c r="J108" i="18" s="1"/>
  <c r="M110" i="18" s="1"/>
  <c r="F14" i="35" s="1"/>
  <c r="H108" i="18" l="1"/>
  <c r="M108" i="18"/>
  <c r="F11" i="35"/>
  <c r="E37" i="35" l="1"/>
  <c r="E41" i="35" s="1"/>
  <c r="E43" i="35" s="1"/>
  <c r="J24" i="35" s="1"/>
  <c r="L26" i="35"/>
  <c r="L22" i="35"/>
  <c r="L28" i="35" s="1"/>
  <c r="B54" i="129" l="1"/>
  <c r="D54" i="129" s="1"/>
  <c r="M45" i="129" s="1"/>
  <c r="J44" i="129"/>
  <c r="E54" i="129" l="1"/>
  <c r="F54" i="129" s="1"/>
  <c r="G54" i="129" s="1"/>
  <c r="G53" i="129" s="1"/>
  <c r="L48" i="129"/>
  <c r="L55" i="129" s="1"/>
  <c r="P51" i="129"/>
  <c r="S49" i="129"/>
  <c r="N55" i="129" l="1"/>
  <c r="Y49" i="129"/>
  <c r="H50" i="129"/>
  <c r="J45" i="129"/>
  <c r="C61" i="129"/>
  <c r="C62" i="129"/>
  <c r="I188" i="51"/>
  <c r="F188" i="51" l="1"/>
  <c r="J158" i="18" s="1"/>
  <c r="J208" i="18" s="1"/>
  <c r="H208" i="18" s="1"/>
  <c r="F12" i="35" s="1"/>
  <c r="F15" i="35" s="1"/>
  <c r="K46" i="129"/>
  <c r="AF35" i="129"/>
  <c r="AF45" i="129" s="1"/>
  <c r="T49" i="129"/>
  <c r="U51" i="129"/>
  <c r="Q13" i="129"/>
  <c r="C59" i="129"/>
  <c r="U53" i="129" l="1"/>
  <c r="V49" i="129"/>
  <c r="P53" i="129"/>
  <c r="P56" i="129"/>
  <c r="P55" i="129"/>
  <c r="U55" i="129"/>
  <c r="J210" i="18"/>
  <c r="P59" i="129"/>
  <c r="AD47" i="129"/>
  <c r="V47" i="129"/>
  <c r="U47" i="129"/>
  <c r="U49" i="129"/>
  <c r="L14" i="111"/>
  <c r="AD49" i="129" l="1"/>
  <c r="U56" i="129" s="1"/>
  <c r="O14" i="111"/>
  <c r="O15" i="111" s="1"/>
  <c r="C18" i="111" s="1"/>
  <c r="O13" i="111"/>
  <c r="Q16" i="111"/>
  <c r="Q13" i="111"/>
  <c r="D60" i="129" l="1"/>
  <c r="R63" i="129" s="1"/>
  <c r="L20" i="111"/>
  <c r="U13" i="111"/>
  <c r="V14" i="111"/>
  <c r="U16" i="111"/>
  <c r="V17" i="111"/>
  <c r="O20" i="111" l="1"/>
  <c r="J25" i="111"/>
  <c r="Y16" i="111"/>
  <c r="V18" i="111"/>
  <c r="V15" i="111"/>
  <c r="Y13" i="111"/>
  <c r="F31" i="111" l="1"/>
  <c r="B16" i="35"/>
  <c r="F17" i="35"/>
  <c r="F16" i="3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E21" authorId="0" shapeId="0" xr:uid="{E1BFCE33-8C6D-4C50-8EE2-D5796B2304C9}">
      <text>
        <r>
          <rPr>
            <b/>
            <sz val="9"/>
            <color indexed="81"/>
            <rFont val="Tahoma"/>
            <family val="2"/>
          </rPr>
          <t>Enter $ Amounts in this column.</t>
        </r>
      </text>
    </comment>
    <comment ref="F21" authorId="0" shapeId="0" xr:uid="{144E7241-40DD-4B58-B458-62B7AB1AFF64}">
      <text>
        <r>
          <rPr>
            <b/>
            <sz val="9"/>
            <color indexed="81"/>
            <rFont val="Tahoma"/>
            <family val="2"/>
          </rPr>
          <t>Enter Comments/
Descriptions in this column (if needed)</t>
        </r>
      </text>
    </comment>
    <comment ref="B47" authorId="0" shapeId="0" xr:uid="{3DDCEF00-D659-4273-B7EE-9A760F31FE28}">
      <text>
        <r>
          <rPr>
            <b/>
            <sz val="9"/>
            <color indexed="81"/>
            <rFont val="Tahoma"/>
            <family val="2"/>
          </rPr>
          <t>For notation only; Amounts entered in this section do not affect DTI Ratio Calc on worksheet. 
All debts being counted should be included in the 'All Additional Debts' line above.</t>
        </r>
      </text>
    </comment>
    <comment ref="B54" authorId="0" shapeId="0" xr:uid="{85C1F6D8-7EDA-411C-BD20-E2740FDC3EA4}">
      <text>
        <r>
          <rPr>
            <b/>
            <sz val="9"/>
            <color indexed="81"/>
            <rFont val="Tahoma"/>
            <family val="2"/>
          </rPr>
          <t>For notation only;  amounts entered in this section do not affect DTI Ratio Calc. on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C24" authorId="0" shapeId="0" xr:uid="{BDF27004-5628-48C3-81E6-916A697DF5A7}">
      <text>
        <r>
          <rPr>
            <b/>
            <sz val="9"/>
            <color indexed="81"/>
            <rFont val="Tahoma"/>
            <family val="2"/>
          </rPr>
          <t>For Pay types other than Base Pay, 
use Pay Types 2 - 4</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G12" authorId="0" shapeId="0" xr:uid="{77268F95-B767-421E-AA46-D922A3EE1ADC}">
      <text>
        <r>
          <rPr>
            <b/>
            <sz val="9"/>
            <color indexed="81"/>
            <rFont val="Tahoma"/>
            <family val="2"/>
          </rPr>
          <t xml:space="preserve">Tip:
</t>
        </r>
        <r>
          <rPr>
            <sz val="9"/>
            <color indexed="81"/>
            <rFont val="Tahoma"/>
            <family val="2"/>
          </rPr>
          <t xml:space="preserve">Use the below calculator if needed to determine the portion that can be grossed up and enter here.
</t>
        </r>
      </text>
    </comment>
    <comment ref="I12" authorId="0" shapeId="0" xr:uid="{85778A72-8F6F-4DC7-900E-885F6FA666DB}">
      <text>
        <r>
          <rPr>
            <b/>
            <sz val="9"/>
            <color indexed="81"/>
            <rFont val="Tahoma"/>
            <family val="2"/>
          </rPr>
          <t>Tip:</t>
        </r>
        <r>
          <rPr>
            <sz val="9"/>
            <color indexed="81"/>
            <rFont val="Tahoma"/>
            <family val="2"/>
          </rPr>
          <t xml:space="preserve">
15% -  FHA Loans
25% - Conventional, VA, USDA</t>
        </r>
      </text>
    </comment>
    <comment ref="G37" authorId="0" shapeId="0" xr:uid="{2AF1580E-DA89-4845-844B-25098CAD28E5}">
      <text>
        <r>
          <rPr>
            <b/>
            <sz val="9"/>
            <color indexed="81"/>
            <rFont val="Tahoma"/>
            <family val="2"/>
          </rPr>
          <t xml:space="preserve">Tip:
</t>
        </r>
        <r>
          <rPr>
            <sz val="9"/>
            <color indexed="81"/>
            <rFont val="Tahoma"/>
            <family val="2"/>
          </rPr>
          <t xml:space="preserve">Use the below calculator if needed to determine the portion that can be grossed up and enter here.
</t>
        </r>
      </text>
    </comment>
    <comment ref="I37" authorId="0" shapeId="0" xr:uid="{F998BE84-59F1-4A38-A2E7-8AC7A6F7A976}">
      <text>
        <r>
          <rPr>
            <b/>
            <sz val="9"/>
            <color indexed="81"/>
            <rFont val="Tahoma"/>
            <family val="2"/>
          </rPr>
          <t>Tip:</t>
        </r>
        <r>
          <rPr>
            <sz val="9"/>
            <color indexed="81"/>
            <rFont val="Tahoma"/>
            <family val="2"/>
          </rPr>
          <t xml:space="preserve">
15% -  FHA Loans
25% - Conventional, VA, USDA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L11" authorId="0" shapeId="0" xr:uid="{090EEDB5-F213-4E31-B05E-6D3070AA9B04}">
      <text>
        <r>
          <rPr>
            <b/>
            <sz val="9"/>
            <color indexed="81"/>
            <rFont val="Tahoma"/>
            <family val="2"/>
          </rPr>
          <t>Tip:</t>
        </r>
        <r>
          <rPr>
            <sz val="9"/>
            <color indexed="81"/>
            <rFont val="Tahoma"/>
            <family val="2"/>
          </rPr>
          <t xml:space="preserve">
This cell is editable.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R18" authorId="0" shapeId="0" xr:uid="{CDC08AE0-4630-4993-A5C9-8A7A4D370EE7}">
      <text>
        <r>
          <rPr>
            <b/>
            <sz val="9"/>
            <color indexed="81"/>
            <rFont val="Tahoma"/>
            <family val="2"/>
          </rPr>
          <t xml:space="preserve">Tip:
Use the Manual Entry method 
if the auto populated Dates do not match up to the borrower actual pay periods.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M10" authorId="0" shapeId="0" xr:uid="{86B14E39-4B46-4D98-84D3-7711BC49983D}">
      <text>
        <r>
          <rPr>
            <b/>
            <sz val="9"/>
            <color indexed="81"/>
            <rFont val="Tahoma"/>
            <family val="2"/>
          </rPr>
          <t>Tip:</t>
        </r>
        <r>
          <rPr>
            <sz val="9"/>
            <color indexed="81"/>
            <rFont val="Tahoma"/>
            <family val="2"/>
          </rPr>
          <t xml:space="preserve">
This cell is editable.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M14" authorId="0" shapeId="0" xr:uid="{82606818-517C-48D4-BD0F-F9DEA040E77F}">
      <text>
        <r>
          <rPr>
            <b/>
            <sz val="9"/>
            <color indexed="81"/>
            <rFont val="Tahoma"/>
            <family val="2"/>
          </rPr>
          <t>Tip:</t>
        </r>
        <r>
          <rPr>
            <sz val="9"/>
            <color indexed="81"/>
            <rFont val="Tahoma"/>
            <family val="2"/>
          </rPr>
          <t xml:space="preserve">
This cell is editable.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S16" authorId="0" shapeId="0" xr:uid="{028E2EB5-CAF1-4DC4-8D69-607046868F5A}">
      <text>
        <r>
          <rPr>
            <b/>
            <sz val="9"/>
            <color indexed="81"/>
            <rFont val="Tahoma"/>
            <family val="2"/>
          </rPr>
          <t>Tip:</t>
        </r>
        <r>
          <rPr>
            <sz val="9"/>
            <color indexed="81"/>
            <rFont val="Tahoma"/>
            <family val="2"/>
          </rPr>
          <t xml:space="preserve">
This cell is 
editable.</t>
        </r>
      </text>
    </comment>
    <comment ref="M44" authorId="0" shapeId="0" xr:uid="{828FF8BE-AA8A-46B1-B822-334C0C85C6A1}">
      <text>
        <r>
          <rPr>
            <b/>
            <sz val="9"/>
            <color indexed="81"/>
            <rFont val="Tahoma"/>
            <family val="2"/>
          </rPr>
          <t>Tip:</t>
        </r>
        <r>
          <rPr>
            <sz val="9"/>
            <color indexed="81"/>
            <rFont val="Tahoma"/>
            <family val="2"/>
          </rPr>
          <t xml:space="preserve">
This cell is editable.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A5" authorId="0" shapeId="0" xr:uid="{00000000-0006-0000-0D00-000001000000}">
      <text>
        <r>
          <rPr>
            <b/>
            <sz val="9"/>
            <color indexed="81"/>
            <rFont val="Tahoma"/>
            <family val="2"/>
          </rPr>
          <t xml:space="preserve">Tip:  </t>
        </r>
        <r>
          <rPr>
            <sz val="9"/>
            <color indexed="81"/>
            <rFont val="Tahoma"/>
            <family val="2"/>
          </rPr>
          <t xml:space="preserve">
For rental income on an investment property being refinanced, use the 'Investment Refinance' worksheet, Not this worksheet.
For rental income from an owner occupied multi-unit property, use the 'Owner Multi-Unit' worksheet, Not this worksheet.</t>
        </r>
      </text>
    </comment>
    <comment ref="J18" authorId="0" shapeId="0" xr:uid="{FD8613EE-0EE5-4E76-826D-175CCBC464F2}">
      <text>
        <r>
          <rPr>
            <b/>
            <sz val="9"/>
            <color indexed="81"/>
            <rFont val="Tahoma"/>
            <family val="2"/>
          </rPr>
          <t>Tip:</t>
        </r>
        <r>
          <rPr>
            <sz val="9"/>
            <color indexed="81"/>
            <rFont val="Tahoma"/>
            <family val="2"/>
          </rPr>
          <t xml:space="preserve">
This cell is editable.</t>
        </r>
      </text>
    </comment>
    <comment ref="B39" authorId="0" shapeId="0" xr:uid="{284DA96E-AB74-4C53-B84E-766FD6FE8465}">
      <text>
        <r>
          <rPr>
            <b/>
            <sz val="9"/>
            <color indexed="81"/>
            <rFont val="Tahoma"/>
            <family val="2"/>
          </rPr>
          <t xml:space="preserve">Tip:
</t>
        </r>
        <r>
          <rPr>
            <sz val="9"/>
            <color indexed="81"/>
            <rFont val="Tahoma"/>
            <family val="2"/>
          </rPr>
          <t xml:space="preserve">This amount should match the
'Monthly Net Rental Income/Loss' 
amount in More LOS.
</t>
        </r>
      </text>
    </comment>
    <comment ref="B48" authorId="0" shapeId="0" xr:uid="{868E50FB-316B-4E8D-91C7-2D6B4C981B22}">
      <text>
        <r>
          <rPr>
            <b/>
            <sz val="9"/>
            <color indexed="81"/>
            <rFont val="Tahoma"/>
            <family val="2"/>
          </rPr>
          <t xml:space="preserve">Tip:
</t>
        </r>
        <r>
          <rPr>
            <sz val="9"/>
            <color indexed="81"/>
            <rFont val="Tahoma"/>
            <family val="2"/>
          </rPr>
          <t>This amount should match the
'Net Rental Income' amount in More LOS.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A2" authorId="0" shapeId="0" xr:uid="{00000000-0006-0000-0E00-000001000000}">
      <text>
        <r>
          <rPr>
            <b/>
            <sz val="9"/>
            <color indexed="81"/>
            <rFont val="Tahoma"/>
            <family val="2"/>
          </rPr>
          <t>Tip:</t>
        </r>
        <r>
          <rPr>
            <sz val="9"/>
            <color indexed="81"/>
            <rFont val="Tahoma"/>
            <family val="2"/>
          </rPr>
          <t xml:space="preserve">
Use this worksheet for the following non-subject properties:
Owner occupied, Second home, and Investment properties.
Use the 'Investment Refinance' worksheet for Investment homes being refinanced, Not This Worksheet.
Use the 'Owner Multi-Unit' for owner occupied multi-unit properties, Not This Worksheet.</t>
        </r>
      </text>
    </comment>
    <comment ref="A8" authorId="0" shapeId="0" xr:uid="{00000000-0006-0000-0E00-000002000000}">
      <text>
        <r>
          <rPr>
            <b/>
            <sz val="9"/>
            <color indexed="81"/>
            <rFont val="Tahoma"/>
            <family val="2"/>
          </rPr>
          <t>Tip:</t>
        </r>
        <r>
          <rPr>
            <sz val="9"/>
            <color indexed="81"/>
            <rFont val="Tahoma"/>
            <family val="2"/>
          </rPr>
          <t xml:space="preserve">
Use this worksheet for the following non-subject properties:
Owner occupied, Second home, and Investment properties.
Use the 'Investment Refinance' worksheet for Investment homes being refinanced, Not This Worksheet.
Use the 'Owner Multi-Unit' for owner occupied multi-unit properties, Not This Worksheet.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J10" authorId="0" shapeId="0" xr:uid="{00000000-0006-0000-0F00-000001000000}">
      <text>
        <r>
          <rPr>
            <b/>
            <sz val="9"/>
            <color indexed="81"/>
            <rFont val="Tahoma"/>
            <family val="2"/>
          </rPr>
          <t>Tip:</t>
        </r>
        <r>
          <rPr>
            <sz val="9"/>
            <color indexed="81"/>
            <rFont val="Tahoma"/>
            <family val="2"/>
          </rPr>
          <t xml:space="preserve">
This cell is editable.</t>
        </r>
      </text>
    </comment>
    <comment ref="Z10" authorId="0" shapeId="0" xr:uid="{F3DC6D34-3E30-48E4-8E15-9FC905CC6C37}">
      <text>
        <r>
          <rPr>
            <b/>
            <sz val="9"/>
            <color indexed="81"/>
            <rFont val="Tahoma"/>
            <family val="2"/>
          </rPr>
          <t>Tip:</t>
        </r>
        <r>
          <rPr>
            <sz val="9"/>
            <color indexed="81"/>
            <rFont val="Tahoma"/>
            <family val="2"/>
          </rPr>
          <t xml:space="preserve">
This cell is editable.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J10" authorId="0" shapeId="0" xr:uid="{00000000-0006-0000-1100-000001000000}">
      <text>
        <r>
          <rPr>
            <b/>
            <sz val="9"/>
            <color indexed="81"/>
            <rFont val="Tahoma"/>
            <family val="2"/>
          </rPr>
          <t>Tip:</t>
        </r>
        <r>
          <rPr>
            <sz val="9"/>
            <color indexed="81"/>
            <rFont val="Tahoma"/>
            <family val="2"/>
          </rPr>
          <t xml:space="preserve">
This cell is editable.</t>
        </r>
      </text>
    </comment>
    <comment ref="Z10" authorId="0" shapeId="0" xr:uid="{A378D63C-EFC3-4837-B484-FDDC1123C2D5}">
      <text>
        <r>
          <rPr>
            <b/>
            <sz val="9"/>
            <color indexed="81"/>
            <rFont val="Tahoma"/>
            <family val="2"/>
          </rPr>
          <t>Tip:</t>
        </r>
        <r>
          <rPr>
            <sz val="9"/>
            <color indexed="81"/>
            <rFont val="Tahoma"/>
            <family val="2"/>
          </rPr>
          <t xml:space="preserve">
This cell is editable.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J10" authorId="0" shapeId="0" xr:uid="{00000000-0006-0000-1200-000001000000}">
      <text>
        <r>
          <rPr>
            <b/>
            <sz val="9"/>
            <color indexed="81"/>
            <rFont val="Tahoma"/>
            <family val="2"/>
          </rPr>
          <t>Tip:</t>
        </r>
        <r>
          <rPr>
            <sz val="9"/>
            <color indexed="81"/>
            <rFont val="Tahoma"/>
            <family val="2"/>
          </rPr>
          <t xml:space="preserve">
This cell is editable.</t>
        </r>
      </text>
    </comment>
    <comment ref="Z10" authorId="0" shapeId="0" xr:uid="{3E6D8E6A-C905-4809-B72D-109DF4E0E989}">
      <text>
        <r>
          <rPr>
            <b/>
            <sz val="9"/>
            <color indexed="81"/>
            <rFont val="Tahoma"/>
            <family val="2"/>
          </rPr>
          <t>Tip:</t>
        </r>
        <r>
          <rPr>
            <sz val="9"/>
            <color indexed="81"/>
            <rFont val="Tahoma"/>
            <family val="2"/>
          </rPr>
          <t xml:space="preserve">
This cell is editable.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Z10" authorId="0" shapeId="0" xr:uid="{6837213C-DC68-4229-81D1-ECE36308B648}">
      <text>
        <r>
          <rPr>
            <b/>
            <sz val="9"/>
            <color indexed="81"/>
            <rFont val="Tahoma"/>
            <family val="2"/>
          </rPr>
          <t>Tip:</t>
        </r>
        <r>
          <rPr>
            <sz val="9"/>
            <color indexed="81"/>
            <rFont val="Tahoma"/>
            <family val="2"/>
          </rPr>
          <t xml:space="preserve">
This cell is editable.</t>
        </r>
      </text>
    </comment>
    <comment ref="J13" authorId="0" shapeId="0" xr:uid="{5FE977B2-E427-477C-854C-32F5E67DEAB6}">
      <text>
        <r>
          <rPr>
            <b/>
            <sz val="9"/>
            <color indexed="81"/>
            <rFont val="Tahoma"/>
            <family val="2"/>
          </rPr>
          <t>Tip:</t>
        </r>
        <r>
          <rPr>
            <sz val="9"/>
            <color indexed="81"/>
            <rFont val="Tahoma"/>
            <family val="2"/>
          </rPr>
          <t xml:space="preserve">
Dates for this column are editable.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Z9" authorId="0" shapeId="0" xr:uid="{248CFFBB-50C5-41C1-8119-AD51FC081A95}">
      <text>
        <r>
          <rPr>
            <b/>
            <sz val="9"/>
            <color indexed="81"/>
            <rFont val="Tahoma"/>
            <family val="2"/>
          </rPr>
          <t>Tip:</t>
        </r>
        <r>
          <rPr>
            <sz val="9"/>
            <color indexed="81"/>
            <rFont val="Tahoma"/>
            <family val="2"/>
          </rPr>
          <t xml:space="preserve">
This cell is editable.</t>
        </r>
      </text>
    </comment>
    <comment ref="J10" authorId="0" shapeId="0" xr:uid="{00000000-0006-0000-1400-000001000000}">
      <text>
        <r>
          <rPr>
            <b/>
            <sz val="9"/>
            <color indexed="81"/>
            <rFont val="Tahoma"/>
            <family val="2"/>
          </rPr>
          <t>Tip:</t>
        </r>
        <r>
          <rPr>
            <sz val="9"/>
            <color indexed="81"/>
            <rFont val="Tahoma"/>
            <family val="2"/>
          </rPr>
          <t xml:space="preserve">
This cell is editable.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C21" authorId="0" shapeId="0" xr:uid="{6EA1929D-31AC-4648-A4AD-480E4C600BAB}">
      <text>
        <r>
          <rPr>
            <b/>
            <sz val="9"/>
            <color indexed="81"/>
            <rFont val="Tahoma"/>
            <family val="2"/>
          </rPr>
          <t xml:space="preserve">Tip:
</t>
        </r>
        <r>
          <rPr>
            <sz val="9"/>
            <color indexed="81"/>
            <rFont val="Tahoma"/>
            <family val="2"/>
          </rPr>
          <t xml:space="preserve">This amount should match
'Gross Monthly Rental Income' in More LOS
</t>
        </r>
      </text>
    </comment>
    <comment ref="J27" authorId="0" shapeId="0" xr:uid="{D884050D-7DD4-4CEB-A7DF-BCC67B5974DF}">
      <text>
        <r>
          <rPr>
            <b/>
            <sz val="9"/>
            <color indexed="81"/>
            <rFont val="Tahoma"/>
            <family val="2"/>
          </rPr>
          <t>Tip:</t>
        </r>
        <r>
          <rPr>
            <sz val="9"/>
            <color indexed="81"/>
            <rFont val="Tahoma"/>
            <family val="2"/>
          </rPr>
          <t xml:space="preserve">
This cell is editable.</t>
        </r>
      </text>
    </comment>
    <comment ref="B48" authorId="0" shapeId="0" xr:uid="{59956480-CA09-495A-BE33-42C767C6695E}">
      <text>
        <r>
          <rPr>
            <b/>
            <sz val="9"/>
            <color indexed="81"/>
            <rFont val="Tahoma"/>
            <family val="2"/>
          </rPr>
          <t xml:space="preserve">Tip: 
</t>
        </r>
        <r>
          <rPr>
            <sz val="9"/>
            <color indexed="81"/>
            <rFont val="Tahoma"/>
            <family val="2"/>
          </rPr>
          <t>This amount should match 
'Monthly Net Rental Income/Loss'
in More LOS.</t>
        </r>
      </text>
    </comment>
    <comment ref="B57" authorId="0" shapeId="0" xr:uid="{7477CA25-C0E5-4566-A899-749574DB395B}">
      <text>
        <r>
          <rPr>
            <b/>
            <sz val="9"/>
            <color indexed="81"/>
            <rFont val="Tahoma"/>
            <family val="2"/>
          </rPr>
          <t xml:space="preserve">Tip:
</t>
        </r>
        <r>
          <rPr>
            <sz val="9"/>
            <color indexed="81"/>
            <rFont val="Tahoma"/>
            <family val="2"/>
          </rPr>
          <t>This amount should match
'Less PITIA Payment' in More LOS when using tax return option.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C23" authorId="0" shapeId="0" xr:uid="{A385D8CC-05D7-4D7C-9D07-C8B43DA52276}">
      <text>
        <r>
          <rPr>
            <b/>
            <sz val="9"/>
            <color indexed="81"/>
            <rFont val="Tahoma"/>
            <family val="2"/>
          </rPr>
          <t xml:space="preserve">Tip:
</t>
        </r>
        <r>
          <rPr>
            <sz val="9"/>
            <color indexed="81"/>
            <rFont val="Tahoma"/>
            <family val="2"/>
          </rPr>
          <t>This amount should match
'Gross Monthly Rental Income'
in More LOS.</t>
        </r>
      </text>
    </comment>
    <comment ref="F23" authorId="0" shapeId="0" xr:uid="{46651542-50B3-490D-A33A-578403992CC7}">
      <text>
        <r>
          <rPr>
            <b/>
            <sz val="9"/>
            <color indexed="81"/>
            <rFont val="Tahoma"/>
            <family val="2"/>
          </rPr>
          <t xml:space="preserve">Tip:
</t>
        </r>
        <r>
          <rPr>
            <sz val="9"/>
            <color indexed="81"/>
            <rFont val="Tahoma"/>
            <family val="2"/>
          </rPr>
          <t>Default Use Percentage is 75%, however this is editable if permissible per guidelines.</t>
        </r>
      </text>
    </comment>
    <comment ref="J29" authorId="0" shapeId="0" xr:uid="{00000000-0006-0000-1700-000001000000}">
      <text>
        <r>
          <rPr>
            <b/>
            <sz val="9"/>
            <color indexed="81"/>
            <rFont val="Tahoma"/>
            <family val="2"/>
          </rPr>
          <t>Tip:</t>
        </r>
        <r>
          <rPr>
            <sz val="9"/>
            <color indexed="81"/>
            <rFont val="Tahoma"/>
            <family val="2"/>
          </rPr>
          <t xml:space="preserve">
This cell is editable.</t>
        </r>
      </text>
    </comment>
    <comment ref="B50" authorId="0" shapeId="0" xr:uid="{FDE71427-DE8E-47A2-92AB-3DC4157F4E18}">
      <text>
        <r>
          <rPr>
            <b/>
            <sz val="9"/>
            <color indexed="81"/>
            <rFont val="Tahoma"/>
            <family val="2"/>
          </rPr>
          <t xml:space="preserve">Tip: 
</t>
        </r>
        <r>
          <rPr>
            <sz val="9"/>
            <color indexed="81"/>
            <rFont val="Tahoma"/>
            <family val="2"/>
          </rPr>
          <t>This amount should match 
'Monthly Net Rental Income/Loss'
in More LOS.</t>
        </r>
      </text>
    </comment>
    <comment ref="B59" authorId="0" shapeId="0" xr:uid="{380DD0BA-20B0-4774-9251-7E871EFC23FF}">
      <text>
        <r>
          <rPr>
            <b/>
            <sz val="9"/>
            <color indexed="81"/>
            <rFont val="Tahoma"/>
            <family val="2"/>
          </rPr>
          <t xml:space="preserve">Tip:
</t>
        </r>
        <r>
          <rPr>
            <sz val="9"/>
            <color indexed="81"/>
            <rFont val="Tahoma"/>
            <family val="2"/>
          </rPr>
          <t>This amount should match
'Less PITIA Payment' in More LOS 
when using tax return option.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Will Lambourne</author>
  </authors>
  <commentList>
    <comment ref="J26" authorId="0" shapeId="0" xr:uid="{D9219764-E16B-4083-AAD4-FE446206F73D}">
      <text>
        <r>
          <rPr>
            <b/>
            <sz val="9"/>
            <color indexed="81"/>
            <rFont val="Tahoma"/>
            <family val="2"/>
          </rPr>
          <t>Tip:</t>
        </r>
        <r>
          <rPr>
            <sz val="9"/>
            <color indexed="81"/>
            <rFont val="Tahoma"/>
            <family val="2"/>
          </rPr>
          <t xml:space="preserve">
This cell is editable.</t>
        </r>
      </text>
    </comment>
    <comment ref="B41" authorId="0" shapeId="0" xr:uid="{5FE45A69-4741-49AA-A99C-88108C79135F}">
      <text>
        <r>
          <rPr>
            <b/>
            <sz val="9"/>
            <color indexed="81"/>
            <rFont val="Tahoma"/>
            <family val="2"/>
          </rPr>
          <t>Tip:</t>
        </r>
        <r>
          <rPr>
            <sz val="9"/>
            <color indexed="81"/>
            <rFont val="Tahoma"/>
            <family val="2"/>
          </rPr>
          <t xml:space="preserve">
When using Schedule E, if the property was not owned for the entire year, the property acquisition date should be entered below and used to determine the total number of months. (rather than using fair rental days)</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Will Lambourne</author>
    <author>will lambourne</author>
  </authors>
  <commentList>
    <comment ref="J8" authorId="0" shapeId="0" xr:uid="{00000000-0006-0000-1B00-000001000000}">
      <text>
        <r>
          <rPr>
            <b/>
            <sz val="9"/>
            <color indexed="81"/>
            <rFont val="Tahoma"/>
            <family val="2"/>
          </rPr>
          <t>Tip:</t>
        </r>
        <r>
          <rPr>
            <sz val="9"/>
            <color indexed="81"/>
            <rFont val="Tahoma"/>
            <family val="2"/>
          </rPr>
          <t xml:space="preserve">
This cell is editable.</t>
        </r>
      </text>
    </comment>
    <comment ref="B42" authorId="1" shapeId="0" xr:uid="{DF2CB019-8F1E-4A73-9B5C-D7F547C74DE3}">
      <text>
        <r>
          <rPr>
            <b/>
            <sz val="9"/>
            <color indexed="81"/>
            <rFont val="Tahoma"/>
            <family val="2"/>
          </rPr>
          <t>Tip:</t>
        </r>
        <r>
          <rPr>
            <sz val="9"/>
            <color indexed="81"/>
            <rFont val="Tahoma"/>
            <family val="2"/>
          </rPr>
          <t xml:space="preserve">
Check to see if the
business has high 
Cost of Goods Sold.</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will lambourne</author>
    <author>Will Lambourne</author>
  </authors>
  <commentList>
    <comment ref="D8" authorId="0" shapeId="0" xr:uid="{61E2A5F0-064D-4761-9303-5242DC9F19C3}">
      <text>
        <r>
          <rPr>
            <b/>
            <sz val="9"/>
            <color indexed="81"/>
            <rFont val="Tahoma"/>
            <family val="2"/>
          </rPr>
          <t>Tip:</t>
        </r>
        <r>
          <rPr>
            <sz val="9"/>
            <color indexed="81"/>
            <rFont val="Tahoma"/>
            <family val="2"/>
          </rPr>
          <t xml:space="preserve">
Click on cell to open
drop down list and make selection.</t>
        </r>
      </text>
    </comment>
    <comment ref="M10" authorId="1" shapeId="0" xr:uid="{2245721A-EF2F-4306-8646-4B18540E3857}">
      <text>
        <r>
          <rPr>
            <b/>
            <sz val="9"/>
            <color indexed="81"/>
            <rFont val="Tahoma"/>
            <family val="2"/>
          </rPr>
          <t>Tip:</t>
        </r>
        <r>
          <rPr>
            <sz val="9"/>
            <color indexed="81"/>
            <rFont val="Tahoma"/>
            <family val="2"/>
          </rPr>
          <t xml:space="preserve">
This cell is editable.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<sst xmlns="http://schemas.openxmlformats.org/spreadsheetml/2006/main" count="3253" uniqueCount="1453">
  <si>
    <t>Property:</t>
  </si>
  <si>
    <t xml:space="preserve">1. </t>
  </si>
  <si>
    <t xml:space="preserve">2. </t>
  </si>
  <si>
    <t xml:space="preserve">3. </t>
  </si>
  <si>
    <t xml:space="preserve">4. </t>
  </si>
  <si>
    <t xml:space="preserve">5. </t>
  </si>
  <si>
    <t xml:space="preserve">6. </t>
  </si>
  <si>
    <t xml:space="preserve">7. </t>
  </si>
  <si>
    <t xml:space="preserve">8. </t>
  </si>
  <si>
    <t xml:space="preserve">9. </t>
  </si>
  <si>
    <t xml:space="preserve">10. </t>
  </si>
  <si>
    <t xml:space="preserve">11. </t>
  </si>
  <si>
    <t>Number of months reviewed:</t>
  </si>
  <si>
    <t>)</t>
  </si>
  <si>
    <t>(</t>
  </si>
  <si>
    <t>Borrower(s):</t>
  </si>
  <si>
    <t>Sole Proprietorship</t>
  </si>
  <si>
    <t>Business:</t>
  </si>
  <si>
    <r>
      <t xml:space="preserve">Net Profit/(Loss):  </t>
    </r>
    <r>
      <rPr>
        <sz val="9"/>
        <color rgb="FF00B050"/>
        <rFont val="Calibri"/>
        <family val="2"/>
        <scheme val="minor"/>
      </rPr>
      <t>Line 31</t>
    </r>
  </si>
  <si>
    <r>
      <t xml:space="preserve">Business Use of Home:  </t>
    </r>
    <r>
      <rPr>
        <sz val="9"/>
        <color rgb="FF00B050"/>
        <rFont val="Calibri"/>
        <family val="2"/>
        <scheme val="minor"/>
      </rPr>
      <t>Line 30</t>
    </r>
  </si>
  <si>
    <r>
      <t xml:space="preserve">Depletion:  </t>
    </r>
    <r>
      <rPr>
        <sz val="9"/>
        <color rgb="FF00B050"/>
        <rFont val="Calibri"/>
        <family val="2"/>
        <scheme val="minor"/>
      </rPr>
      <t>Line 12</t>
    </r>
  </si>
  <si>
    <r>
      <rPr>
        <sz val="12"/>
        <color theme="1"/>
        <rFont val="Calibri"/>
        <family val="2"/>
        <scheme val="minor"/>
      </rPr>
      <t xml:space="preserve">  </t>
    </r>
    <r>
      <rPr>
        <u/>
        <sz val="12"/>
        <color theme="1"/>
        <rFont val="Calibri"/>
        <family val="2"/>
        <scheme val="minor"/>
      </rPr>
      <t>Page 2:</t>
    </r>
  </si>
  <si>
    <r>
      <t xml:space="preserve">Business Miles:  </t>
    </r>
    <r>
      <rPr>
        <sz val="9"/>
        <color rgb="FF00B050"/>
        <rFont val="Calibri"/>
        <family val="2"/>
        <scheme val="minor"/>
      </rPr>
      <t>Line 44a</t>
    </r>
  </si>
  <si>
    <r>
      <t xml:space="preserve">             </t>
    </r>
    <r>
      <rPr>
        <sz val="10"/>
        <color rgb="FF00B050"/>
        <rFont val="Calibri"/>
        <family val="2"/>
        <scheme val="minor"/>
      </rPr>
      <t>x Depreciation rate</t>
    </r>
  </si>
  <si>
    <r>
      <t xml:space="preserve">             </t>
    </r>
    <r>
      <rPr>
        <sz val="10"/>
        <color rgb="FF00B050"/>
        <rFont val="Calibri"/>
        <family val="2"/>
        <scheme val="minor"/>
      </rPr>
      <t>= Total Mileage Depreciation</t>
    </r>
  </si>
  <si>
    <t>Total Monthly Business Income/(loss)</t>
  </si>
  <si>
    <t>Total Adjusted Business Income/(Loss)</t>
  </si>
  <si>
    <t>"Schedule C"</t>
  </si>
  <si>
    <t>`</t>
  </si>
  <si>
    <t xml:space="preserve">12. </t>
  </si>
  <si>
    <t>Notes:</t>
  </si>
  <si>
    <t>Partnership</t>
  </si>
  <si>
    <t>"Form 1065"</t>
  </si>
  <si>
    <r>
      <t xml:space="preserve">Net Income/(Loss):  </t>
    </r>
    <r>
      <rPr>
        <sz val="9"/>
        <color rgb="FF00B050"/>
        <rFont val="Calibri"/>
        <family val="2"/>
        <scheme val="minor"/>
      </rPr>
      <t>Lines 2 &amp; 3</t>
    </r>
  </si>
  <si>
    <r>
      <rPr>
        <b/>
        <sz val="12"/>
        <color theme="1"/>
        <rFont val="Calibri"/>
        <family val="2"/>
        <scheme val="minor"/>
      </rPr>
      <t xml:space="preserve">  </t>
    </r>
    <r>
      <rPr>
        <b/>
        <u/>
        <sz val="12"/>
        <color theme="1"/>
        <rFont val="Calibri"/>
        <family val="2"/>
        <scheme val="minor"/>
      </rPr>
      <t>Form 1065:</t>
    </r>
  </si>
  <si>
    <t>Business Name:</t>
  </si>
  <si>
    <r>
      <t xml:space="preserve">Depletion:  </t>
    </r>
    <r>
      <rPr>
        <sz val="9"/>
        <color rgb="FF00B050"/>
        <rFont val="Calibri"/>
        <family val="2"/>
        <scheme val="minor"/>
      </rPr>
      <t>Line 17</t>
    </r>
  </si>
  <si>
    <t>Borrower:</t>
  </si>
  <si>
    <r>
      <rPr>
        <b/>
        <sz val="12"/>
        <color theme="1"/>
        <rFont val="Calibri"/>
        <family val="2"/>
        <scheme val="minor"/>
      </rPr>
      <t xml:space="preserve">  </t>
    </r>
    <r>
      <rPr>
        <b/>
        <u/>
        <sz val="12"/>
        <color theme="1"/>
        <rFont val="Calibri"/>
        <family val="2"/>
        <scheme val="minor"/>
      </rPr>
      <t>Schedule K-1:</t>
    </r>
  </si>
  <si>
    <t xml:space="preserve">13. </t>
  </si>
  <si>
    <t xml:space="preserve">14. </t>
  </si>
  <si>
    <t>Subtotal</t>
  </si>
  <si>
    <t xml:space="preserve">15. </t>
  </si>
  <si>
    <r>
      <t xml:space="preserve">Depreciation:  </t>
    </r>
    <r>
      <rPr>
        <sz val="9"/>
        <color rgb="FF00B050"/>
        <rFont val="Calibri"/>
        <family val="2"/>
        <scheme val="minor"/>
      </rPr>
      <t>Line 14</t>
    </r>
  </si>
  <si>
    <t>"Form 1120"</t>
  </si>
  <si>
    <t>Corporation</t>
  </si>
  <si>
    <r>
      <t xml:space="preserve">Total Tax:  </t>
    </r>
    <r>
      <rPr>
        <sz val="9"/>
        <color rgb="FF00B050"/>
        <rFont val="Calibri"/>
        <family val="2"/>
        <scheme val="minor"/>
      </rPr>
      <t>Lines 31</t>
    </r>
  </si>
  <si>
    <r>
      <t xml:space="preserve">Depreciation:  </t>
    </r>
    <r>
      <rPr>
        <sz val="9"/>
        <color rgb="FF00B050"/>
        <rFont val="Calibri"/>
        <family val="2"/>
        <scheme val="minor"/>
      </rPr>
      <t>Line 20</t>
    </r>
  </si>
  <si>
    <r>
      <t xml:space="preserve">Depletion:  </t>
    </r>
    <r>
      <rPr>
        <sz val="9"/>
        <color rgb="FF00B050"/>
        <rFont val="Calibri"/>
        <family val="2"/>
        <scheme val="minor"/>
      </rPr>
      <t>Line 21</t>
    </r>
  </si>
  <si>
    <r>
      <t xml:space="preserve">Net operating Loss or Special Deductions: </t>
    </r>
    <r>
      <rPr>
        <sz val="9"/>
        <color rgb="FF00B050"/>
        <rFont val="Calibri"/>
        <family val="2"/>
        <scheme val="minor"/>
      </rPr>
      <t>Line 29a &amp; b</t>
    </r>
  </si>
  <si>
    <r>
      <t xml:space="preserve">)          </t>
    </r>
    <r>
      <rPr>
        <b/>
        <sz val="11"/>
        <color theme="1"/>
        <rFont val="Calibri"/>
        <family val="2"/>
        <scheme val="minor"/>
      </rPr>
      <t xml:space="preserve">  </t>
    </r>
    <r>
      <rPr>
        <b/>
        <sz val="12"/>
        <color theme="1"/>
        <rFont val="Calibri"/>
        <family val="2"/>
        <scheme val="minor"/>
      </rPr>
      <t xml:space="preserve">   (</t>
    </r>
  </si>
  <si>
    <t>"Schedule F"</t>
  </si>
  <si>
    <r>
      <t xml:space="preserve">Net Profit/(Loss):  </t>
    </r>
    <r>
      <rPr>
        <sz val="9"/>
        <color rgb="FF00B050"/>
        <rFont val="Calibri"/>
        <family val="2"/>
        <scheme val="minor"/>
      </rPr>
      <t>Line 34</t>
    </r>
  </si>
  <si>
    <t>Non-Taxable portion of Recurring Cooperative &amp;CCC Pmts:</t>
  </si>
  <si>
    <t>Total Monthly Farming Income/(loss)</t>
  </si>
  <si>
    <t>Total Adjusted Farming Income/(Loss)</t>
  </si>
  <si>
    <t xml:space="preserve">      -Lines (3a minus 3b) + (4a minus 4b) + (5a minus 5b) + (6a minus 6b)*</t>
  </si>
  <si>
    <t>Farming Income</t>
  </si>
  <si>
    <t>Rental Income</t>
  </si>
  <si>
    <t xml:space="preserve">* If these programs/distributions are determined to be regular or recurring, add back the non-taxable portion.  Do not </t>
  </si>
  <si>
    <t>**Other income reported represents income received by the farmer that was not obtained from the profits of farm operations.</t>
  </si>
  <si>
    <t>Total Adjustment from Form 1065</t>
  </si>
  <si>
    <r>
      <t xml:space="preserve">Total Adjusted Business Income/(Loss):  </t>
    </r>
    <r>
      <rPr>
        <sz val="10"/>
        <color theme="1"/>
        <rFont val="Calibri"/>
        <family val="2"/>
        <scheme val="minor"/>
      </rPr>
      <t>W2, K1 &amp; 1065</t>
    </r>
  </si>
  <si>
    <r>
      <t xml:space="preserve">Total Adjusted Business Income/(Loss):  </t>
    </r>
    <r>
      <rPr>
        <sz val="10"/>
        <color theme="1"/>
        <rFont val="Calibri"/>
        <family val="2"/>
        <scheme val="minor"/>
      </rPr>
      <t>W2 &amp; 1120</t>
    </r>
  </si>
  <si>
    <t xml:space="preserve">Mortgages, notes payable in less than 1 year:  </t>
  </si>
  <si>
    <t xml:space="preserve">  sources should generally not be recognized.  Additional documentation would be needed to support that the distributions </t>
  </si>
  <si>
    <t xml:space="preserve">  are being made to the borrowers partnership as well as the ownership percentage that the borrowers partnership has in</t>
  </si>
  <si>
    <t xml:space="preserve">  that there are sufficient liquid business assets to cover them, no deduction is necessary.</t>
  </si>
  <si>
    <t xml:space="preserve">  having received them that shows the payments are stable and consistent.</t>
  </si>
  <si>
    <r>
      <t xml:space="preserve">  </t>
    </r>
    <r>
      <rPr>
        <sz val="11"/>
        <color theme="1"/>
        <rFont val="Calibri"/>
        <family val="2"/>
        <scheme val="minor"/>
      </rPr>
      <t xml:space="preserve">deducted from the cash flow.  If it is determined that these obligations regularly roll over (statement from CPA) and/or </t>
    </r>
  </si>
  <si>
    <t xml:space="preserve">*Ordinary income / Salary drawn from a corporation can be used to qualify the borrower only if the following requirements </t>
  </si>
  <si>
    <t xml:space="preserve">  are met:  The corporation has positive sales and earnings trends;  The corporation has adequate liquidity to support the</t>
  </si>
  <si>
    <t xml:space="preserve">  can document their ownership/right and access to withdraw the income.  Subtract any losses indicated on the K-1.</t>
  </si>
  <si>
    <t xml:space="preserve">  has positive sales and earnings trends;  The partnership has adequate liquidity to support the withdrawal. The Borrower</t>
  </si>
  <si>
    <r>
      <t>Depreciation:</t>
    </r>
    <r>
      <rPr>
        <sz val="9"/>
        <color rgb="FF00B050"/>
        <rFont val="Calibri"/>
        <family val="2"/>
        <scheme val="minor"/>
      </rPr>
      <t xml:space="preserve">  Line 18</t>
    </r>
  </si>
  <si>
    <r>
      <t>Mortgage Interest:</t>
    </r>
    <r>
      <rPr>
        <sz val="9"/>
        <color rgb="FF00B050"/>
        <rFont val="Calibri"/>
        <family val="2"/>
        <scheme val="minor"/>
      </rPr>
      <t xml:space="preserve">  Line 12</t>
    </r>
  </si>
  <si>
    <t>Income Summary</t>
  </si>
  <si>
    <t>Income Expert</t>
  </si>
  <si>
    <t>Hourly</t>
  </si>
  <si>
    <t>Annual</t>
  </si>
  <si>
    <t>Monthly</t>
  </si>
  <si>
    <t>Base Income:</t>
  </si>
  <si>
    <t>Overtime:</t>
  </si>
  <si>
    <t>Bonus:</t>
  </si>
  <si>
    <t>Commission:</t>
  </si>
  <si>
    <t>Other:</t>
  </si>
  <si>
    <t>Amount:</t>
  </si>
  <si>
    <t>Pay Period:</t>
  </si>
  <si>
    <t>Monthly Amount:</t>
  </si>
  <si>
    <t>Employer:</t>
  </si>
  <si>
    <t>Bi-weekly</t>
  </si>
  <si>
    <t>Semi-monthly</t>
  </si>
  <si>
    <t>Weekly</t>
  </si>
  <si>
    <t>Total Monthly Income:</t>
  </si>
  <si>
    <t>Income Averager</t>
  </si>
  <si>
    <t>Source:</t>
  </si>
  <si>
    <t>Income Description:</t>
  </si>
  <si>
    <t>Through</t>
  </si>
  <si>
    <t>Total:</t>
  </si>
  <si>
    <t>Monthly Average</t>
  </si>
  <si>
    <t>Months   =</t>
  </si>
  <si>
    <t xml:space="preserve">     Divided by</t>
  </si>
  <si>
    <t xml:space="preserve">Total  = </t>
  </si>
  <si>
    <t xml:space="preserve">            Exclude</t>
  </si>
  <si>
    <t xml:space="preserve">   *Exclude a years income from the total being averaged below.</t>
  </si>
  <si>
    <t>W2 Wage Earner</t>
  </si>
  <si>
    <t>Partnerships (Form 1065)</t>
  </si>
  <si>
    <t>S Corporation (Form 1120S)</t>
  </si>
  <si>
    <t>Corporation (Form 1120)</t>
  </si>
  <si>
    <t>Loan Number:</t>
  </si>
  <si>
    <t>Other Income</t>
  </si>
  <si>
    <t>Self-employed Income</t>
  </si>
  <si>
    <t>Total Qualifying Income</t>
  </si>
  <si>
    <t>Taxes</t>
  </si>
  <si>
    <t>Front Ratio</t>
  </si>
  <si>
    <t>Total Additional Debt</t>
  </si>
  <si>
    <t>Total Monthly Debt</t>
  </si>
  <si>
    <t>Borrower 1 Credit Report</t>
  </si>
  <si>
    <t>Borrower 2 Credit Report</t>
  </si>
  <si>
    <t>Debts Not Listed on the Credit Report</t>
  </si>
  <si>
    <t>Payment</t>
  </si>
  <si>
    <t>Debts being Excluded from the DTI</t>
  </si>
  <si>
    <t>Total</t>
  </si>
  <si>
    <t>W2 Income</t>
  </si>
  <si>
    <t>Self-Employed Income</t>
  </si>
  <si>
    <t>Total Income</t>
  </si>
  <si>
    <t>Total from all W2 Income</t>
  </si>
  <si>
    <t>Total from all other income</t>
  </si>
  <si>
    <t>Total from all self-employed income</t>
  </si>
  <si>
    <r>
      <t>Other Income</t>
    </r>
    <r>
      <rPr>
        <b/>
        <sz val="12"/>
        <color theme="1"/>
        <rFont val="Calibri"/>
        <family val="2"/>
        <scheme val="minor"/>
      </rPr>
      <t xml:space="preserve"> (SSI / Retirement / Other)</t>
    </r>
  </si>
  <si>
    <t>Borrower</t>
  </si>
  <si>
    <t>Farming (Schedule F)</t>
  </si>
  <si>
    <t>Crop/Activity:</t>
  </si>
  <si>
    <t>Retirement / SSI / Other</t>
  </si>
  <si>
    <t xml:space="preserve">  Portion to Gross Up</t>
  </si>
  <si>
    <t>Assets</t>
  </si>
  <si>
    <t>Bank/Source</t>
  </si>
  <si>
    <t>Account Type</t>
  </si>
  <si>
    <t>Account #</t>
  </si>
  <si>
    <t>Ending Balance</t>
  </si>
  <si>
    <t>Savings</t>
  </si>
  <si>
    <t>Checking</t>
  </si>
  <si>
    <t>1.</t>
  </si>
  <si>
    <t>2.</t>
  </si>
  <si>
    <t xml:space="preserve">Notes:  </t>
  </si>
  <si>
    <t>3.</t>
  </si>
  <si>
    <t>4.</t>
  </si>
  <si>
    <t>5.</t>
  </si>
  <si>
    <t>6.</t>
  </si>
  <si>
    <t>7.</t>
  </si>
  <si>
    <t>8.</t>
  </si>
  <si>
    <t>CD</t>
  </si>
  <si>
    <t>Mutual Fund</t>
  </si>
  <si>
    <t>Stocks</t>
  </si>
  <si>
    <t>Bonds</t>
  </si>
  <si>
    <t>Money Market</t>
  </si>
  <si>
    <t>Share Draft</t>
  </si>
  <si>
    <t>Share</t>
  </si>
  <si>
    <t>Retirement 401K/SEP</t>
  </si>
  <si>
    <t>IRA</t>
  </si>
  <si>
    <t>Trust Fund</t>
  </si>
  <si>
    <t>Gift</t>
  </si>
  <si>
    <t>Cash Deposit Toward Purchase</t>
  </si>
  <si>
    <t>Secured Borrowed Funds</t>
  </si>
  <si>
    <t>Bridge Loan Not Deposited</t>
  </si>
  <si>
    <t>Net Proceeds</t>
  </si>
  <si>
    <t>Ending balance matches:</t>
  </si>
  <si>
    <t xml:space="preserve">                            All large deposits fully sourced:</t>
  </si>
  <si>
    <t>Credit &amp; Liabilities</t>
  </si>
  <si>
    <t>AUS</t>
  </si>
  <si>
    <t>PCL</t>
  </si>
  <si>
    <r>
      <t xml:space="preserve">              </t>
    </r>
    <r>
      <rPr>
        <b/>
        <sz val="9"/>
        <rFont val="Calibri"/>
        <family val="2"/>
        <scheme val="minor"/>
      </rPr>
      <t>●</t>
    </r>
    <r>
      <rPr>
        <b/>
        <sz val="10"/>
        <rFont val="Calibri"/>
        <family val="2"/>
        <scheme val="minor"/>
      </rPr>
      <t xml:space="preserve"> Transmittal</t>
    </r>
  </si>
  <si>
    <r>
      <t xml:space="preserve">              </t>
    </r>
    <r>
      <rPr>
        <b/>
        <sz val="9"/>
        <rFont val="Calibri"/>
        <family val="2"/>
      </rPr>
      <t xml:space="preserve">● </t>
    </r>
    <r>
      <rPr>
        <b/>
        <sz val="10"/>
        <rFont val="Calibri"/>
        <family val="2"/>
        <scheme val="minor"/>
      </rPr>
      <t>PCL</t>
    </r>
  </si>
  <si>
    <r>
      <t xml:space="preserve">              </t>
    </r>
    <r>
      <rPr>
        <b/>
        <sz val="9"/>
        <rFont val="Calibri"/>
        <family val="2"/>
        <scheme val="minor"/>
      </rPr>
      <t>●</t>
    </r>
    <r>
      <rPr>
        <b/>
        <sz val="10"/>
        <rFont val="Calibri"/>
        <family val="2"/>
        <scheme val="minor"/>
      </rPr>
      <t xml:space="preserve"> AUS</t>
    </r>
  </si>
  <si>
    <t>1. Credit Report Reference Number(s) match:</t>
  </si>
  <si>
    <t>2. All Debts listed on Credit Report(s) match:</t>
  </si>
  <si>
    <t xml:space="preserve">  Transmittal</t>
  </si>
  <si>
    <t>3. All Other Debts match:</t>
  </si>
  <si>
    <t># Months:</t>
  </si>
  <si>
    <t>=</t>
  </si>
  <si>
    <t xml:space="preserve">      Exclude</t>
  </si>
  <si>
    <t>HOA Dues</t>
  </si>
  <si>
    <t>Owner</t>
  </si>
  <si>
    <t>Second Home</t>
  </si>
  <si>
    <t>Investment</t>
  </si>
  <si>
    <t>Total Subject Expense</t>
  </si>
  <si>
    <r>
      <t>Neg. Cash Flow</t>
    </r>
    <r>
      <rPr>
        <sz val="10"/>
        <color theme="1"/>
        <rFont val="Calibri"/>
        <family val="2"/>
        <scheme val="minor"/>
      </rPr>
      <t xml:space="preserve"> (Subject)</t>
    </r>
  </si>
  <si>
    <t>Additional Debt:</t>
  </si>
  <si>
    <t>Primary Residence Housing Expense:</t>
  </si>
  <si>
    <t>Subject Property Information:</t>
  </si>
  <si>
    <t>Total Primary Expense</t>
  </si>
  <si>
    <r>
      <t>Net Rental Loss</t>
    </r>
    <r>
      <rPr>
        <sz val="10"/>
        <color theme="1"/>
        <rFont val="Calibri"/>
        <family val="2"/>
        <scheme val="minor"/>
      </rPr>
      <t>***</t>
    </r>
  </si>
  <si>
    <r>
      <t>Primary</t>
    </r>
    <r>
      <rPr>
        <sz val="10"/>
        <color theme="1"/>
        <rFont val="Calibri"/>
        <family val="2"/>
        <scheme val="minor"/>
      </rPr>
      <t xml:space="preserve"> (Subject)</t>
    </r>
  </si>
  <si>
    <r>
      <t>Primary</t>
    </r>
    <r>
      <rPr>
        <sz val="10"/>
        <color theme="1"/>
        <rFont val="Calibri"/>
        <family val="2"/>
        <scheme val="minor"/>
      </rPr>
      <t xml:space="preserve"> (Non-subject)**</t>
    </r>
  </si>
  <si>
    <r>
      <t xml:space="preserve">Credit Report </t>
    </r>
    <r>
      <rPr>
        <b/>
        <u/>
        <sz val="11"/>
        <color theme="1"/>
        <rFont val="Calibri"/>
        <family val="2"/>
        <scheme val="minor"/>
      </rPr>
      <t>Date</t>
    </r>
    <r>
      <rPr>
        <b/>
        <sz val="11"/>
        <color theme="1"/>
        <rFont val="Calibri"/>
        <family val="2"/>
        <scheme val="minor"/>
      </rPr>
      <t xml:space="preserve"> used to Calculate the Total Monthly Debt</t>
    </r>
  </si>
  <si>
    <t xml:space="preserve">    Occupancy:</t>
  </si>
  <si>
    <t>Positive Cash Flow (Subject Property)</t>
  </si>
  <si>
    <t>Gross Up By:</t>
  </si>
  <si>
    <t>MI</t>
  </si>
  <si>
    <t>MCC / Other Expenses</t>
  </si>
  <si>
    <t>"From Schedule E"</t>
  </si>
  <si>
    <t xml:space="preserve"> Assets:</t>
  </si>
  <si>
    <t xml:space="preserve"> Credit:</t>
  </si>
  <si>
    <t>Miscellaneous:</t>
  </si>
  <si>
    <t>Comments</t>
  </si>
  <si>
    <t>Notes</t>
  </si>
  <si>
    <t>QM Ability-to-Repay</t>
  </si>
  <si>
    <r>
      <t xml:space="preserve">Net Rental Income/(Loss):  </t>
    </r>
    <r>
      <rPr>
        <sz val="9"/>
        <color rgb="FF00B050"/>
        <rFont val="Calibri"/>
        <family val="2"/>
        <scheme val="minor"/>
      </rPr>
      <t>Line 21</t>
    </r>
  </si>
  <si>
    <t xml:space="preserve">Total Adjusted Net Rental Income/(Loss) </t>
  </si>
  <si>
    <t>Total Adjusted Net Rental Income/(Loss)</t>
  </si>
  <si>
    <r>
      <t xml:space="preserve">Business Use of Home:  </t>
    </r>
    <r>
      <rPr>
        <sz val="9"/>
        <color rgb="FF00B050"/>
        <rFont val="Calibri"/>
        <family val="2"/>
        <scheme val="minor"/>
      </rPr>
      <t>Only if listed on Line 32</t>
    </r>
  </si>
  <si>
    <r>
      <t>All Other Debts</t>
    </r>
    <r>
      <rPr>
        <sz val="10"/>
        <color theme="1"/>
        <rFont val="Calibri"/>
        <family val="2"/>
        <scheme val="minor"/>
      </rPr>
      <t>*****</t>
    </r>
  </si>
  <si>
    <t xml:space="preserve">  </t>
  </si>
  <si>
    <t>Proposed Monthly Cash Flow from the Subject property</t>
  </si>
  <si>
    <t xml:space="preserve">    -Enter </t>
  </si>
  <si>
    <t>Flood Insurance</t>
  </si>
  <si>
    <t>Hazard Insurance</t>
  </si>
  <si>
    <t>Total DTI Ratio</t>
  </si>
  <si>
    <t>(10 mo) Hourly*</t>
  </si>
  <si>
    <t>(10 mo) Weekly*</t>
  </si>
  <si>
    <t>(10 mo) Bi-weekly*</t>
  </si>
  <si>
    <t>(10 mo) Semi-monthly*</t>
  </si>
  <si>
    <t>(10 mo) Monthly*</t>
  </si>
  <si>
    <t>Worksheet Instructions:</t>
  </si>
  <si>
    <t>*</t>
  </si>
  <si>
    <t>Avg. hours per week (if paid hourly)</t>
  </si>
  <si>
    <r>
      <t>Amortization/Casualty Loss:</t>
    </r>
    <r>
      <rPr>
        <sz val="9"/>
        <color rgb="FF00B050"/>
        <rFont val="Calibri"/>
        <family val="2"/>
        <scheme val="minor"/>
      </rPr>
      <t xml:space="preserve">  Only if listed for this property*</t>
    </r>
  </si>
  <si>
    <t>monthly</t>
  </si>
  <si>
    <t>annually (APY)</t>
  </si>
  <si>
    <t>semi-annually</t>
  </si>
  <si>
    <t>quarterly</t>
  </si>
  <si>
    <t>semi-monthly</t>
  </si>
  <si>
    <t>bi-weekly</t>
  </si>
  <si>
    <t>weekly</t>
  </si>
  <si>
    <t>daily</t>
  </si>
  <si>
    <t>continuous</t>
  </si>
  <si>
    <t>average</t>
  </si>
  <si>
    <t>annually</t>
  </si>
  <si>
    <t>Household Income Calculation Worksheet</t>
  </si>
  <si>
    <t>Misc:</t>
  </si>
  <si>
    <t>-</t>
  </si>
  <si>
    <t>*Add back any amortization claimed for each property.  If claimed, amortization will be found on a separate statement that</t>
  </si>
  <si>
    <t xml:space="preserve">   Occupancy:</t>
  </si>
  <si>
    <t>Owner Occupied</t>
  </si>
  <si>
    <t>Investment Property</t>
  </si>
  <si>
    <t>Full Property Expense                             (PITI+A)</t>
  </si>
  <si>
    <t>Debts on the Credit Report that         are being Excluded from the DTI</t>
  </si>
  <si>
    <t>Property Gain/(Loss)</t>
  </si>
  <si>
    <t>@</t>
  </si>
  <si>
    <t xml:space="preserve">  can be determined to be non-recurring can be added back.  Include receipts/documentation for these expenses in the file.</t>
  </si>
  <si>
    <t xml:space="preserve">  the borrower was unable to claim on schedule C but do still reduce business earnings.  However, If the borrowers business </t>
  </si>
  <si>
    <t xml:space="preserve">  expenses here. If we can confirm/document that they are claiming more than 50% of the total meals and entertainment </t>
  </si>
  <si>
    <r>
      <t xml:space="preserve">Depreciation:  </t>
    </r>
    <r>
      <rPr>
        <sz val="9"/>
        <color rgb="FF00B050"/>
        <rFont val="Calibri"/>
        <family val="2"/>
        <scheme val="minor"/>
      </rPr>
      <t>Line 16c</t>
    </r>
  </si>
  <si>
    <t xml:space="preserve">  added back to the business cash flow.  </t>
  </si>
  <si>
    <t xml:space="preserve">     -Schedule L, Line 16, Column d******</t>
  </si>
  <si>
    <t>¹</t>
  </si>
  <si>
    <t>²</t>
  </si>
  <si>
    <t>³</t>
  </si>
  <si>
    <r>
      <t xml:space="preserve">  is indicated on line 19</t>
    </r>
    <r>
      <rPr>
        <b/>
        <sz val="11"/>
        <color theme="1"/>
        <rFont val="Calibri"/>
        <family val="2"/>
        <scheme val="minor"/>
      </rPr>
      <t xml:space="preserve"> (Do not just add back the entire amount indicated on line 19)</t>
    </r>
    <r>
      <rPr>
        <b/>
        <sz val="9"/>
        <color theme="1"/>
        <rFont val="Calibri"/>
        <family val="2"/>
        <scheme val="minor"/>
      </rPr>
      <t xml:space="preserve"> </t>
    </r>
    <r>
      <rPr>
        <b/>
        <sz val="11"/>
        <color theme="1"/>
        <rFont val="Calibri"/>
        <family val="2"/>
      </rPr>
      <t>¹</t>
    </r>
    <r>
      <rPr>
        <sz val="11"/>
        <color theme="1"/>
        <rFont val="Calibri"/>
        <family val="2"/>
        <scheme val="minor"/>
      </rPr>
      <t xml:space="preserve">.  Additionally, one time expenses that </t>
    </r>
  </si>
  <si>
    <r>
      <t xml:space="preserve">Amortization/Casualty Loss: </t>
    </r>
    <r>
      <rPr>
        <sz val="9"/>
        <color rgb="FF00B050"/>
        <rFont val="Calibri"/>
        <family val="2"/>
        <scheme val="minor"/>
      </rPr>
      <t xml:space="preserve"> Only if listed on stmt indicated******</t>
    </r>
  </si>
  <si>
    <r>
      <t xml:space="preserve">Depreciation from Properties:  </t>
    </r>
    <r>
      <rPr>
        <sz val="9"/>
        <color rgb="FF00B050"/>
        <rFont val="Calibri"/>
        <family val="2"/>
        <scheme val="minor"/>
      </rPr>
      <t>Form 8825, Lines 14********</t>
    </r>
  </si>
  <si>
    <t>********The total depreciation from all rental property owned by the Partnership that are claimed on the form 8825 can be</t>
  </si>
  <si>
    <t xml:space="preserve">*******In most cases, Mortgages, notes, &amp; bonds payable in less than one year, indicated in column d on line 17, should be </t>
  </si>
  <si>
    <t xml:space="preserve">  against the corresponding business (match up the EIN's).  Enter the total amount indicated as a UPE or UBE on schedule E </t>
  </si>
  <si>
    <t xml:space="preserve">  that can be determined to be non-recurring can be added back. Include receipts/documentation for these expenses.</t>
  </si>
  <si>
    <t xml:space="preserve">  on line 2 (do not enter a negative number).  If the corresponding UPE or UBE statement is also provided that breaks down the </t>
  </si>
  <si>
    <t xml:space="preserve">  expenses, it is possible that expenses such as additional depreciation could be added back to this amount and/or that </t>
  </si>
  <si>
    <r>
      <t>Total Income/(Loss) from K-1's and Business W2's</t>
    </r>
    <r>
      <rPr>
        <b/>
        <sz val="11"/>
        <color theme="1"/>
        <rFont val="Calibri"/>
        <family val="2"/>
        <scheme val="minor"/>
      </rPr>
      <t>**</t>
    </r>
  </si>
  <si>
    <t>*UPE's and UBE's claimed on the schedule E, part II are unreimbursed partnership and business expenses that must be held</t>
  </si>
  <si>
    <t>**Income from a partnership can be used to qualify the borrower only if the following requirements are met:  The partnership</t>
  </si>
  <si>
    <r>
      <t xml:space="preserve">  that is indicated on line 20</t>
    </r>
    <r>
      <rPr>
        <b/>
        <sz val="11"/>
        <color theme="1"/>
        <rFont val="Calibri"/>
        <family val="2"/>
        <scheme val="minor"/>
      </rPr>
      <t xml:space="preserve"> (Do not just add back the entire amount indicated on line 20)</t>
    </r>
    <r>
      <rPr>
        <b/>
        <sz val="9"/>
        <color theme="1"/>
        <rFont val="Calibri"/>
        <family val="2"/>
        <scheme val="minor"/>
      </rPr>
      <t xml:space="preserve"> </t>
    </r>
    <r>
      <rPr>
        <b/>
        <sz val="9"/>
        <color theme="1"/>
        <rFont val="Calibri"/>
        <family val="2"/>
      </rPr>
      <t>³</t>
    </r>
    <r>
      <rPr>
        <sz val="11"/>
        <color theme="1"/>
        <rFont val="Calibri"/>
        <family val="2"/>
        <scheme val="minor"/>
      </rPr>
      <t xml:space="preserve">.  Additionally, one time expenses </t>
    </r>
  </si>
  <si>
    <r>
      <t>*****</t>
    </r>
    <r>
      <rPr>
        <b/>
        <sz val="11"/>
        <color theme="1"/>
        <rFont val="Calibri"/>
        <family val="2"/>
        <scheme val="minor"/>
      </rPr>
      <t xml:space="preserve">Miscellaneous income </t>
    </r>
    <r>
      <rPr>
        <sz val="11"/>
        <color theme="1"/>
        <rFont val="Calibri"/>
        <family val="2"/>
        <scheme val="minor"/>
      </rPr>
      <t xml:space="preserve">reported on lines 5-7 that is not documented and determined to be stable, consistent, and </t>
    </r>
  </si>
  <si>
    <r>
      <rPr>
        <b/>
        <sz val="12"/>
        <color theme="1"/>
        <rFont val="Calibri"/>
        <family val="2"/>
        <scheme val="minor"/>
      </rPr>
      <t xml:space="preserve">  </t>
    </r>
    <r>
      <rPr>
        <b/>
        <u/>
        <sz val="12"/>
        <color theme="1"/>
        <rFont val="Calibri"/>
        <family val="2"/>
        <scheme val="minor"/>
      </rPr>
      <t>Form 1120:</t>
    </r>
    <r>
      <rPr>
        <b/>
        <sz val="11"/>
        <color theme="1"/>
        <rFont val="Calibri"/>
        <family val="2"/>
        <scheme val="minor"/>
      </rPr>
      <t>**</t>
    </r>
  </si>
  <si>
    <t xml:space="preserve">               Ending Capital (bottom right)</t>
  </si>
  <si>
    <r>
      <t xml:space="preserve">Amortization/Casualty Loss: </t>
    </r>
    <r>
      <rPr>
        <sz val="9"/>
        <color rgb="FF00B050"/>
        <rFont val="Calibri"/>
        <family val="2"/>
        <scheme val="minor"/>
      </rPr>
      <t>Only if listed on stmt indicated*****</t>
    </r>
  </si>
  <si>
    <t>Total Income/(Loss) from earnings on 1040 &amp; W2's</t>
  </si>
  <si>
    <r>
      <t>****</t>
    </r>
    <r>
      <rPr>
        <b/>
        <sz val="11"/>
        <color theme="1"/>
        <rFont val="Calibri"/>
        <family val="2"/>
        <scheme val="minor"/>
      </rPr>
      <t>Other income</t>
    </r>
    <r>
      <rPr>
        <sz val="11"/>
        <color theme="1"/>
        <rFont val="Calibri"/>
        <family val="2"/>
        <scheme val="minor"/>
      </rPr>
      <t xml:space="preserve"> reported on line 10 that is not documented and determined to be stable, consistent, and recurring </t>
    </r>
    <r>
      <rPr>
        <b/>
        <sz val="11"/>
        <color theme="1"/>
        <rFont val="Calibri"/>
        <family val="2"/>
        <scheme val="minor"/>
      </rPr>
      <t>should</t>
    </r>
  </si>
  <si>
    <t xml:space="preserve">     -Schedule L, Line 17, Column d******</t>
  </si>
  <si>
    <t>******In most cases, Mortgages, notes, &amp; bonds payable in less than one year, indicated in column d on line 17, should be</t>
  </si>
  <si>
    <r>
      <t xml:space="preserve">  that is indicated on line 26 </t>
    </r>
    <r>
      <rPr>
        <b/>
        <sz val="11"/>
        <color theme="1"/>
        <rFont val="Calibri"/>
        <family val="2"/>
        <scheme val="minor"/>
      </rPr>
      <t>(Do not just add back the entire amount indicated on line 26)</t>
    </r>
    <r>
      <rPr>
        <b/>
        <sz val="9"/>
        <color theme="1"/>
        <rFont val="Calibri"/>
        <family val="2"/>
        <scheme val="minor"/>
      </rPr>
      <t xml:space="preserve"> </t>
    </r>
    <r>
      <rPr>
        <b/>
        <sz val="9"/>
        <color theme="1"/>
        <rFont val="Calibri"/>
        <family val="2"/>
      </rPr>
      <t>³</t>
    </r>
    <r>
      <rPr>
        <sz val="11"/>
        <color theme="1"/>
        <rFont val="Calibri"/>
        <family val="2"/>
        <scheme val="minor"/>
      </rPr>
      <t xml:space="preserve">.  Additionally, one time expenses </t>
    </r>
  </si>
  <si>
    <r>
      <t>Total Adjustment from Form 1120</t>
    </r>
    <r>
      <rPr>
        <b/>
        <sz val="11"/>
        <color theme="1"/>
        <rFont val="Calibri"/>
        <family val="2"/>
        <scheme val="minor"/>
      </rPr>
      <t>**</t>
    </r>
  </si>
  <si>
    <t xml:space="preserve">  less than 100% of the business, the worksheet will automatically only count corporate losses from Form 1120 (a negative </t>
  </si>
  <si>
    <r>
      <t xml:space="preserve">  amount on line 16 above) against the qualifying business income (line 19 above) and it will </t>
    </r>
    <r>
      <rPr>
        <b/>
        <sz val="11"/>
        <color theme="1"/>
        <rFont val="Calibri"/>
        <family val="2"/>
        <scheme val="minor"/>
      </rPr>
      <t>not</t>
    </r>
    <r>
      <rPr>
        <sz val="11"/>
        <color theme="1"/>
        <rFont val="Calibri"/>
        <family val="2"/>
        <scheme val="minor"/>
      </rPr>
      <t xml:space="preserve"> add Corporate earnings </t>
    </r>
  </si>
  <si>
    <t xml:space="preserve">  loss from the borrowers qualifying income if the borrowers percentage of ownership is over 25%.  **If the borrower owns </t>
  </si>
  <si>
    <t xml:space="preserve">  from Form 1120 (a positive amount on line 16 above) to the qualifying business income (line 19 above).  **If all borrowers </t>
  </si>
  <si>
    <t xml:space="preserve">   between joint borrowers on loan**</t>
  </si>
  <si>
    <t xml:space="preserve">  expenses actually spent, we can deduct the following amount: ((Amount claimed / Percentage claimed) - amount claimed).</t>
  </si>
  <si>
    <t xml:space="preserve">  is subject to the Department of Transportation (DOT) hours of service limits,  they may be claiming up to 80% of these </t>
  </si>
  <si>
    <t xml:space="preserve">******Add back any amortization claimed by the business.  If claimed, amortization will be found on a separate statement </t>
  </si>
  <si>
    <t xml:space="preserve">*****Add back any amortization claimed by the business.  If claimed, amortization will be found on a separate statement </t>
  </si>
  <si>
    <r>
      <t xml:space="preserve">  32a - 32f </t>
    </r>
    <r>
      <rPr>
        <b/>
        <sz val="11"/>
        <color theme="1"/>
        <rFont val="Calibri"/>
        <family val="2"/>
        <scheme val="minor"/>
      </rPr>
      <t>(Do not just add back the entire amount items claimed in line 32 or line 33)</t>
    </r>
    <r>
      <rPr>
        <b/>
        <sz val="9"/>
        <color theme="1"/>
        <rFont val="Calibri"/>
        <family val="2"/>
        <scheme val="minor"/>
      </rPr>
      <t xml:space="preserve"> </t>
    </r>
    <r>
      <rPr>
        <b/>
        <sz val="9"/>
        <color theme="1"/>
        <rFont val="Calibri"/>
        <family val="2"/>
      </rPr>
      <t>²</t>
    </r>
    <r>
      <rPr>
        <sz val="11"/>
        <color theme="1"/>
        <rFont val="Calibri"/>
        <family val="2"/>
        <scheme val="minor"/>
      </rPr>
      <t xml:space="preserve">.  Additionally, one time expenses </t>
    </r>
  </si>
  <si>
    <r>
      <t xml:space="preserve">  If this income cannot be documented to be stable, consistent, and recurring,</t>
    </r>
    <r>
      <rPr>
        <b/>
        <sz val="11"/>
        <color theme="1"/>
        <rFont val="Calibri"/>
        <family val="2"/>
        <scheme val="minor"/>
      </rPr>
      <t xml:space="preserve"> other income should generally be deducted </t>
    </r>
  </si>
  <si>
    <t xml:space="preserve">**For investment refinances always add back taxes, insurance, and association dues claimed on the schedule E. as these </t>
  </si>
  <si>
    <t xml:space="preserve">  items will be counted against the property in the full proposed housing payment (PITI+A).</t>
  </si>
  <si>
    <t xml:space="preserve">   include income that represents a one-time occurrence or that is not stable.</t>
  </si>
  <si>
    <t xml:space="preserve">  on our loan have a combined 100% ownership in the corporation, use the "Override" button above to include each </t>
  </si>
  <si>
    <t xml:space="preserve">   Override for 100% total ownership   </t>
  </si>
  <si>
    <t>2nd Lien / HELOC</t>
  </si>
  <si>
    <t xml:space="preserve">***Guaranteed Payments to partners can be added to the cash flow when the borrower has at least 2 years history of </t>
  </si>
  <si>
    <t>Date to Date calculator (MM/DD/YY)</t>
  </si>
  <si>
    <r>
      <rPr>
        <b/>
        <sz val="16"/>
        <color theme="1"/>
        <rFont val="Calibri"/>
        <family val="2"/>
        <scheme val="minor"/>
      </rPr>
      <t>‐</t>
    </r>
    <r>
      <rPr>
        <b/>
        <sz val="10"/>
        <color theme="1"/>
        <rFont val="Calibri"/>
        <family val="2"/>
        <scheme val="minor"/>
      </rPr>
      <t xml:space="preserve"> </t>
    </r>
    <r>
      <rPr>
        <b/>
        <sz val="11"/>
        <color theme="1"/>
        <rFont val="Calibri"/>
        <family val="2"/>
        <scheme val="minor"/>
      </rPr>
      <t>Check for "Final K-1" marked yes at the top of the K-1. Do not count income or losses from a business marked Final</t>
    </r>
    <r>
      <rPr>
        <b/>
        <sz val="10"/>
        <color theme="1"/>
        <rFont val="Calibri"/>
        <family val="2"/>
        <scheme val="minor"/>
      </rPr>
      <t xml:space="preserve"> </t>
    </r>
    <r>
      <rPr>
        <b/>
        <sz val="16"/>
        <color theme="1"/>
        <rFont val="Calibri"/>
        <family val="2"/>
        <scheme val="minor"/>
      </rPr>
      <t>‐</t>
    </r>
  </si>
  <si>
    <t>(Do not Delete)</t>
  </si>
  <si>
    <t>*Continued on Next Page*</t>
  </si>
  <si>
    <t>*Continued from Previous Page*</t>
  </si>
  <si>
    <t>Inc. Exp, W2 3</t>
  </si>
  <si>
    <t>Inc. Exp, W2 4</t>
  </si>
  <si>
    <t>Inc. Exp, W2 5</t>
  </si>
  <si>
    <t>Inc. Exp, W2 6</t>
  </si>
  <si>
    <t>URE - 2106 1</t>
  </si>
  <si>
    <t>URE - 2106 2</t>
  </si>
  <si>
    <t>URE - 2106 3</t>
  </si>
  <si>
    <t>URE - 2106 4</t>
  </si>
  <si>
    <t>2106-EZ 1</t>
  </si>
  <si>
    <t>2106-EZ 2</t>
  </si>
  <si>
    <t>2106-EZ 3</t>
  </si>
  <si>
    <t>2106-EZ 4</t>
  </si>
  <si>
    <t>Inc. Exp, Other 3</t>
  </si>
  <si>
    <t>Inc. Exp, Other 4</t>
  </si>
  <si>
    <t>Rent Inc. (sch E) 1</t>
  </si>
  <si>
    <t>Rent Inc. (sch E) 2</t>
  </si>
  <si>
    <t>Rent Inc. (sch E) 3</t>
  </si>
  <si>
    <t>Rent Inc. (sch E) 4</t>
  </si>
  <si>
    <t>Rent Inc. (sch E) 5</t>
  </si>
  <si>
    <t>Rent Inc. (sch E) 6</t>
  </si>
  <si>
    <t>Rent Inc. (sch E) 7</t>
  </si>
  <si>
    <t>Rent Inc. (sch E) 8</t>
  </si>
  <si>
    <t>Rent Inc. (sch E) 9</t>
  </si>
  <si>
    <t>Rent Inc. (sch E) 10</t>
  </si>
  <si>
    <t>Rent Inc. (sch E) 11</t>
  </si>
  <si>
    <t>Rent Inc. (sch E) 12</t>
  </si>
  <si>
    <t>Rent Inc. (sch E) 14</t>
  </si>
  <si>
    <t>Rent Inc. (sch E) 15</t>
  </si>
  <si>
    <t>Rent Inc. (sch E) 16</t>
  </si>
  <si>
    <t>Rent Inc. (sch E) 17</t>
  </si>
  <si>
    <t>Rent Inc. (sch E) 18</t>
  </si>
  <si>
    <t>Rent Inc. (sch E) 20</t>
  </si>
  <si>
    <t>Rent Inc. (sch E) 19</t>
  </si>
  <si>
    <t>Additional Properties 1</t>
  </si>
  <si>
    <t>Additional Properties 2</t>
  </si>
  <si>
    <t>Additional Properties 3</t>
  </si>
  <si>
    <t>Additional Properties 4</t>
  </si>
  <si>
    <t>Additional Properties 5</t>
  </si>
  <si>
    <t>Additional Properties 6</t>
  </si>
  <si>
    <t>Additional Properties 7</t>
  </si>
  <si>
    <t>Additional Properties 8</t>
  </si>
  <si>
    <t>Additional Properties 9</t>
  </si>
  <si>
    <t>Additional Properties 10</t>
  </si>
  <si>
    <t>Additional Properties 11</t>
  </si>
  <si>
    <t>Additional Properties 12</t>
  </si>
  <si>
    <t>Additional Properties 13</t>
  </si>
  <si>
    <t>Additional Properties 14</t>
  </si>
  <si>
    <t>Additional Properties 15</t>
  </si>
  <si>
    <t>Additional Properties 16</t>
  </si>
  <si>
    <t>Additional Properties 17</t>
  </si>
  <si>
    <t>Additional Properties 18</t>
  </si>
  <si>
    <t>Additional Properties 19</t>
  </si>
  <si>
    <t>Additional Properties 20</t>
  </si>
  <si>
    <t>Sch C 2</t>
  </si>
  <si>
    <t>Sch C 3</t>
  </si>
  <si>
    <t>Sch C 4</t>
  </si>
  <si>
    <t>Sch C-EZ 5</t>
  </si>
  <si>
    <t>Sch C-EZ 6</t>
  </si>
  <si>
    <t>1065 2</t>
  </si>
  <si>
    <t>1065 3</t>
  </si>
  <si>
    <t>1065 4</t>
  </si>
  <si>
    <t>1065 5</t>
  </si>
  <si>
    <t>1065 6</t>
  </si>
  <si>
    <t>1065 7</t>
  </si>
  <si>
    <t>1065 8</t>
  </si>
  <si>
    <t>1120S 2</t>
  </si>
  <si>
    <t>1120S 3</t>
  </si>
  <si>
    <t>1120S 4</t>
  </si>
  <si>
    <t>1120S 5</t>
  </si>
  <si>
    <t>1120S 6</t>
  </si>
  <si>
    <t>1120S 7</t>
  </si>
  <si>
    <t>1120S 8</t>
  </si>
  <si>
    <t>1120 2</t>
  </si>
  <si>
    <t>1120 3</t>
  </si>
  <si>
    <t>1120 4</t>
  </si>
  <si>
    <t>1120 5</t>
  </si>
  <si>
    <t>1120 6</t>
  </si>
  <si>
    <t>1120 7</t>
  </si>
  <si>
    <t>1120 8</t>
  </si>
  <si>
    <t>hourly (40 per week)</t>
  </si>
  <si>
    <t>weekly (10 month)</t>
  </si>
  <si>
    <t>bi-weekly (10 month)</t>
  </si>
  <si>
    <t>semi-monthly (10 month)</t>
  </si>
  <si>
    <t>monthly (10 month)</t>
  </si>
  <si>
    <t>Full Income Summary Data source list</t>
  </si>
  <si>
    <t>Sch F 1</t>
  </si>
  <si>
    <t>Sch F 2</t>
  </si>
  <si>
    <t>URE's</t>
  </si>
  <si>
    <t>URE - 2106 5</t>
  </si>
  <si>
    <t>URE - 2106 6</t>
  </si>
  <si>
    <t>Inc. Exp, Other 1</t>
  </si>
  <si>
    <t>Inc. Exp, Other 2</t>
  </si>
  <si>
    <t>2106-EZ 5</t>
  </si>
  <si>
    <t>2106-EZ 6</t>
  </si>
  <si>
    <t>Schedule C</t>
  </si>
  <si>
    <t>Sch C 1</t>
  </si>
  <si>
    <t>1065 1</t>
  </si>
  <si>
    <t>1120S 1</t>
  </si>
  <si>
    <t>1120 1</t>
  </si>
  <si>
    <r>
      <t>Owner Occupied</t>
    </r>
    <r>
      <rPr>
        <b/>
        <sz val="9"/>
        <color theme="1"/>
        <rFont val="Calibri"/>
        <family val="2"/>
        <scheme val="minor"/>
      </rPr>
      <t xml:space="preserve"> (non-subject)</t>
    </r>
  </si>
  <si>
    <r>
      <t>Second Home</t>
    </r>
    <r>
      <rPr>
        <b/>
        <sz val="9"/>
        <color theme="1"/>
        <rFont val="Calibri"/>
        <family val="2"/>
        <scheme val="minor"/>
      </rPr>
      <t xml:space="preserve"> (non-subject)</t>
    </r>
  </si>
  <si>
    <t>Sch C-EZ 7</t>
  </si>
  <si>
    <t>Sch C-EZ 8</t>
  </si>
  <si>
    <t>1120S</t>
  </si>
  <si>
    <r>
      <t>Investment</t>
    </r>
    <r>
      <rPr>
        <b/>
        <sz val="9"/>
        <color theme="1"/>
        <rFont val="Calibri"/>
        <family val="2"/>
        <scheme val="minor"/>
      </rPr>
      <t xml:space="preserve"> (non-subject)</t>
    </r>
  </si>
  <si>
    <t>Schedule F</t>
  </si>
  <si>
    <t>Net rental income/(loss) from investment property worksheets</t>
  </si>
  <si>
    <t>Inc. Exp, W2 1</t>
  </si>
  <si>
    <t>Inc. Exp, W2 2</t>
  </si>
  <si>
    <t>Data from this sheet is not auto feeding to the main page and must be entered manually on the Income Summary Sheet.</t>
  </si>
  <si>
    <t>Data from this sheet is not auto feeding and must be entered manually on the Summary Sheet.</t>
  </si>
  <si>
    <t>Occupant name:</t>
  </si>
  <si>
    <t>Program:</t>
  </si>
  <si>
    <t>County:</t>
  </si>
  <si>
    <t>Annual limit:</t>
  </si>
  <si>
    <t>S Corporation</t>
  </si>
  <si>
    <t>"Form 1120S"</t>
  </si>
  <si>
    <r>
      <rPr>
        <b/>
        <sz val="14"/>
        <color theme="1"/>
        <rFont val="Calibri"/>
        <family val="2"/>
        <scheme val="minor"/>
      </rPr>
      <t xml:space="preserve">‐ </t>
    </r>
    <r>
      <rPr>
        <b/>
        <sz val="11"/>
        <color theme="1"/>
        <rFont val="Calibri"/>
        <family val="2"/>
        <scheme val="minor"/>
      </rPr>
      <t xml:space="preserve">Check for "Final K-1" marked yes at the top of the K-1. Do not count income or losses from a business marked Final </t>
    </r>
    <r>
      <rPr>
        <b/>
        <sz val="14"/>
        <color theme="1"/>
        <rFont val="Calibri"/>
        <family val="2"/>
        <scheme val="minor"/>
      </rPr>
      <t>‐</t>
    </r>
  </si>
  <si>
    <r>
      <rPr>
        <b/>
        <sz val="12"/>
        <color theme="1"/>
        <rFont val="Calibri"/>
        <family val="2"/>
        <scheme val="minor"/>
      </rPr>
      <t xml:space="preserve">  </t>
    </r>
    <r>
      <rPr>
        <b/>
        <u/>
        <sz val="12"/>
        <color theme="1"/>
        <rFont val="Calibri"/>
        <family val="2"/>
        <scheme val="minor"/>
      </rPr>
      <t>Form 1120S:</t>
    </r>
  </si>
  <si>
    <r>
      <t xml:space="preserve">Depletion:  </t>
    </r>
    <r>
      <rPr>
        <sz val="9"/>
        <color rgb="FF00B050"/>
        <rFont val="Calibri"/>
        <family val="2"/>
        <scheme val="minor"/>
      </rPr>
      <t>Line 15</t>
    </r>
  </si>
  <si>
    <r>
      <t xml:space="preserve">Amortization/Casualty Loss: </t>
    </r>
    <r>
      <rPr>
        <sz val="9"/>
        <color rgb="FF00B050"/>
        <rFont val="Calibri"/>
        <family val="2"/>
        <scheme val="minor"/>
      </rPr>
      <t>Only</t>
    </r>
    <r>
      <rPr>
        <sz val="12"/>
        <color rgb="FF00B050"/>
        <rFont val="Calibri"/>
        <family val="2"/>
        <scheme val="minor"/>
      </rPr>
      <t xml:space="preserve"> i</t>
    </r>
    <r>
      <rPr>
        <sz val="9"/>
        <color rgb="FF00B050"/>
        <rFont val="Calibri"/>
        <family val="2"/>
        <scheme val="minor"/>
      </rPr>
      <t>f listed on stmt indicated****</t>
    </r>
  </si>
  <si>
    <t xml:space="preserve">     -Schedule L, Line 17, Column d*****</t>
  </si>
  <si>
    <r>
      <t xml:space="preserve">Depreciation from Properties:  </t>
    </r>
    <r>
      <rPr>
        <sz val="9"/>
        <color rgb="FF00B050"/>
        <rFont val="Calibri"/>
        <family val="2"/>
        <scheme val="minor"/>
      </rPr>
      <t>Form 8825, Lines 14******</t>
    </r>
  </si>
  <si>
    <t>Total Adjustment from Form 1120S</t>
  </si>
  <si>
    <r>
      <t xml:space="preserve">Total Adjusted Business Income/(Loss):  </t>
    </r>
    <r>
      <rPr>
        <sz val="10"/>
        <color theme="1"/>
        <rFont val="Calibri"/>
        <family val="2"/>
        <scheme val="minor"/>
      </rPr>
      <t>W2, K1 &amp; 1120s</t>
    </r>
  </si>
  <si>
    <t xml:space="preserve">**Income from a S Corporation can be used to qualify the borrower only if the following requirements are met:  The business </t>
  </si>
  <si>
    <t xml:space="preserve">  has positive sales and earnings trends;  The business has adequate liquidity to support the withdrawal;  The Borrower</t>
  </si>
  <si>
    <r>
      <t>***</t>
    </r>
    <r>
      <rPr>
        <b/>
        <sz val="11"/>
        <color theme="1"/>
        <rFont val="Calibri"/>
        <family val="2"/>
        <scheme val="minor"/>
      </rPr>
      <t xml:space="preserve">Other income </t>
    </r>
    <r>
      <rPr>
        <sz val="11"/>
        <color theme="1"/>
        <rFont val="Calibri"/>
        <family val="2"/>
        <scheme val="minor"/>
      </rPr>
      <t xml:space="preserve">reported on lines 4 &amp; 5 that is not documented and determined to be stable, consistent, and recurring </t>
    </r>
  </si>
  <si>
    <t xml:space="preserve">  Additionally, any losses or expenses reported that are determined to be nonrecurring, may be added back on the cash flow </t>
  </si>
  <si>
    <t xml:space="preserve">****Add back any amortization claimed by the business.  If claimed, amortization will be found on a separate statement </t>
  </si>
  <si>
    <r>
      <t xml:space="preserve">  that is indicated on line 19 </t>
    </r>
    <r>
      <rPr>
        <b/>
        <sz val="11"/>
        <color theme="1"/>
        <rFont val="Calibri"/>
        <family val="2"/>
        <scheme val="minor"/>
      </rPr>
      <t>(Do not just add back the entire amount indicated on line 19)</t>
    </r>
    <r>
      <rPr>
        <b/>
        <sz val="9"/>
        <color theme="1"/>
        <rFont val="Calibri"/>
        <family val="2"/>
        <scheme val="minor"/>
      </rPr>
      <t xml:space="preserve"> </t>
    </r>
    <r>
      <rPr>
        <b/>
        <sz val="9"/>
        <color theme="1"/>
        <rFont val="Calibri"/>
        <family val="2"/>
      </rPr>
      <t>²</t>
    </r>
    <r>
      <rPr>
        <sz val="11"/>
        <color theme="1"/>
        <rFont val="Calibri"/>
        <family val="2"/>
        <scheme val="minor"/>
      </rPr>
      <t xml:space="preserve">.  Additionally, one time expenses </t>
    </r>
  </si>
  <si>
    <t xml:space="preserve">*****In most cases, Mortgages, notes, &amp; bonds payable in less than one year, indicated in column d on line 17, should be </t>
  </si>
  <si>
    <t>******The total depreciation from all rental property owned by the S Corporation that are claimed on the form 8825 can be</t>
  </si>
  <si>
    <t xml:space="preserve">  added back to the business cash flow.  Any properties claimed on form 8825 on that are included in PCL under the </t>
  </si>
  <si>
    <t xml:space="preserve">  borrowers name in the properties section should be marked "Tax Return Value" with $0.00 for cash flow for each since the</t>
  </si>
  <si>
    <t xml:space="preserve">  income or loss from these properties is already accounted for in the total business income or loss.  Make a note to indicate</t>
  </si>
  <si>
    <t xml:space="preserve">  that the property is included in the business income/loss.</t>
  </si>
  <si>
    <r>
      <rPr>
        <b/>
        <sz val="14"/>
        <color theme="1"/>
        <rFont val="Calibri"/>
        <family val="2"/>
        <scheme val="minor"/>
      </rPr>
      <t>‐</t>
    </r>
    <r>
      <rPr>
        <b/>
        <sz val="16"/>
        <color theme="1"/>
        <rFont val="Calibri"/>
        <family val="2"/>
        <scheme val="minor"/>
      </rPr>
      <t xml:space="preserve"> </t>
    </r>
    <r>
      <rPr>
        <b/>
        <sz val="12"/>
        <color theme="1"/>
        <rFont val="Calibri"/>
        <family val="2"/>
        <scheme val="minor"/>
      </rPr>
      <t xml:space="preserve">If ownership is greater than or equal to 25% business tax returns are required (Form 1120) </t>
    </r>
    <r>
      <rPr>
        <b/>
        <sz val="14"/>
        <color theme="1"/>
        <rFont val="Calibri"/>
        <family val="2"/>
        <scheme val="minor"/>
      </rPr>
      <t>‐</t>
    </r>
  </si>
  <si>
    <t xml:space="preserve">Data from this sheet is not auto feeding to the main page and must be entered manually on the Income Summary Sheet. </t>
  </si>
  <si>
    <t>Employer / Business / Source</t>
  </si>
  <si>
    <t>Income description</t>
  </si>
  <si>
    <t>Calculation method</t>
  </si>
  <si>
    <t>Income amount</t>
  </si>
  <si>
    <t>Start date</t>
  </si>
  <si>
    <t>End date</t>
  </si>
  <si>
    <t>Subtotal:</t>
  </si>
  <si>
    <t>Compounding frequency</t>
  </si>
  <si>
    <t>Asset total</t>
  </si>
  <si>
    <t>Nominal rate or APY</t>
  </si>
  <si>
    <t>*Data from this sheet does not transfer 
to the Income and Debt worksheets.</t>
  </si>
  <si>
    <t>Income Expert &amp; Averager</t>
  </si>
  <si>
    <t>Pay Type:</t>
  </si>
  <si>
    <t>1:</t>
  </si>
  <si>
    <t>2:</t>
  </si>
  <si>
    <t>3:</t>
  </si>
  <si>
    <t>4:</t>
  </si>
  <si>
    <t>Omit</t>
  </si>
  <si>
    <t>Monthly:</t>
  </si>
  <si>
    <t>Calculation:</t>
  </si>
  <si>
    <t>Annually</t>
  </si>
  <si>
    <t>(explain)</t>
  </si>
  <si>
    <t>Expert:</t>
  </si>
  <si>
    <t>Pay Amount:</t>
  </si>
  <si>
    <r>
      <rPr>
        <b/>
        <sz val="16"/>
        <color theme="1"/>
        <rFont val="Calibri"/>
        <family val="2"/>
      </rPr>
      <t>‐</t>
    </r>
    <r>
      <rPr>
        <b/>
        <sz val="10"/>
        <color theme="1"/>
        <rFont val="Calibri"/>
        <family val="2"/>
      </rPr>
      <t xml:space="preserve"> </t>
    </r>
    <r>
      <rPr>
        <b/>
        <sz val="12"/>
        <color theme="1"/>
        <rFont val="Calibri"/>
        <family val="2"/>
        <scheme val="minor"/>
      </rPr>
      <t>If ownership is greater than or equal to 25% business tax returns are required (Form 1065)</t>
    </r>
    <r>
      <rPr>
        <b/>
        <sz val="10"/>
        <color theme="1"/>
        <rFont val="Calibri"/>
        <family val="2"/>
        <scheme val="minor"/>
      </rPr>
      <t xml:space="preserve"> </t>
    </r>
    <r>
      <rPr>
        <b/>
        <sz val="16"/>
        <color theme="1"/>
        <rFont val="Calibri"/>
        <family val="2"/>
        <scheme val="minor"/>
      </rPr>
      <t>‐</t>
    </r>
    <r>
      <rPr>
        <b/>
        <sz val="12"/>
        <color theme="1"/>
        <rFont val="Calibri"/>
        <family val="2"/>
        <scheme val="minor"/>
      </rPr>
      <t xml:space="preserve"> </t>
    </r>
  </si>
  <si>
    <t>⁴</t>
  </si>
  <si>
    <r>
      <t xml:space="preserve">  borrowers portion of the Corporate earnings in the total qualifying business income.</t>
    </r>
    <r>
      <rPr>
        <sz val="9"/>
        <color theme="1"/>
        <rFont val="Calibri"/>
        <family val="2"/>
        <scheme val="minor"/>
      </rPr>
      <t xml:space="preserve"> </t>
    </r>
    <r>
      <rPr>
        <sz val="11"/>
        <color theme="1"/>
        <rFont val="Calibri"/>
        <family val="2"/>
        <scheme val="minor"/>
      </rPr>
      <t>⁴</t>
    </r>
  </si>
  <si>
    <t>weekly by pay date</t>
  </si>
  <si>
    <t>bi-weekly by pay date</t>
  </si>
  <si>
    <t>Divisor</t>
  </si>
  <si>
    <t>Income Workbook Introduction</t>
  </si>
  <si>
    <t>Getting Started</t>
  </si>
  <si>
    <t>Num. of occupants:</t>
  </si>
  <si>
    <t>Bank &amp; account #</t>
  </si>
  <si>
    <t>How-to / Tips</t>
  </si>
  <si>
    <t>Hide/Unhide Worksheets</t>
  </si>
  <si>
    <t>*You can hide this Introduction sheet after review and refer back to it by unhiding if needed*</t>
  </si>
  <si>
    <t>•Additional worksheets can be added for each income type to accommodate multiple income sources of the same 
  type, such as multiple 1065 businesses or multiple properties reported on schedule E.</t>
  </si>
  <si>
    <t>Multiple Worksheets Needed for the Same Type of Business/Income</t>
  </si>
  <si>
    <t>•Income worksheets have notes addressing when income and expenses can be added or may need to be deducted.  
  Many sheets have pop-up cautions to serve as reminders to double check the worksheet notes and the amounts entered.</t>
  </si>
  <si>
    <t>5. Complete the Income and Debt worksheet by entering the proposed subject property expenses and the borrowers 
     debts. (credit report, child support, alimony…)</t>
  </si>
  <si>
    <t xml:space="preserve">3. Complete each income worksheets needed for the income types specific to the loan.  The monthly income/loss and  
     source will auto-populate onto the 'Income Summary' worksheet and update the 'Income and Debt' worksheet with 
     the total from all sources.  </t>
  </si>
  <si>
    <t>2. Documentation needed to complete the income worksheets may consist of paystubs, written verifications of income, 
    awards letters, 1099's, W2's, personal tax returns, rent leases, business K1's, business tax returns…  Review the 
    borrowers tax returns to determine what types of income/losses are applicable.</t>
  </si>
  <si>
    <t>*Data from this sheet is not auto feeding to the main page and must be entered manually on the Summary sheet.</t>
  </si>
  <si>
    <t>Cautions/Error Messages</t>
  </si>
  <si>
    <t>(Non-Subject: Owner occupied, Second, and Investment properties not reported on Schedule E)</t>
  </si>
  <si>
    <r>
      <t>**</t>
    </r>
    <r>
      <rPr>
        <b/>
        <sz val="11"/>
        <color theme="1"/>
        <rFont val="Calibri"/>
        <family val="2"/>
        <scheme val="minor"/>
      </rPr>
      <t xml:space="preserve">Corporate earnings indicated on the 1120 (borrowers percentage of income retained in a corporation) may only be added </t>
    </r>
  </si>
  <si>
    <r>
      <t xml:space="preserve">  </t>
    </r>
    <r>
      <rPr>
        <b/>
        <sz val="11"/>
        <color theme="1"/>
        <rFont val="Calibri"/>
        <family val="2"/>
        <scheme val="minor"/>
      </rPr>
      <t>to the cash flow if the borrower can document 100% ownership of the business</t>
    </r>
    <r>
      <rPr>
        <sz val="11"/>
        <color theme="1"/>
        <rFont val="Calibri"/>
        <family val="2"/>
        <scheme val="minor"/>
      </rPr>
      <t xml:space="preserve">.  Deduct borrowers portion of any corporate </t>
    </r>
  </si>
  <si>
    <r>
      <t>Net Rental Income</t>
    </r>
    <r>
      <rPr>
        <sz val="10"/>
        <color theme="1"/>
        <rFont val="Calibri"/>
        <family val="2"/>
        <scheme val="minor"/>
      </rPr>
      <t>***</t>
    </r>
  </si>
  <si>
    <r>
      <t>Insurance:</t>
    </r>
    <r>
      <rPr>
        <sz val="9"/>
        <color rgb="FF00B050"/>
        <rFont val="Calibri"/>
        <family val="2"/>
        <scheme val="minor"/>
      </rPr>
      <t xml:space="preserve">  Line 9** (</t>
    </r>
    <r>
      <rPr>
        <b/>
        <sz val="9"/>
        <color rgb="FF00B050"/>
        <rFont val="Calibri"/>
        <family val="2"/>
        <scheme val="minor"/>
      </rPr>
      <t>Add back even if not escrowing)</t>
    </r>
  </si>
  <si>
    <r>
      <t>Property Taxes:</t>
    </r>
    <r>
      <rPr>
        <sz val="9"/>
        <color rgb="FF00B050"/>
        <rFont val="Calibri"/>
        <family val="2"/>
        <scheme val="minor"/>
      </rPr>
      <t xml:space="preserve">  Line 16** (</t>
    </r>
    <r>
      <rPr>
        <b/>
        <sz val="9"/>
        <color rgb="FF00B050"/>
        <rFont val="Calibri"/>
        <family val="2"/>
        <scheme val="minor"/>
      </rPr>
      <t>Add back even if not escrowing)</t>
    </r>
  </si>
  <si>
    <t>The first worksheet, the 'Income and Debt' worksheet, will reflect all of the income as calculated on the completed 
income worksheets. The 'Income and Debt' worksheets also indicates what debts to count against the borrower(s), 
and has fields for these debts to be entered.  Once completed, the Housing and Debt to Income ratios will be 
automatically calculated and displayed.</t>
  </si>
  <si>
    <t xml:space="preserve">Use this excel workbook to analyze and calculate qualifying Income, calculate the Housing and Income to Debt ratios, 
and document your calculations and results. </t>
  </si>
  <si>
    <r>
      <rPr>
        <b/>
        <sz val="10"/>
        <color theme="1"/>
        <rFont val="Calibri"/>
        <family val="2"/>
      </rPr>
      <t>•</t>
    </r>
    <r>
      <rPr>
        <b/>
        <sz val="10"/>
        <color theme="1"/>
        <rFont val="Calibri"/>
        <family val="2"/>
        <scheme val="minor"/>
      </rPr>
      <t>Enter data as it applies into the Blue fields on each worksheet.  All other fields, pink/orange, and the white fields 
  with amount totals auto fill based on the information entered into the blue fields.</t>
    </r>
  </si>
  <si>
    <t>Summary Sheets:</t>
  </si>
  <si>
    <t xml:space="preserve">Rental Income (and other properties): </t>
  </si>
  <si>
    <t>Self-Employed Income:</t>
  </si>
  <si>
    <t>W2 and Other Income (non self-employed):</t>
  </si>
  <si>
    <t>Worksheets Included in this Workbook</t>
  </si>
  <si>
    <t xml:space="preserve">
Fig 1.1</t>
  </si>
  <si>
    <t xml:space="preserve">
Fig 1.2</t>
  </si>
  <si>
    <t xml:space="preserve">
Fig 2.4</t>
  </si>
  <si>
    <t xml:space="preserve">  - Income and Debt worksheet</t>
  </si>
  <si>
    <t xml:space="preserve">  - Notes</t>
  </si>
  <si>
    <t xml:space="preserve">  - Income Summary</t>
  </si>
  <si>
    <t xml:space="preserve">  - Income Expert - Retirement / SSI / Other</t>
  </si>
  <si>
    <t xml:space="preserve">  - Income Expert - W2 Wage Earner</t>
  </si>
  <si>
    <t xml:space="preserve">  - Farming Income - "Schedule F"</t>
  </si>
  <si>
    <t xml:space="preserve">  - Corporation - "Form 1120"</t>
  </si>
  <si>
    <t xml:space="preserve">  - S Corporation - "Form 1120S"</t>
  </si>
  <si>
    <t xml:space="preserve">  - Partnership - "Form 1065"</t>
  </si>
  <si>
    <t xml:space="preserve">  - Additional Properties</t>
  </si>
  <si>
    <t xml:space="preserve">  - Rental Income - "From Schedule E"</t>
  </si>
  <si>
    <t xml:space="preserve">  - Sole Proprietorship - "Schedule C"</t>
  </si>
  <si>
    <t>The workbook consists of individual worksheets for each type of income that may affect a borrowers total qualifying 
income such as W2, rental, self-employed, and other income sources.  Each worksheet is designed to indicate what 
amount to start the calculation with for that source, what amounts to add or take away from this, where to find the 
specific figures needed, and provide important notes explaining why/when you can add or must deduct an amount.</t>
  </si>
  <si>
    <t xml:space="preserve">
Fig 3.1</t>
  </si>
  <si>
    <r>
      <t xml:space="preserve">2. Declining Income Cautions: </t>
    </r>
    <r>
      <rPr>
        <sz val="11"/>
        <color theme="1"/>
        <rFont val="Calibri"/>
        <family val="2"/>
      </rPr>
      <t xml:space="preserve">If declining income is detected
     and the # of months reviewed by is entered without the
     excluded check box being checked, or the # of months 
     reviewed entered is greater than 12 the exclude checkbox
     and/or # of months reviewed box will highlight red and a 
     caution message will appear.  When the checked box is 
     checked or the # of months reviewed is adjust to 12 or   
     below the red highlighting and caution message will be 
     removed. </t>
    </r>
    <r>
      <rPr>
        <b/>
        <sz val="9"/>
        <color theme="1"/>
        <rFont val="Calibri"/>
        <family val="2"/>
      </rPr>
      <t>(Fig 3.2)</t>
    </r>
    <r>
      <rPr>
        <sz val="11"/>
        <color theme="1"/>
        <rFont val="Calibri"/>
        <family val="2"/>
      </rPr>
      <t xml:space="preserve">
</t>
    </r>
  </si>
  <si>
    <t xml:space="preserve">
Fig 3.2</t>
  </si>
  <si>
    <r>
      <t xml:space="preserve">3. Exclude Checkbox/Months Reviewed Cautions with  
     increasing income: </t>
    </r>
    <r>
      <rPr>
        <sz val="11"/>
        <color theme="1"/>
        <rFont val="Calibri"/>
        <family val="2"/>
      </rPr>
      <t xml:space="preserve">If income is increasing and the exclude    
     check box is checked, or the # of months reviewed entered
     is less than 24 months reviewed, the exclude check box or 
     number of months reviewed box will highlight red and a 
     caution message will appear.  When the checked box is 
     unchecked or the # of months reviewed is adjust to 24 the 
     red highlighting and caution message will be removed.
    </t>
    </r>
    <r>
      <rPr>
        <b/>
        <sz val="9"/>
        <color theme="1"/>
        <rFont val="Calibri"/>
        <family val="2"/>
      </rPr>
      <t xml:space="preserve"> (Fig 3.3)</t>
    </r>
    <r>
      <rPr>
        <sz val="11"/>
        <color theme="1"/>
        <rFont val="Calibri"/>
        <family val="2"/>
      </rPr>
      <t xml:space="preserve">
</t>
    </r>
  </si>
  <si>
    <t xml:space="preserve">
Fig 3.3</t>
  </si>
  <si>
    <t xml:space="preserve">
Fig 3.4
Fig 3.5</t>
  </si>
  <si>
    <t>Printing the Workbook</t>
  </si>
  <si>
    <t xml:space="preserve">
Fig 4.1</t>
  </si>
  <si>
    <t xml:space="preserve">
Fig 4.2</t>
  </si>
  <si>
    <t>Additional Items</t>
  </si>
  <si>
    <t xml:space="preserve">
Fig 5.1</t>
  </si>
  <si>
    <t xml:space="preserve">
Fig 5.2
Fig 5.3</t>
  </si>
  <si>
    <r>
      <t>1. Automatic calculations (Calculations aren't updating):</t>
    </r>
    <r>
      <rPr>
        <sz val="11"/>
        <color theme="1"/>
        <rFont val="Calibri"/>
        <family val="2"/>
      </rPr>
      <t xml:space="preserve"> 
     If totals/calculations are not updating automatically make 
     sure that 'Calculation Options' setting under the Formulas 
     toolbar is set to automatic.  (This can switch to manual in   
     error)  </t>
    </r>
    <r>
      <rPr>
        <b/>
        <sz val="10"/>
        <color theme="1"/>
        <rFont val="Calibri"/>
        <family val="2"/>
      </rPr>
      <t>(Fig 5.1)</t>
    </r>
  </si>
  <si>
    <r>
      <t xml:space="preserve">% Ownership in Business:  </t>
    </r>
    <r>
      <rPr>
        <sz val="9"/>
        <color rgb="FF00B050"/>
        <rFont val="Calibri"/>
        <family val="2"/>
        <scheme val="minor"/>
      </rPr>
      <t>Schedule K-1, Part II, section J,</t>
    </r>
  </si>
  <si>
    <t>*Data from this sheet does not auto feed to the main page and must be entered manually on the Summary sheet.</t>
  </si>
  <si>
    <t>Pay Type 1:</t>
  </si>
  <si>
    <t>Recommended:</t>
  </si>
  <si>
    <t>Current Year:</t>
  </si>
  <si>
    <t>Frequency:</t>
  </si>
  <si>
    <t>Omit:</t>
  </si>
  <si>
    <t>Annual:</t>
  </si>
  <si>
    <t>Biweekly</t>
  </si>
  <si>
    <t>Semimonthly</t>
  </si>
  <si>
    <t>Pay Type 2:</t>
  </si>
  <si>
    <t>Pay Type 3:</t>
  </si>
  <si>
    <t>Pay Type 4:</t>
  </si>
  <si>
    <t>YTD:</t>
  </si>
  <si>
    <r>
      <t xml:space="preserve">4. Yellow Entry Cautions: </t>
    </r>
    <r>
      <rPr>
        <sz val="11"/>
        <color theme="1"/>
        <rFont val="Calibri"/>
        <family val="2"/>
      </rPr>
      <t xml:space="preserve">Some fields will turn yellow if any   
    amount is entered to indicate that this is field has specific 
    instructions in the Worksheet Instruction section at the 
    bottom of the worksheet and that you should double check 
    to make sure the entry follows the instructions. (This is not 
    indicating that your entry is incorrect and will stay 
    highlighted yellow, just a reminder to double check your 
    entry with the instructions) </t>
    </r>
    <r>
      <rPr>
        <b/>
        <sz val="11"/>
        <color theme="1"/>
        <rFont val="Calibri"/>
        <family val="2"/>
      </rPr>
      <t>(Fig 3.4 and Fig 3.5)</t>
    </r>
    <r>
      <rPr>
        <sz val="11"/>
        <color theme="1"/>
        <rFont val="Calibri"/>
        <family val="2"/>
      </rPr>
      <t xml:space="preserve">
    In the example shown in Fig 3.4 and Fig 3.5, an amount is 
    entered on the 1120S worksheet for 'Other' income from 
    the 1120S corporate tax returns.  The field highlights and 
    the matching instruction at the bottom of the worksheet 
    will highlight.  It states that other income should generally 
    be entered as a negative amount on the worksheet and 
    explains that in most situation 'Other' income must be 
    deducted, not added to the qualifying income.
</t>
    </r>
  </si>
  <si>
    <r>
      <t>2. Worksheet Colors:</t>
    </r>
    <r>
      <rPr>
        <sz val="11"/>
        <color theme="1"/>
        <rFont val="Calibri"/>
        <family val="2"/>
      </rPr>
      <t xml:space="preserve"> There should be blue and pink/orange 
    fields on the worksheets in the workbook.  The blues fields 
    are the only fields that you can make entries into.  The 
    pink/orange fields auto fill based on the data entered 
    elsewhere.  If the colors are not visible on one of your  
    computer screens making the worksheets hard to read, the 
    following adjustments may be helpful:
    Right click on your desktop background and select Graphic 
    Properties. </t>
    </r>
    <r>
      <rPr>
        <b/>
        <sz val="10"/>
        <color theme="1"/>
        <rFont val="Calibri"/>
        <family val="2"/>
      </rPr>
      <t>(Fig 5.2)</t>
    </r>
    <r>
      <rPr>
        <sz val="11"/>
        <color theme="1"/>
        <rFont val="Calibri"/>
        <family val="2"/>
      </rPr>
      <t xml:space="preserve">
    Select 'Basic' if asked.
    In the Display, Color Enhancement settings, select the 
    Display monitor you would like to adjust and try adjusting 
    the Gamma down slightly.  This may help the colors become 
    visible/darker.</t>
    </r>
    <r>
      <rPr>
        <b/>
        <sz val="10"/>
        <color theme="1"/>
        <rFont val="Calibri"/>
        <family val="2"/>
      </rPr>
      <t xml:space="preserve"> (Fig 5.3)</t>
    </r>
    <r>
      <rPr>
        <sz val="11"/>
        <color theme="1"/>
        <rFont val="Calibri"/>
        <family val="2"/>
      </rPr>
      <t xml:space="preserve">
</t>
    </r>
  </si>
  <si>
    <t xml:space="preserve">
Fig 5.4
Fig 5.5</t>
  </si>
  <si>
    <r>
      <t xml:space="preserve">Self Employed wages from Business:  </t>
    </r>
    <r>
      <rPr>
        <sz val="9"/>
        <color rgb="FF00B050"/>
        <rFont val="Calibri"/>
        <family val="2"/>
        <scheme val="minor"/>
      </rPr>
      <t>W-2, Greater of Box 1, 3, or 5</t>
    </r>
  </si>
  <si>
    <t>4. Enter all non-subject properties owned on the 'Rental Income' and 'Additional Properties' Worksheets.</t>
  </si>
  <si>
    <t>Start Date:</t>
  </si>
  <si>
    <t>HOA dues (current monthly amount)</t>
  </si>
  <si>
    <r>
      <t xml:space="preserve">HOA dues: </t>
    </r>
    <r>
      <rPr>
        <b/>
        <sz val="9"/>
        <color rgb="FF00B050"/>
        <rFont val="Calibri"/>
        <family val="2"/>
        <scheme val="minor"/>
      </rPr>
      <t>Only add back if claimed for this property on schedule E</t>
    </r>
  </si>
  <si>
    <t>Fiscal Year End</t>
  </si>
  <si>
    <t>Fiscal Year Corporate Returns</t>
  </si>
  <si>
    <r>
      <t xml:space="preserve">% Ownership in Business:  </t>
    </r>
    <r>
      <rPr>
        <sz val="9"/>
        <color rgb="FF00B050"/>
        <rFont val="Calibri"/>
        <family val="2"/>
        <scheme val="minor"/>
      </rPr>
      <t>Form 1125-E</t>
    </r>
  </si>
  <si>
    <t>Self Emp. wages from Business:</t>
  </si>
  <si>
    <r>
      <t xml:space="preserve">)          </t>
    </r>
    <r>
      <rPr>
        <b/>
        <sz val="11"/>
        <color theme="1"/>
        <rFont val="Calibri"/>
        <family val="2"/>
        <scheme val="minor"/>
      </rPr>
      <t xml:space="preserve"> </t>
    </r>
    <r>
      <rPr>
        <b/>
        <sz val="8"/>
        <color theme="1"/>
        <rFont val="Calibri"/>
        <family val="2"/>
        <scheme val="minor"/>
      </rPr>
      <t xml:space="preserve"> </t>
    </r>
    <r>
      <rPr>
        <b/>
        <sz val="12"/>
        <color theme="1"/>
        <rFont val="Calibri"/>
        <family val="2"/>
        <scheme val="minor"/>
      </rPr>
      <t xml:space="preserve">   (</t>
    </r>
  </si>
  <si>
    <r>
      <t xml:space="preserve">)         </t>
    </r>
    <r>
      <rPr>
        <b/>
        <sz val="8"/>
        <color theme="1"/>
        <rFont val="Calibri"/>
        <family val="2"/>
        <scheme val="minor"/>
      </rPr>
      <t xml:space="preserve"> </t>
    </r>
    <r>
      <rPr>
        <b/>
        <sz val="11"/>
        <color theme="1"/>
        <rFont val="Calibri"/>
        <family val="2"/>
        <scheme val="minor"/>
      </rPr>
      <t xml:space="preserve"> </t>
    </r>
    <r>
      <rPr>
        <b/>
        <sz val="12"/>
        <color theme="1"/>
        <rFont val="Calibri"/>
        <family val="2"/>
        <scheme val="minor"/>
      </rPr>
      <t xml:space="preserve">    (</t>
    </r>
  </si>
  <si>
    <r>
      <t xml:space="preserve">)           </t>
    </r>
    <r>
      <rPr>
        <b/>
        <sz val="8"/>
        <color theme="1"/>
        <rFont val="Calibri"/>
        <family val="2"/>
        <scheme val="minor"/>
      </rPr>
      <t xml:space="preserve"> </t>
    </r>
    <r>
      <rPr>
        <b/>
        <sz val="12"/>
        <color theme="1"/>
        <rFont val="Calibri"/>
        <family val="2"/>
        <scheme val="minor"/>
      </rPr>
      <t xml:space="preserve">   (</t>
    </r>
  </si>
  <si>
    <t xml:space="preserve">  withdrawal;  The Borrower can document their ownership/right and access to withdraw the income.  If corporate returns </t>
  </si>
  <si>
    <t xml:space="preserve">  W2 (or compensation to borrower from form 1125-E may be used); If the corporate returns are based on a fiscal year (a </t>
  </si>
  <si>
    <t xml:space="preserve">
Fig 5.6</t>
  </si>
  <si>
    <r>
      <t>4. Changing the Years On Self Employed and Averaging 
    Worksheets:</t>
    </r>
    <r>
      <rPr>
        <sz val="11"/>
        <color theme="1"/>
        <rFont val="Calibri"/>
        <family val="2"/>
      </rPr>
      <t xml:space="preserve"> The years can be changed by double clicking 
     on the more recent year indicated and typing in the desired  
     year.  This will automatically update the prior year(s) and 
     and worksheet data as well. </t>
    </r>
    <r>
      <rPr>
        <b/>
        <sz val="10"/>
        <color theme="1"/>
        <rFont val="Calibri"/>
        <family val="2"/>
      </rPr>
      <t>(Fig 5.6)</t>
    </r>
  </si>
  <si>
    <t>Owner Multi-Unit</t>
  </si>
  <si>
    <t>*Self Employed borrower with 20% or greater decline in busines income.  FHA loans require Manual Downgrade if using income.</t>
  </si>
  <si>
    <t>Employment History</t>
  </si>
  <si>
    <t>Todays Date</t>
  </si>
  <si>
    <t>Borrower Name:</t>
  </si>
  <si>
    <t>Employer</t>
  </si>
  <si>
    <t>Start Date</t>
  </si>
  <si>
    <t>End Date</t>
  </si>
  <si>
    <t>Duration</t>
  </si>
  <si>
    <r>
      <rPr>
        <b/>
        <sz val="20"/>
        <color theme="1"/>
        <rFont val="Calibri"/>
        <family val="2"/>
        <scheme val="minor"/>
      </rPr>
      <t xml:space="preserve">  </t>
    </r>
    <r>
      <rPr>
        <b/>
        <u/>
        <sz val="20"/>
        <color theme="1"/>
        <rFont val="Calibri"/>
        <family val="2"/>
        <scheme val="minor"/>
      </rPr>
      <t>Additional Properties</t>
    </r>
  </si>
  <si>
    <t>Non-Subject</t>
  </si>
  <si>
    <t>Property Address:</t>
  </si>
  <si>
    <t>x</t>
  </si>
  <si>
    <t xml:space="preserve">         This method may be used when the transaction is a purchase, the property was acquired subsequent to the most recent tax filing,
         or the lender has justification for using a lease agreement.</t>
  </si>
  <si>
    <t>Vacancy
Factor</t>
  </si>
  <si>
    <t xml:space="preserve">            Subject</t>
  </si>
  <si>
    <t xml:space="preserve">    Schedule E Calculation:     </t>
  </si>
  <si>
    <t xml:space="preserve">    Monthly Housing Expense (PITIA): </t>
  </si>
  <si>
    <t>Purchase</t>
  </si>
  <si>
    <t>Refinance</t>
  </si>
  <si>
    <t>Other Property Cash Flow</t>
  </si>
  <si>
    <r>
      <t xml:space="preserve">Rental income from this worksheet must be entered in PCL as follows:
</t>
    </r>
    <r>
      <rPr>
        <sz val="9"/>
        <color theme="1"/>
        <rFont val="Calibri"/>
        <family val="2"/>
        <scheme val="minor"/>
      </rPr>
      <t>(Data from this sheet auto feeds to the 'Income and Debt Worksheet', unless indicated by an error message)</t>
    </r>
  </si>
  <si>
    <t>Caution: Non-Conservative Selection.  Lease/Market Rent calculation is recommended 
or an explanation/justification is required for using this amount.</t>
  </si>
  <si>
    <t>Data from this sheet is not auto feeding to the main page (Inc. and Debt wkst) due to tab name change or more than 1 addition copy of this wkst made</t>
  </si>
  <si>
    <t>Business Liquidity</t>
  </si>
  <si>
    <r>
      <t xml:space="preserve">Cash:  </t>
    </r>
    <r>
      <rPr>
        <sz val="9"/>
        <color rgb="FF00B050"/>
        <rFont val="Calibri"/>
        <family val="2"/>
        <scheme val="minor"/>
      </rPr>
      <t>Line 1, Column d</t>
    </r>
  </si>
  <si>
    <r>
      <t xml:space="preserve">Trade Notes and Accounts Receivable:  </t>
    </r>
    <r>
      <rPr>
        <sz val="9"/>
        <color rgb="FF00B050"/>
        <rFont val="Calibri"/>
        <family val="2"/>
        <scheme val="minor"/>
      </rPr>
      <t>Line 2b, Column d</t>
    </r>
  </si>
  <si>
    <r>
      <t xml:space="preserve">Inventories:  </t>
    </r>
    <r>
      <rPr>
        <sz val="9"/>
        <color rgb="FF00B050"/>
        <rFont val="Calibri"/>
        <family val="2"/>
        <scheme val="minor"/>
      </rPr>
      <t>Line 3, Column d</t>
    </r>
  </si>
  <si>
    <t>Total Current Assets</t>
  </si>
  <si>
    <t xml:space="preserve"> Schedule L - Business Liabilities:</t>
  </si>
  <si>
    <t>Total Current Liabilities</t>
  </si>
  <si>
    <r>
      <t xml:space="preserve">Mortgages, notes payable in less than 1 year: </t>
    </r>
    <r>
      <rPr>
        <sz val="9"/>
        <color rgb="FF00B050"/>
        <rFont val="Calibri"/>
        <family val="2"/>
        <scheme val="minor"/>
      </rPr>
      <t>Line 17, Column d</t>
    </r>
  </si>
  <si>
    <r>
      <t xml:space="preserve">Other Current Liabilities:  </t>
    </r>
    <r>
      <rPr>
        <sz val="9"/>
        <color rgb="FF00B050"/>
        <rFont val="Calibri"/>
        <family val="2"/>
        <scheme val="minor"/>
      </rPr>
      <t>Line 18, Column d (Line 17 on 1065)</t>
    </r>
  </si>
  <si>
    <t>Residual Income Calculation Worksheet</t>
  </si>
  <si>
    <t>Alabama, AL</t>
  </si>
  <si>
    <t>Alaska, AK</t>
  </si>
  <si>
    <t>Arizona, AZ</t>
  </si>
  <si>
    <t>Arkansas, AR</t>
  </si>
  <si>
    <t>California, CA</t>
  </si>
  <si>
    <t>Colorado, CO</t>
  </si>
  <si>
    <t>Residual Income:</t>
  </si>
  <si>
    <t>Connecticut, CT</t>
  </si>
  <si>
    <t>7+</t>
  </si>
  <si>
    <t>Gross Monthly Income</t>
  </si>
  <si>
    <t>Delaware, DE</t>
  </si>
  <si>
    <t>District of Columbia, DC</t>
  </si>
  <si>
    <t>Monthly Housing Expense (PITIA)</t>
  </si>
  <si>
    <t xml:space="preserve">( </t>
  </si>
  <si>
    <t>Florida, FL</t>
  </si>
  <si>
    <t>Georgia, GA</t>
  </si>
  <si>
    <t>Monthly Debts &amp; Obligations</t>
  </si>
  <si>
    <t>Hawaii, HI</t>
  </si>
  <si>
    <t>a.</t>
  </si>
  <si>
    <t>Total Fixed Payments (Revolving and Installment Debt)</t>
  </si>
  <si>
    <t>Idaho, ID</t>
  </si>
  <si>
    <t>b.</t>
  </si>
  <si>
    <t>Job Related Expenses (e.g., Child Care)</t>
  </si>
  <si>
    <t>Illinois, IL</t>
  </si>
  <si>
    <t>c.</t>
  </si>
  <si>
    <t>Alimony/Child Support</t>
  </si>
  <si>
    <t>Indiana, IN</t>
  </si>
  <si>
    <t>Total Monthly debts/obligations</t>
  </si>
  <si>
    <t>Iowa, IA</t>
  </si>
  <si>
    <t>Kansas, KS</t>
  </si>
  <si>
    <t>Monthly Income Taxes and Deductions*</t>
  </si>
  <si>
    <t>Kentucky, KY</t>
  </si>
  <si>
    <t>Federal Income Taxes</t>
  </si>
  <si>
    <t>Louisiana, LA</t>
  </si>
  <si>
    <t>State Income Taxes</t>
  </si>
  <si>
    <t>Maine, ME</t>
  </si>
  <si>
    <t>Municipal and Other Income Taxes</t>
  </si>
  <si>
    <t>Maryland, MD</t>
  </si>
  <si>
    <t>d.</t>
  </si>
  <si>
    <t>Medicare</t>
  </si>
  <si>
    <t>Massachusetts, MA</t>
  </si>
  <si>
    <t>e.</t>
  </si>
  <si>
    <t>Retirement</t>
  </si>
  <si>
    <t>Michigan, MI</t>
  </si>
  <si>
    <t>f.</t>
  </si>
  <si>
    <t>Social Security</t>
  </si>
  <si>
    <t>Minnesota, MN</t>
  </si>
  <si>
    <t>Total Monthly Income Taxes and Deductions</t>
  </si>
  <si>
    <t>Mississippi, MS</t>
  </si>
  <si>
    <t>Missouri, MO</t>
  </si>
  <si>
    <t>Monthly Estimated Maintenace and Utilites of the Home</t>
  </si>
  <si>
    <t>Montana, MT</t>
  </si>
  <si>
    <t>Nebraska, NE</t>
  </si>
  <si>
    <t>Gross Living Area (sq. ft.)</t>
  </si>
  <si>
    <t>x .14</t>
  </si>
  <si>
    <t>Nevada, NV</t>
  </si>
  <si>
    <t>New Hampshire, NH</t>
  </si>
  <si>
    <t>New Jersey, NJ</t>
  </si>
  <si>
    <t>New Mexico, NM</t>
  </si>
  <si>
    <t>Total Residual Income</t>
  </si>
  <si>
    <t>New York, NY</t>
  </si>
  <si>
    <t>North Carolina, NC</t>
  </si>
  <si>
    <t>North Dakota, ND</t>
  </si>
  <si>
    <t>Ohio, OH</t>
  </si>
  <si>
    <t>Residual Income Requirement:</t>
  </si>
  <si>
    <t>Oklahoma, OK</t>
  </si>
  <si>
    <t>Proposed Loan Amount</t>
  </si>
  <si>
    <t>Oregon, OR</t>
  </si>
  <si>
    <t>Pennsylvania, PA</t>
  </si>
  <si>
    <t>State/District</t>
  </si>
  <si>
    <t>Puerto Rico, PR</t>
  </si>
  <si>
    <t>Rhode Island, RI</t>
  </si>
  <si>
    <t>Region</t>
  </si>
  <si>
    <t>South Carolina, SC</t>
  </si>
  <si>
    <t>South Dakota, SD</t>
  </si>
  <si>
    <t>Houshold Size (regardless of relationship to borrower)**</t>
  </si>
  <si>
    <t>Tennessee, TN</t>
  </si>
  <si>
    <t>Texas, TX</t>
  </si>
  <si>
    <t>Total Residual Income Required</t>
  </si>
  <si>
    <t>Utah, UT</t>
  </si>
  <si>
    <t>Vermont, VT</t>
  </si>
  <si>
    <t>Virginia, VA</t>
  </si>
  <si>
    <t>Sufficient Residual Income to Meet the Requirement?</t>
  </si>
  <si>
    <t>Washington, WA</t>
  </si>
  <si>
    <t>West Virginia, WV</t>
  </si>
  <si>
    <t>Wisconsin, WI</t>
  </si>
  <si>
    <t>Wyoming, WY</t>
  </si>
  <si>
    <t xml:space="preserve">*If available, Mortgagees must use federal and state tax returns from the most recent tax year to document state and local </t>
  </si>
  <si>
    <t xml:space="preserve">  taxes, retirement, Social Security and Medicare. If tax returns are not available, Mortgagees may rely upon current pay</t>
  </si>
  <si>
    <t xml:space="preserve">  stubs.</t>
  </si>
  <si>
    <t xml:space="preserve">**To use residual income as a compensating factor, the Mortgagee must count all members of the household of the </t>
  </si>
  <si>
    <t xml:space="preserve">  occupying Borrower without regard to the nature of their relationship and without regard to whether they are joining on </t>
  </si>
  <si>
    <t xml:space="preserve">  title or the Note to determine “family size.”</t>
  </si>
  <si>
    <t>Key to Geographic Regions Used in Following the Tables</t>
  </si>
  <si>
    <t>Northeast</t>
  </si>
  <si>
    <t>Connecticut</t>
  </si>
  <si>
    <t>Maine</t>
  </si>
  <si>
    <t>Massachusetts</t>
  </si>
  <si>
    <t>New Hampshire</t>
  </si>
  <si>
    <t>New Jersey</t>
  </si>
  <si>
    <t>New York</t>
  </si>
  <si>
    <t>Pennsylvania</t>
  </si>
  <si>
    <t>Rhode Island</t>
  </si>
  <si>
    <t>Vermont</t>
  </si>
  <si>
    <t>Midwest</t>
  </si>
  <si>
    <t>Illinois</t>
  </si>
  <si>
    <t>Indiana</t>
  </si>
  <si>
    <t>Iowa</t>
  </si>
  <si>
    <t>Kansas</t>
  </si>
  <si>
    <t>Michigan</t>
  </si>
  <si>
    <t>Minnesota</t>
  </si>
  <si>
    <t>Missouri</t>
  </si>
  <si>
    <t>Nebraska</t>
  </si>
  <si>
    <t>North Dakota</t>
  </si>
  <si>
    <t>Ohio</t>
  </si>
  <si>
    <t>South Dakota</t>
  </si>
  <si>
    <t>Wisconsin</t>
  </si>
  <si>
    <t>South</t>
  </si>
  <si>
    <t>Alabama</t>
  </si>
  <si>
    <t>Arkansas</t>
  </si>
  <si>
    <t>Delaware</t>
  </si>
  <si>
    <t>District of Columbia</t>
  </si>
  <si>
    <t>Florida</t>
  </si>
  <si>
    <t>Georgia</t>
  </si>
  <si>
    <t>Kentucky</t>
  </si>
  <si>
    <t>Louisiana</t>
  </si>
  <si>
    <t>Maryland</t>
  </si>
  <si>
    <t>Mississippi</t>
  </si>
  <si>
    <t>North Carolina</t>
  </si>
  <si>
    <t>Oklahoma</t>
  </si>
  <si>
    <t>Puerto Rico</t>
  </si>
  <si>
    <t>South Carolina</t>
  </si>
  <si>
    <t>Tennessee</t>
  </si>
  <si>
    <t>Texas</t>
  </si>
  <si>
    <t>Virginia</t>
  </si>
  <si>
    <t>West Virginia</t>
  </si>
  <si>
    <t>West</t>
  </si>
  <si>
    <t>Alaska</t>
  </si>
  <si>
    <t>Arizona</t>
  </si>
  <si>
    <t>California</t>
  </si>
  <si>
    <t>Colorado</t>
  </si>
  <si>
    <t>Hawaii</t>
  </si>
  <si>
    <t>Idaho</t>
  </si>
  <si>
    <t>Montana</t>
  </si>
  <si>
    <t>Nevada</t>
  </si>
  <si>
    <t>New Mexico</t>
  </si>
  <si>
    <t>Oregon</t>
  </si>
  <si>
    <t>Utah</t>
  </si>
  <si>
    <t>Washington</t>
  </si>
  <si>
    <t>Wyoming</t>
  </si>
  <si>
    <t>Table of Residual Incomes by Region For loan amounts of $79,999 and below</t>
  </si>
  <si>
    <t>Famly Size</t>
  </si>
  <si>
    <t>Table of Residual Incomes by Region For loan amounts of $80,000 and above</t>
  </si>
  <si>
    <t xml:space="preserve">  Other income reported on line 6 represents income received that was not obtained from the profits of the business. </t>
  </si>
  <si>
    <t xml:space="preserve">  Unless this income is documented and determined to be stable, consistent, and recurring, this income should be</t>
  </si>
  <si>
    <r>
      <t>*</t>
    </r>
    <r>
      <rPr>
        <b/>
        <sz val="11"/>
        <color theme="1"/>
        <rFont val="Calibri"/>
        <family val="2"/>
        <scheme val="minor"/>
      </rPr>
      <t>Income indicated on line 6 should generally be deducted</t>
    </r>
    <r>
      <rPr>
        <b/>
        <sz val="9"/>
        <color theme="1"/>
        <rFont val="Calibri"/>
        <family val="2"/>
        <scheme val="minor"/>
      </rPr>
      <t xml:space="preserve"> </t>
    </r>
    <r>
      <rPr>
        <b/>
        <sz val="11"/>
        <color theme="1"/>
        <rFont val="Calibri"/>
        <family val="2"/>
      </rPr>
      <t>¹</t>
    </r>
    <r>
      <rPr>
        <b/>
        <sz val="11"/>
        <color theme="1"/>
        <rFont val="Calibri"/>
        <family val="2"/>
        <scheme val="minor"/>
      </rPr>
      <t xml:space="preserve"> </t>
    </r>
    <r>
      <rPr>
        <sz val="11"/>
        <color theme="1"/>
        <rFont val="Calibri"/>
        <family val="2"/>
        <scheme val="minor"/>
      </rPr>
      <t>from the cash flow analysis.</t>
    </r>
  </si>
  <si>
    <r>
      <t xml:space="preserve">Nonrecurring Other Income:  </t>
    </r>
    <r>
      <rPr>
        <sz val="9"/>
        <color rgb="FF00B050"/>
        <rFont val="Calibri"/>
        <family val="2"/>
        <scheme val="minor"/>
      </rPr>
      <t>Line 6*</t>
    </r>
  </si>
  <si>
    <t xml:space="preserve">  documented to be nonrecurring can be added back in the misc: field on the worksheet (line 9).</t>
  </si>
  <si>
    <r>
      <t xml:space="preserve">Nonrecurring Other Income:  </t>
    </r>
    <r>
      <rPr>
        <sz val="9"/>
        <color rgb="FF00B050"/>
        <rFont val="Calibri"/>
        <family val="2"/>
        <scheme val="minor"/>
      </rPr>
      <t>Lines 5, 6 &amp; 7*****</t>
    </r>
  </si>
  <si>
    <t xml:space="preserve">****Pass through income is income from the partnership being partners in other partnerships.  Income from these </t>
  </si>
  <si>
    <r>
      <t xml:space="preserve">  the other partnership would need to be analyzed to determine if sufficient control exists.  </t>
    </r>
    <r>
      <rPr>
        <b/>
        <sz val="11"/>
        <color theme="1"/>
        <rFont val="Calibri"/>
        <family val="2"/>
        <scheme val="minor"/>
      </rPr>
      <t>In general, income from other</t>
    </r>
  </si>
  <si>
    <r>
      <t xml:space="preserve">  recurring </t>
    </r>
    <r>
      <rPr>
        <b/>
        <sz val="11"/>
        <color theme="1"/>
        <rFont val="Calibri"/>
        <family val="2"/>
        <scheme val="minor"/>
      </rPr>
      <t xml:space="preserve">should generally be subtracted from the business by being  entered here on the cash flow analysis. </t>
    </r>
    <r>
      <rPr>
        <b/>
        <sz val="11"/>
        <color theme="1"/>
        <rFont val="Calibri"/>
        <family val="2"/>
      </rPr>
      <t>²</t>
    </r>
  </si>
  <si>
    <t xml:space="preserve">  Additionally, any losses or expenses reported that are determined to be nonrecurring, may be added back in the</t>
  </si>
  <si>
    <t xml:space="preserve">  Misc field (line 17) on the cash flow analysis.</t>
  </si>
  <si>
    <r>
      <t xml:space="preserve">Nonrecurring Other Income:  </t>
    </r>
    <r>
      <rPr>
        <sz val="9"/>
        <color rgb="FF00B050"/>
        <rFont val="Calibri"/>
        <family val="2"/>
        <scheme val="minor"/>
      </rPr>
      <t>Lines 4 &amp; 5***</t>
    </r>
  </si>
  <si>
    <r>
      <t xml:space="preserve">  </t>
    </r>
    <r>
      <rPr>
        <b/>
        <sz val="11"/>
        <color theme="1"/>
        <rFont val="Calibri"/>
        <family val="2"/>
        <scheme val="minor"/>
      </rPr>
      <t xml:space="preserve">should generally be subtracted from the business by entering it here on the cash flow analysis. ¹  </t>
    </r>
  </si>
  <si>
    <t xml:space="preserve">  analysis in the Misc Field on line 15.</t>
  </si>
  <si>
    <r>
      <t xml:space="preserve">Nonrecurring Gains:  </t>
    </r>
    <r>
      <rPr>
        <sz val="9"/>
        <color rgb="FF00B050"/>
        <rFont val="Calibri"/>
        <family val="2"/>
        <scheme val="minor"/>
      </rPr>
      <t>Lines 8 &amp; 9***</t>
    </r>
  </si>
  <si>
    <r>
      <t xml:space="preserve">Nonrecurring Other Income:  </t>
    </r>
    <r>
      <rPr>
        <sz val="9"/>
        <color rgb="FF00B050"/>
        <rFont val="Calibri"/>
        <family val="2"/>
        <scheme val="minor"/>
      </rPr>
      <t>Line 10****</t>
    </r>
  </si>
  <si>
    <r>
      <t>***</t>
    </r>
    <r>
      <rPr>
        <b/>
        <sz val="11"/>
        <color theme="1"/>
        <rFont val="Calibri"/>
        <family val="2"/>
        <scheme val="minor"/>
      </rPr>
      <t>Generally, subtract nonrecurring gains from the business cash flow</t>
    </r>
    <r>
      <rPr>
        <b/>
        <sz val="9"/>
        <color theme="1"/>
        <rFont val="Calibri"/>
        <family val="2"/>
        <scheme val="minor"/>
      </rPr>
      <t xml:space="preserve"> </t>
    </r>
    <r>
      <rPr>
        <b/>
        <sz val="11"/>
        <color theme="1"/>
        <rFont val="Calibri"/>
        <family val="2"/>
      </rPr>
      <t>¹</t>
    </r>
    <r>
      <rPr>
        <sz val="11"/>
        <color theme="1"/>
        <rFont val="Calibri"/>
        <family val="2"/>
        <scheme val="minor"/>
      </rPr>
      <t xml:space="preserve"> by entering the amount here.  (Unless it is determined  </t>
    </r>
  </si>
  <si>
    <t xml:space="preserve">  that these capital gains are stable and likely to continue).  Nonrecurring expenses can be added back in the Misc field </t>
  </si>
  <si>
    <t>Calendar Year Corporate Returns</t>
  </si>
  <si>
    <t xml:space="preserve">  are filed based on a calendar year (1/1 - 12/31), enter the amount paid to borrower from the corporation indicated on their </t>
  </si>
  <si>
    <t xml:space="preserve">  year end other than 12/31), enter the compensation to borrower indicated on form 1125-E (do not use the borrowers W2).</t>
  </si>
  <si>
    <t xml:space="preserve">  (line 15) if they are determining to truly be nonrecurring.</t>
  </si>
  <si>
    <r>
      <t xml:space="preserve">  partnerships will be deducted.  </t>
    </r>
    <r>
      <rPr>
        <sz val="11"/>
        <color theme="1"/>
        <rFont val="Calibri"/>
        <family val="2"/>
        <scheme val="minor"/>
      </rPr>
      <t>If applicable, losses from other partnerships may be added back in the Misc Field (line 17)</t>
    </r>
    <r>
      <rPr>
        <sz val="11"/>
        <color theme="1"/>
        <rFont val="Calibri"/>
        <family val="2"/>
      </rPr>
      <t>¹</t>
    </r>
  </si>
  <si>
    <t xml:space="preserve">  subtracted from the business on the cash flow analysis.  Any losses or expenses reported that are determined and </t>
  </si>
  <si>
    <r>
      <t xml:space="preserve">  </t>
    </r>
    <r>
      <rPr>
        <b/>
        <sz val="11"/>
        <color theme="1"/>
        <rFont val="Calibri"/>
        <family val="2"/>
        <scheme val="minor"/>
      </rPr>
      <t>generally be subtracted from the business by entering the amount here on the  cash flow analysis.</t>
    </r>
    <r>
      <rPr>
        <b/>
        <sz val="9"/>
        <color theme="1"/>
        <rFont val="Calibri"/>
        <family val="2"/>
        <scheme val="minor"/>
      </rPr>
      <t xml:space="preserve"> </t>
    </r>
    <r>
      <rPr>
        <b/>
        <sz val="11"/>
        <color theme="1"/>
        <rFont val="Calibri"/>
        <family val="2"/>
      </rPr>
      <t>²</t>
    </r>
    <r>
      <rPr>
        <b/>
        <sz val="11"/>
        <color theme="1"/>
        <rFont val="Calibri"/>
        <family val="2"/>
        <scheme val="minor"/>
      </rPr>
      <t xml:space="preserve"> </t>
    </r>
    <r>
      <rPr>
        <sz val="11"/>
        <color theme="1"/>
        <rFont val="Calibri"/>
        <family val="2"/>
        <scheme val="minor"/>
      </rPr>
      <t xml:space="preserve"> Additionally, any </t>
    </r>
  </si>
  <si>
    <t xml:space="preserve">  losses or expenses reported that are determined to be nonrecurring, may be added back on the cash flow analysis in the </t>
  </si>
  <si>
    <t xml:space="preserve">  Misc field (line 15).</t>
  </si>
  <si>
    <r>
      <t xml:space="preserve">Nonrecurring Other Income: </t>
    </r>
    <r>
      <rPr>
        <sz val="9"/>
        <color rgb="FF00B050"/>
        <rFont val="Calibri"/>
        <family val="2"/>
        <scheme val="minor"/>
      </rPr>
      <t xml:space="preserve"> Line 8**</t>
    </r>
  </si>
  <si>
    <r>
      <t xml:space="preserve">  </t>
    </r>
    <r>
      <rPr>
        <b/>
        <sz val="11"/>
        <color theme="1"/>
        <rFont val="Calibri"/>
        <family val="2"/>
        <scheme val="minor"/>
      </rPr>
      <t>by entering the amount here on the cash flow analysis.</t>
    </r>
    <r>
      <rPr>
        <b/>
        <sz val="9"/>
        <color theme="1"/>
        <rFont val="Calibri"/>
        <family val="2"/>
        <scheme val="minor"/>
      </rPr>
      <t xml:space="preserve"> </t>
    </r>
    <r>
      <rPr>
        <b/>
        <sz val="11"/>
        <color theme="1"/>
        <rFont val="Calibri"/>
        <family val="2"/>
      </rPr>
      <t>¹</t>
    </r>
    <r>
      <rPr>
        <sz val="11"/>
        <color theme="1"/>
        <rFont val="Calibri"/>
        <family val="2"/>
        <scheme val="minor"/>
      </rPr>
      <t xml:space="preserve">  Additionally, any losses or expenses reported that are </t>
    </r>
  </si>
  <si>
    <t xml:space="preserve">  determined to be nonrecurring, may be added back on the cash flow analysis in the Misc field (line 7).</t>
  </si>
  <si>
    <t>Inc. Summary</t>
  </si>
  <si>
    <t>Inc. Exp, W2</t>
  </si>
  <si>
    <t>Rent Inc. (sch E)</t>
  </si>
  <si>
    <t>Household Inc.</t>
  </si>
  <si>
    <t>QC - Assets</t>
  </si>
  <si>
    <t>QC - Cred &amp; Liab.</t>
  </si>
  <si>
    <t>Employment Hist.</t>
  </si>
  <si>
    <t>Business Cash Flow</t>
  </si>
  <si>
    <t>Business Cash Flow Analysis</t>
  </si>
  <si>
    <t>Business Type:</t>
  </si>
  <si>
    <t>Total Deductions:</t>
  </si>
  <si>
    <t>Depreciation:</t>
  </si>
  <si>
    <t>Wages Paid to Borrower:</t>
  </si>
  <si>
    <t>Cost of Goods Sold:</t>
  </si>
  <si>
    <t>Most Recent 
Filed Returns</t>
  </si>
  <si>
    <t>At least</t>
  </si>
  <si>
    <t>When Using Business Funds</t>
  </si>
  <si>
    <t># of Months Reviewed:</t>
  </si>
  <si>
    <t>Total Expense Cash Flow:</t>
  </si>
  <si>
    <t>Total Monthly Expense Cash Flow:</t>
  </si>
  <si>
    <t>Partnerships and S Corporations</t>
  </si>
  <si>
    <t>Does the business rely heavily on inventory to generate its income?</t>
  </si>
  <si>
    <t>Business P&amp;L</t>
  </si>
  <si>
    <r>
      <rPr>
        <b/>
        <sz val="12"/>
        <color theme="1"/>
        <rFont val="Calibri"/>
        <family val="2"/>
        <scheme val="minor"/>
      </rPr>
      <t xml:space="preserve"> </t>
    </r>
    <r>
      <rPr>
        <b/>
        <u/>
        <sz val="12"/>
        <color theme="1"/>
        <rFont val="Calibri"/>
        <family val="2"/>
        <scheme val="minor"/>
      </rPr>
      <t>Borrowers Pay:</t>
    </r>
  </si>
  <si>
    <t xml:space="preserve">P&amp;L Dates: </t>
  </si>
  <si>
    <t>Amortization:</t>
  </si>
  <si>
    <t>Net Business Income (Loss):</t>
  </si>
  <si>
    <t>Total Adjustment from P&amp;L</t>
  </si>
  <si>
    <r>
      <t xml:space="preserve">% Ownership in Business: </t>
    </r>
    <r>
      <rPr>
        <sz val="9"/>
        <color rgb="FF00B050"/>
        <rFont val="Calibri"/>
        <family val="2"/>
        <scheme val="minor"/>
      </rPr>
      <t>At time of P&amp;L</t>
    </r>
  </si>
  <si>
    <r>
      <t xml:space="preserve"> </t>
    </r>
    <r>
      <rPr>
        <b/>
        <u/>
        <sz val="12"/>
        <color theme="1"/>
        <rFont val="Calibri"/>
        <family val="2"/>
        <scheme val="minor"/>
      </rPr>
      <t>P&amp;L</t>
    </r>
    <r>
      <rPr>
        <b/>
        <sz val="12"/>
        <color theme="1"/>
        <rFont val="Calibri"/>
        <family val="2"/>
        <scheme val="minor"/>
      </rPr>
      <t>:</t>
    </r>
  </si>
  <si>
    <t xml:space="preserve">Borrowers Wages/Officer Compensation: </t>
  </si>
  <si>
    <t>Total Annualized Business Income/(Loss)</t>
  </si>
  <si>
    <r>
      <t xml:space="preserve">Total Adjusted Business Income/(Loss): </t>
    </r>
    <r>
      <rPr>
        <sz val="10"/>
        <rFont val="Calibri"/>
        <family val="2"/>
        <scheme val="minor"/>
      </rPr>
      <t>Borrowers Pay &amp; P&amp;L</t>
    </r>
  </si>
  <si>
    <t>Annualized</t>
  </si>
  <si>
    <t>Annualized Calcs:</t>
  </si>
  <si>
    <t>P&amp;L</t>
  </si>
  <si>
    <t>Total/Annualized</t>
  </si>
  <si>
    <r>
      <rPr>
        <b/>
        <sz val="12"/>
        <color theme="1"/>
        <rFont val="Calibri"/>
        <family val="2"/>
        <scheme val="minor"/>
      </rPr>
      <t xml:space="preserve"> </t>
    </r>
    <r>
      <rPr>
        <b/>
        <u/>
        <sz val="12"/>
        <color theme="1"/>
        <rFont val="Calibri"/>
        <family val="2"/>
        <scheme val="minor"/>
      </rPr>
      <t>P&amp;L:</t>
    </r>
  </si>
  <si>
    <t>Total Adjusted Business Income/(Loss):</t>
  </si>
  <si>
    <r>
      <t xml:space="preserve">Accounts Payable: </t>
    </r>
    <r>
      <rPr>
        <sz val="9"/>
        <color rgb="FF00B050"/>
        <rFont val="Calibri"/>
        <family val="2"/>
        <scheme val="minor"/>
      </rPr>
      <t>Line 16, Column d (line 15 on 1065)</t>
    </r>
  </si>
  <si>
    <t>Error</t>
  </si>
  <si>
    <t>Section 1:  Business Cash Flow</t>
  </si>
  <si>
    <t xml:space="preserve">Est. Funding Date:  </t>
  </si>
  <si>
    <t>Select Applicable Scenario:</t>
  </si>
  <si>
    <t>- Funds have NOT been pulled from the business account(s) and business account(s) entered in PCL.</t>
  </si>
  <si>
    <t>% Ownership in Business:</t>
  </si>
  <si>
    <t>(Combined Ownership of all Borrowers)</t>
  </si>
  <si>
    <t xml:space="preserve">must be maintained in this business's account(s) either after </t>
  </si>
  <si>
    <t xml:space="preserve">Section 2:  Scenario </t>
  </si>
  <si>
    <r>
      <t xml:space="preserve">what is needed has been pulled out, or, after the amount needed for closing is accounted for. 
</t>
    </r>
    <r>
      <rPr>
        <b/>
        <sz val="12"/>
        <color theme="1"/>
        <rFont val="Calibri"/>
        <family val="2"/>
        <scheme val="minor"/>
      </rPr>
      <t xml:space="preserve"> Complete Section 2 for PCL, Business Account, and UW Requirements.</t>
    </r>
  </si>
  <si>
    <t>- Funds already pulled from business account(s) AND business account(s) are needed/entered
   in PCL. (for reserves)</t>
  </si>
  <si>
    <t xml:space="preserve">  (All include P&amp;L Analysis worksheet)</t>
  </si>
  <si>
    <t xml:space="preserve">Residual Inc. Calc </t>
  </si>
  <si>
    <r>
      <t xml:space="preserve">Depreciation:  </t>
    </r>
    <r>
      <rPr>
        <sz val="9"/>
        <color rgb="FF00B050"/>
        <rFont val="Calibri"/>
        <family val="2"/>
        <scheme val="minor"/>
      </rPr>
      <t>Line 13**</t>
    </r>
  </si>
  <si>
    <r>
      <t xml:space="preserve">Amortization/Casualty Loss/Theft:  </t>
    </r>
    <r>
      <rPr>
        <sz val="9"/>
        <color rgb="FF00B050"/>
        <rFont val="Calibri"/>
        <family val="2"/>
        <scheme val="minor"/>
      </rPr>
      <t>Only if listed in "Part V"****</t>
    </r>
  </si>
  <si>
    <t xml:space="preserve">
Fig 5.7</t>
  </si>
  <si>
    <t xml:space="preserve">
Fig 5.8</t>
  </si>
  <si>
    <t xml:space="preserve">  additional expenses such as meals and entertainment costs need to be counted against them as well. Depreciation from </t>
  </si>
  <si>
    <t xml:space="preserve">  vehicle mileage that can be added back may be indicated on form 4562, however additional analysis and comparison is</t>
  </si>
  <si>
    <t xml:space="preserve">  required to verify how much can be added back and to ensure we do not double dip in adding back any depreciation.</t>
  </si>
  <si>
    <t>**It is possible that vehicle depreciation from mileage that can be added back is part of line 9 expenses, however Form</t>
  </si>
  <si>
    <r>
      <t xml:space="preserve">Depreciation:  </t>
    </r>
    <r>
      <rPr>
        <sz val="9"/>
        <color rgb="FF00B050"/>
        <rFont val="Calibri"/>
        <family val="2"/>
        <scheme val="minor"/>
      </rPr>
      <t>Line 14***</t>
    </r>
  </si>
  <si>
    <r>
      <t xml:space="preserve">Amortization/Casualty/Depletion: </t>
    </r>
    <r>
      <rPr>
        <sz val="9"/>
        <color rgb="FF00B050"/>
        <rFont val="Calibri"/>
        <family val="2"/>
        <scheme val="minor"/>
      </rPr>
      <t>Only if listed in expenses****</t>
    </r>
  </si>
  <si>
    <t>***It is possible that vehicle depreciation from mileage that can be added back is part of line 9 expenses, however Form</t>
  </si>
  <si>
    <t>****Add back any amortization, casualty loss, or depletion claimed/ If claimed, amortization will be indicated on lines</t>
  </si>
  <si>
    <r>
      <t xml:space="preserve">    Add P&amp;L
Analysis
</t>
    </r>
    <r>
      <rPr>
        <sz val="9"/>
        <color theme="1"/>
        <rFont val="Calibri"/>
        <family val="2"/>
        <scheme val="minor"/>
      </rPr>
      <t>After 1st QTR
on FHA,USDA,
&amp;VA Manuals;
 or Declining Income</t>
    </r>
    <r>
      <rPr>
        <b/>
        <sz val="12"/>
        <color theme="1"/>
        <rFont val="Calibri"/>
        <family val="2"/>
        <scheme val="minor"/>
      </rPr>
      <t xml:space="preserve"> </t>
    </r>
  </si>
  <si>
    <t/>
  </si>
  <si>
    <t>Add/View Worksheets</t>
  </si>
  <si>
    <t xml:space="preserve">   </t>
  </si>
  <si>
    <t>Additional Tools/Calculators</t>
  </si>
  <si>
    <t>Specialty Rental/Properties</t>
  </si>
  <si>
    <t>W2, Other Income &amp; Standard Rental/Properties</t>
  </si>
  <si>
    <r>
      <t xml:space="preserve">    Add P&amp;L
Analysis
</t>
    </r>
    <r>
      <rPr>
        <sz val="9"/>
        <rFont val="Calibri"/>
        <family val="2"/>
        <scheme val="minor"/>
      </rPr>
      <t>After 1st QTR
on FHA,USDA,
&amp;VA Manuals;
 or Declining Income</t>
    </r>
    <r>
      <rPr>
        <b/>
        <sz val="12"/>
        <rFont val="Calibri"/>
        <family val="2"/>
        <scheme val="minor"/>
      </rPr>
      <t xml:space="preserve"> </t>
    </r>
  </si>
  <si>
    <t xml:space="preserve">
Fig 5.9</t>
  </si>
  <si>
    <r>
      <t xml:space="preserve">
6. Selecting the Years for P&amp;L:</t>
    </r>
    <r>
      <rPr>
        <sz val="11"/>
        <color theme="1"/>
        <rFont val="Calibri"/>
        <family val="2"/>
      </rPr>
      <t xml:space="preserve"> When adding a P&amp;L worksheet 
    and selecting the Years between worksheets , the most
    recent filed tax return year should be entered in the left 
    column of the self-employment worksheet and be 
    sequential with the years on the P&amp;L with no gaps in years     
    or duplicate years. 
    </t>
    </r>
    <r>
      <rPr>
        <b/>
        <sz val="10"/>
        <color theme="1"/>
        <rFont val="Calibri"/>
        <family val="2"/>
      </rPr>
      <t>(Fig 5.8 and Fig 5.9)</t>
    </r>
  </si>
  <si>
    <t xml:space="preserve">
Fig 2.3</t>
  </si>
  <si>
    <r>
      <t xml:space="preserve">1. Clearing Worksheets: </t>
    </r>
    <r>
      <rPr>
        <sz val="11"/>
        <color theme="1"/>
        <rFont val="Calibri"/>
        <family val="2"/>
      </rPr>
      <t xml:space="preserve">All data and selections can be 
    cleared/reset on a worksheet by clicking the 'Clear' button 
    at the top left of the desired worksheet.  It will take a few 
    seconds to complete as it has to run though all the fields on 
    the sheet.  Please note, clearing data on a sheet by using 
    this button </t>
    </r>
    <r>
      <rPr>
        <b/>
        <sz val="11"/>
        <color theme="1"/>
        <rFont val="Calibri"/>
        <family val="2"/>
      </rPr>
      <t>CANNOT BE UNDONE</t>
    </r>
    <r>
      <rPr>
        <sz val="11"/>
        <color theme="1"/>
        <rFont val="Calibri"/>
        <family val="2"/>
      </rPr>
      <t xml:space="preserve"> and all data will have to 
    be re-entered if done in error.  You may wish to save a copy 
    before using this feature.  It is recommended to always start 
    a new loan with a blank QM workbook rather than clearing 
    sheets, this is primarily added for clearing copied sheets or 
    reworking worksheets. </t>
    </r>
    <r>
      <rPr>
        <b/>
        <sz val="10"/>
        <color theme="1"/>
        <rFont val="Calibri"/>
        <family val="2"/>
      </rPr>
      <t>(Fig2.2)</t>
    </r>
  </si>
  <si>
    <t xml:space="preserve">
Fig 2.2
</t>
  </si>
  <si>
    <t>Home Button - Returning to I&amp;D Worksheet</t>
  </si>
  <si>
    <t xml:space="preserve">
Fig 1.3</t>
  </si>
  <si>
    <t xml:space="preserve">
Fig 1.4</t>
  </si>
  <si>
    <r>
      <t xml:space="preserve">1. Declining Income Indicator: </t>
    </r>
    <r>
      <rPr>
        <sz val="11"/>
        <color theme="1"/>
        <rFont val="Calibri"/>
        <family val="2"/>
      </rPr>
      <t xml:space="preserve">If declining income is 
     detected a pop-up highlighted in yellow will indicate 
     this and the check box to exclude the previous year will 
     highlight yellow as a reminder to exclude the previous 
     year in most cases.  </t>
    </r>
    <r>
      <rPr>
        <b/>
        <sz val="9"/>
        <color theme="1"/>
        <rFont val="Calibri"/>
        <family val="2"/>
      </rPr>
      <t xml:space="preserve">(Fig 3.1)
</t>
    </r>
    <r>
      <rPr>
        <b/>
        <sz val="11"/>
        <color theme="1"/>
        <rFont val="Calibri"/>
        <family val="2"/>
      </rPr>
      <t xml:space="preserve">
   </t>
    </r>
    <r>
      <rPr>
        <sz val="11"/>
        <rFont val="Calibri"/>
        <family val="2"/>
      </rPr>
      <t xml:space="preserve">  On self-employed worksheets the 'Add P&amp;L Analysis' box 
     will also highlight yellow and a P&amp;L should be obtained and 
     analyzed when there is declining income.</t>
    </r>
    <r>
      <rPr>
        <sz val="11"/>
        <color theme="1"/>
        <rFont val="Calibri"/>
        <family val="2"/>
      </rPr>
      <t xml:space="preserve">
   *The declining income indicator and the and yellow 
     highlighting in both areas will remain regardless of whether 
     the box is checked or not.
</t>
    </r>
  </si>
  <si>
    <r>
      <t>5. Adding a P&amp;L Analysis worksheet to a self-employed 
    worksheet:</t>
    </r>
    <r>
      <rPr>
        <sz val="11"/>
        <color theme="1"/>
        <rFont val="Calibri"/>
        <family val="2"/>
      </rPr>
      <t xml:space="preserve"> All of the self-employment worksheets have 
    the option to add a P&amp;L analysis worksheet which will use 
    data entered on both worksheets to produce analysis 
    results.  To add a P&amp;L worksheet, click the check box 
    labeled Add P&amp;L Analysis, found near the bottom left of 
    the appropriate self-employment worksheet. P&amp;L's should   
    be obtained and analyzed any time there in a decline in self 
    employment income, or after the 1st qtr on all FHA loans, 
    all USDA loans, and all VA manual UW loans.    </t>
    </r>
    <r>
      <rPr>
        <b/>
        <sz val="10"/>
        <color theme="1"/>
        <rFont val="Calibri"/>
        <family val="2"/>
      </rPr>
      <t>(Fig 5.7)</t>
    </r>
  </si>
  <si>
    <r>
      <t xml:space="preserve">1. Adding more worksheets: </t>
    </r>
    <r>
      <rPr>
        <sz val="11"/>
        <color theme="1"/>
        <rFont val="Calibri"/>
        <family val="2"/>
      </rPr>
      <t xml:space="preserve">Once you have added the first 
    worksheet needed for any income by clicking the  
    appropriate 'Add' on the I&amp;D Worksheet, you can then add 
    copies of the worksheets by clicking the 'Copy' button at 
    the top left of the desired worksheet.  When you click 'Copy' 
    it will duplicate the sheet you are on, including any data 
    that has been entered, create a new tab for it, and take you 
    directly to the new copy.  Multiple copies can be made, but 
    there is a limit on how many will carry forward to the 
    Income Summary and I&amp;D Worksheet, and Manual entry 
    may be required if indicated. </t>
    </r>
    <r>
      <rPr>
        <b/>
        <sz val="11"/>
        <color theme="1"/>
        <rFont val="Calibri"/>
        <family val="2"/>
      </rPr>
      <t>(</t>
    </r>
    <r>
      <rPr>
        <b/>
        <sz val="10"/>
        <color theme="1"/>
        <rFont val="Calibri"/>
        <family val="2"/>
      </rPr>
      <t>Fig 2.3)</t>
    </r>
  </si>
  <si>
    <r>
      <t>3. Worksheets Margins/Page Display:</t>
    </r>
    <r>
      <rPr>
        <sz val="11"/>
        <color theme="1"/>
        <rFont val="Calibri"/>
        <family val="2"/>
      </rPr>
      <t xml:space="preserve"> The worksheet margins 
    and max page size that will be displayed and print are 
    affected by the printer that is set as your default printer. 
    Some printers do not support the full page size of the  
    worksheets and the bottom or right side of the worksheets 
    may be cut off and run onto a second page. If your default 
    printer does not allow the entire worksheet to fit onto the 
    page and display properly there are simple adjustments 
    that can be made that may help fit the worksheet to your 
    printer and display correctly or at least better.
    If your worksheets are not fitting onto the single pages as 
    displayed to the right for example.</t>
    </r>
    <r>
      <rPr>
        <sz val="10"/>
        <color theme="1"/>
        <rFont val="Calibri"/>
        <family val="2"/>
      </rPr>
      <t xml:space="preserve"> </t>
    </r>
    <r>
      <rPr>
        <b/>
        <sz val="10"/>
        <color theme="1"/>
        <rFont val="Calibri"/>
        <family val="2"/>
      </rPr>
      <t>(Fig 5.4)</t>
    </r>
    <r>
      <rPr>
        <b/>
        <sz val="11"/>
        <color theme="1"/>
        <rFont val="Calibri"/>
        <family val="2"/>
      </rPr>
      <t xml:space="preserve">
    </t>
    </r>
    <r>
      <rPr>
        <sz val="11"/>
        <color theme="1"/>
        <rFont val="Calibri"/>
        <family val="2"/>
      </rPr>
      <t xml:space="preserve">Click on the 'Page Layout' tab on the tool bar and adjust 
    the 'Scale to fit' settings. </t>
    </r>
    <r>
      <rPr>
        <b/>
        <sz val="10"/>
        <color theme="1"/>
        <rFont val="Calibri"/>
        <family val="2"/>
      </rPr>
      <t>(Fig 5.5)</t>
    </r>
    <r>
      <rPr>
        <sz val="11"/>
        <color theme="1"/>
        <rFont val="Calibri"/>
        <family val="2"/>
      </rPr>
      <t xml:space="preserve">
    You can then change the width to '1 page' rather than 
    'automatic', or change the length to 1 or more pages 
    (depending on how many sheets there are) rather than 
    'automatic',  or leave the length and width set to    
    'automatic' and adjust the scale to less than 100%.    
    Different settings can help with how the worksheets 
    display and print for different printers.
</t>
    </r>
  </si>
  <si>
    <r>
      <t xml:space="preserve">1. Add/View Buttons: </t>
    </r>
    <r>
      <rPr>
        <sz val="11"/>
        <color theme="1"/>
        <rFont val="Calibri"/>
        <family val="2"/>
      </rPr>
      <t xml:space="preserve">Worksheet Access buttons have been 
    added on the  I&amp;D Worksheet to the right on the next 
    page over.  This allows you to click and add all the initial 
    worksheets you may need for calculating income and also 
    access them without have to scroll through the tabs or have 
    unnecessary tabs open, making the I&amp;D Worksheet more  
    of a home page for the workbook.  Click the 'Add' button for 
    all the initial sheets needed to add their tabs to the 
    workbook. Press the 'View/Go' button to the worksheet 
    without having to scroll through tabs or unhide tabs one at 
    a time (note, the 'View/Go' button will also add the 
    worksheet if it has not already been added. </t>
    </r>
    <r>
      <rPr>
        <b/>
        <sz val="10"/>
        <color theme="1"/>
        <rFont val="Calibri"/>
        <family val="2"/>
      </rPr>
      <t>(Fig 1.1)</t>
    </r>
  </si>
  <si>
    <r>
      <t xml:space="preserve">1. Home Button: </t>
    </r>
    <r>
      <rPr>
        <sz val="11"/>
        <color theme="1"/>
        <rFont val="Calibri"/>
        <family val="2"/>
      </rPr>
      <t>A home button has been added to all 
    worksheets that takes you back to the I&amp;D Worksheet if 
    clicked.</t>
    </r>
    <r>
      <rPr>
        <sz val="10"/>
        <color theme="1"/>
        <rFont val="Calibri"/>
        <family val="2"/>
      </rPr>
      <t xml:space="preserve"> </t>
    </r>
    <r>
      <rPr>
        <b/>
        <sz val="10"/>
        <color theme="1"/>
        <rFont val="Calibri"/>
        <family val="2"/>
      </rPr>
      <t>(Fig 1.2)</t>
    </r>
  </si>
  <si>
    <r>
      <t xml:space="preserve">2. Unhiding Worksheets: </t>
    </r>
    <r>
      <rPr>
        <sz val="11"/>
        <color theme="1"/>
        <rFont val="Calibri"/>
        <family val="2"/>
      </rPr>
      <t>Unhide Worksheets by clicking the 
    'Add' button on the I&amp;D Worksheet next the  
    appropriate worksheet type. Note this only works for 1st 
    version of each worksheet; If you are needing to unhide a 
    copy of a worksheet that was hidden, you must do this by 
    right clicking on any tab and selecting the unhide option, 
    then select the desired worksheet from the list to un-hide.</t>
    </r>
    <r>
      <rPr>
        <b/>
        <sz val="10"/>
        <color theme="1"/>
        <rFont val="Calibri"/>
        <family val="2"/>
      </rPr>
      <t xml:space="preserve"> 
     (Fig 1.2). 
</t>
    </r>
    <r>
      <rPr>
        <sz val="11"/>
        <color theme="1"/>
        <rFont val="Calibri"/>
        <family val="2"/>
      </rPr>
      <t xml:space="preserve">    The only exception to this of Exp. &amp; Avg W2 (2) worksheet 
    as it has its own spot on the I&amp;D worksheet and can be 
    unhidden there.
       </t>
    </r>
  </si>
  <si>
    <r>
      <rPr>
        <b/>
        <sz val="11"/>
        <color theme="1"/>
        <rFont val="Calibri"/>
        <family val="2"/>
        <scheme val="minor"/>
      </rPr>
      <t>2. Worksheet data Auto-Feeding:</t>
    </r>
    <r>
      <rPr>
        <sz val="11"/>
        <color theme="1"/>
        <rFont val="Calibri"/>
        <family val="2"/>
        <scheme val="minor"/>
      </rPr>
      <t xml:space="preserve"> Data from Worksheets and 
    Copies of worksheet will auto feed to the income summary 
    and 'Income' and 'Debt Worksheets' as long as the 
    maximum number of copies of each allowed is not exceeded 
    and the tab names are not renamed from their default 
    names.  If information from a sheet is not auto feeding a     
    pop-up on the sheet will let you know.  Information from 
    sheets that are not auto feeding must be manually entered 
    on the 'Income Summary' sheet. (The Income Averager and 
    Investment Refinance sheets do not auto-feed)</t>
    </r>
    <r>
      <rPr>
        <b/>
        <sz val="10"/>
        <color theme="1"/>
        <rFont val="Calibri"/>
        <family val="2"/>
        <scheme val="minor"/>
      </rPr>
      <t xml:space="preserve"> (Fig 2.4)</t>
    </r>
  </si>
  <si>
    <r>
      <t xml:space="preserve">Self-Employment Income - </t>
    </r>
    <r>
      <rPr>
        <b/>
        <sz val="9"/>
        <color rgb="FF00B050"/>
        <rFont val="Calibri"/>
        <family val="2"/>
        <scheme val="minor"/>
      </rPr>
      <t>Each S/E worksheet includes a P&amp;L add-on worksheet</t>
    </r>
  </si>
  <si>
    <r>
      <t xml:space="preserve">
3. Hiding Worksheets without Omitting: </t>
    </r>
    <r>
      <rPr>
        <sz val="11"/>
        <color theme="1"/>
        <rFont val="Calibri"/>
        <family val="2"/>
      </rPr>
      <t>This generally     
    shouldn’t be needed as worksheets with data on them that 
    are not omitted should not be hidden, however pressing 
    the 'Omit &amp; Hide' button does check the 'Omit' box even if 
    there is not data entered on the sheet which can be 
    undesirable.  if you wish to hide a worksheet without the 
    omit button being checked worksheets and their tabs can 
    be hidden from view by right clicking on the desired 
    worksheets tab and selecting the 'Hide' option.</t>
    </r>
    <r>
      <rPr>
        <sz val="10"/>
        <color theme="1"/>
        <rFont val="Calibri"/>
        <family val="2"/>
      </rPr>
      <t xml:space="preserve"> </t>
    </r>
    <r>
      <rPr>
        <b/>
        <sz val="10"/>
        <color theme="1"/>
        <rFont val="Calibri"/>
        <family val="2"/>
      </rPr>
      <t>(Fig 1.5)</t>
    </r>
  </si>
  <si>
    <t xml:space="preserve">
Fig 1.5</t>
  </si>
  <si>
    <t>*Select the appropriate worksheets to
  be added to your workbook below.
  Additional copies of a worksheet can 
  be added by clicking the 'Copy' button
  located within the desired worksheet.</t>
  </si>
  <si>
    <t>The amount of Gross Up of any Non-Taxable Income Included in Line 1 above</t>
  </si>
  <si>
    <r>
      <t xml:space="preserve">2. Printing Individual Worksheets: </t>
    </r>
    <r>
      <rPr>
        <sz val="11"/>
        <color theme="1"/>
        <rFont val="Calibri"/>
        <family val="2"/>
      </rPr>
      <t xml:space="preserve">If you want 
    to print individual worksheets, or only specific worksheets, 
    make sure you are on the worksheet you want to print or 
    have highlighted the tabs of the worksheets you want to
    print by holding ctrl and clicking on the desired worksheet 
    tabs, then go to </t>
    </r>
    <r>
      <rPr>
        <b/>
        <sz val="11"/>
        <color theme="1"/>
        <rFont val="Calibri"/>
        <family val="2"/>
      </rPr>
      <t>File</t>
    </r>
    <r>
      <rPr>
        <sz val="11"/>
        <color theme="1"/>
        <rFont val="Calibri"/>
        <family val="2"/>
      </rPr>
      <t xml:space="preserve">, </t>
    </r>
    <r>
      <rPr>
        <b/>
        <sz val="11"/>
        <color theme="1"/>
        <rFont val="Calibri"/>
        <family val="2"/>
      </rPr>
      <t>Print</t>
    </r>
    <r>
      <rPr>
        <sz val="11"/>
        <color theme="1"/>
        <rFont val="Calibri"/>
        <family val="2"/>
      </rPr>
      <t>, and make sure the print settings 
    are set to Print Active Sheets.</t>
    </r>
  </si>
  <si>
    <t>Instructions</t>
  </si>
  <si>
    <t>To return, click the 'Instructions' Button at the top left of the I&amp;D Worksheet.</t>
  </si>
  <si>
    <r>
      <t>2nd Homes &amp; Non Occ</t>
    </r>
    <r>
      <rPr>
        <sz val="9"/>
        <color theme="1"/>
        <rFont val="Calibri"/>
        <family val="2"/>
        <scheme val="minor"/>
      </rPr>
      <t>****</t>
    </r>
  </si>
  <si>
    <t>Non-Occ. Co-Borrower Primary (Conv)</t>
  </si>
  <si>
    <t>Non-Occ. Co-Borrower Primary (Gov)</t>
  </si>
  <si>
    <t>Subject P &amp; I</t>
  </si>
  <si>
    <t>Inc. Exp. Other</t>
  </si>
  <si>
    <t>1 = UW calculated net rental income from Form 998 attached to appraisal (before PITIA)</t>
  </si>
  <si>
    <t>Total Monthly Rental Income/(Loss) for this property</t>
  </si>
  <si>
    <t>Gross Adjusted Monthly Rental Income/(Loss)</t>
  </si>
  <si>
    <t>Rent Inc. (sch E) 13</t>
  </si>
  <si>
    <t>‐ If ownership is greater than or equal to 25% business tax returns are required (Form 1120S) ‐</t>
  </si>
  <si>
    <r>
      <t>Number of months reviewed:</t>
    </r>
    <r>
      <rPr>
        <sz val="9"/>
        <color theme="1"/>
        <rFont val="Calibri"/>
        <family val="2"/>
        <scheme val="minor"/>
      </rPr>
      <t>***</t>
    </r>
  </si>
  <si>
    <t>****Deduct the full current monthly PITI+A amount(s) for the property in line 12 using the current mortgage statements,</t>
  </si>
  <si>
    <t xml:space="preserve">***If the property was not owned for the full tax year, the acquisition date should be used to determine the total number </t>
  </si>
  <si>
    <t xml:space="preserve">  of months to enter rather than using fair rental days.</t>
  </si>
  <si>
    <t xml:space="preserve">  tax bills, insurance documents, and HOA docs.</t>
  </si>
  <si>
    <t xml:space="preserve">Start/End Dates: </t>
  </si>
  <si>
    <t>Total Months
By Dates</t>
  </si>
  <si>
    <t>Income Averager 1</t>
  </si>
  <si>
    <t>Income Averager 2</t>
  </si>
  <si>
    <t xml:space="preserve">  - Income Averager</t>
  </si>
  <si>
    <t>- Funds already pulled from business account(s) AND NO further Funds from the business     
   account are needed/entered in PCL.</t>
  </si>
  <si>
    <r>
      <t xml:space="preserve">) </t>
    </r>
    <r>
      <rPr>
        <b/>
        <sz val="8"/>
        <color theme="1"/>
        <rFont val="Calibri"/>
        <family val="2"/>
        <scheme val="minor"/>
      </rPr>
      <t xml:space="preserve"> </t>
    </r>
    <r>
      <rPr>
        <u/>
        <sz val="8"/>
        <color theme="1"/>
        <rFont val="Calibri"/>
        <family val="2"/>
        <scheme val="minor"/>
      </rPr>
      <t>Impounded</t>
    </r>
  </si>
  <si>
    <t xml:space="preserve">Greater of 25% of fair market rent estimate or the Appraiser's </t>
  </si>
  <si>
    <r>
      <t xml:space="preserve">Enter the </t>
    </r>
    <r>
      <rPr>
        <u/>
        <sz val="11"/>
        <color theme="1"/>
        <rFont val="Calibri"/>
        <family val="2"/>
        <scheme val="minor"/>
      </rPr>
      <t>Appraiser's</t>
    </r>
    <r>
      <rPr>
        <sz val="11"/>
        <color theme="1"/>
        <rFont val="Calibri"/>
        <family val="2"/>
        <scheme val="minor"/>
      </rPr>
      <t xml:space="preserve"> estimate of Fair Market Rent (monthly) from ALL units:</t>
    </r>
  </si>
  <si>
    <t>Enter full monthly Mortgage (PITIA) Payment</t>
  </si>
  <si>
    <t>PITIA</t>
  </si>
  <si>
    <t xml:space="preserve">Total Self-Sufficiency Rental Income </t>
  </si>
  <si>
    <r>
      <t xml:space="preserve">Is this an FHA loan on a 3 or 4 unit </t>
    </r>
    <r>
      <rPr>
        <b/>
        <u/>
        <sz val="11"/>
        <color theme="1"/>
        <rFont val="Calibri"/>
        <family val="2"/>
        <scheme val="minor"/>
      </rPr>
      <t>subject</t>
    </r>
    <r>
      <rPr>
        <b/>
        <sz val="11"/>
        <color theme="1"/>
        <rFont val="Calibri"/>
        <family val="2"/>
        <scheme val="minor"/>
      </rPr>
      <t xml:space="preserve"> property?</t>
    </r>
  </si>
  <si>
    <t>Self-Sufficiency Test 
May Be Required</t>
  </si>
  <si>
    <t>Net Monthly Self-Sufficiency Rental Income</t>
  </si>
  <si>
    <t>x  25%   =</t>
  </si>
  <si>
    <r>
      <rPr>
        <sz val="14"/>
        <color theme="1"/>
        <rFont val="Calibri"/>
        <family val="2"/>
      </rPr>
      <t>÷</t>
    </r>
    <r>
      <rPr>
        <sz val="11"/>
        <color theme="1"/>
        <rFont val="Calibri"/>
        <family val="2"/>
      </rPr>
      <t xml:space="preserve"> </t>
    </r>
    <r>
      <rPr>
        <sz val="11"/>
        <color theme="1"/>
        <rFont val="Calibri"/>
        <family val="2"/>
        <scheme val="minor"/>
      </rPr>
      <t>12 mo. =</t>
    </r>
  </si>
  <si>
    <t xml:space="preserve">  'Market Rent Per Month'_'Total':</t>
  </si>
  <si>
    <t xml:space="preserve">  From the Operating Income Statement - Form 998, Page 2,</t>
  </si>
  <si>
    <t>FHA Self-Sufficiency Test</t>
  </si>
  <si>
    <t>3 to 4 Unit Properties</t>
  </si>
  <si>
    <t xml:space="preserve">  From the Operating Income Statement - Form 998, Page 1,</t>
  </si>
  <si>
    <r>
      <t xml:space="preserve">Enter the </t>
    </r>
    <r>
      <rPr>
        <u/>
        <sz val="11"/>
        <color theme="1"/>
        <rFont val="Calibri"/>
        <family val="2"/>
        <scheme val="minor"/>
      </rPr>
      <t>Appraiser's</t>
    </r>
    <r>
      <rPr>
        <sz val="11"/>
        <color theme="1"/>
        <rFont val="Calibri"/>
        <family val="2"/>
        <scheme val="minor"/>
      </rPr>
      <t xml:space="preserve"> annual estimate of Vacancies and Maintenance:</t>
    </r>
  </si>
  <si>
    <t xml:space="preserve"> 'Operating Income Reconciliation'_'Total Operating Expenses':</t>
  </si>
  <si>
    <t>Monthly Vacancies and Maintenance Estimate.</t>
  </si>
  <si>
    <t>FHA Self-Sufficiency</t>
  </si>
  <si>
    <t>Net Self-Sufficiency Income</t>
  </si>
  <si>
    <r>
      <t xml:space="preserve"> Schedule L - Business Assets:
</t>
    </r>
    <r>
      <rPr>
        <sz val="10"/>
        <color rgb="FF00B050"/>
        <rFont val="Calibri"/>
        <family val="2"/>
        <scheme val="minor"/>
      </rPr>
      <t xml:space="preserve"> Please Note: If schedule L is blank, a current Balance Statement should be used.</t>
    </r>
  </si>
  <si>
    <t>Exp &amp; Avg, W2 2</t>
  </si>
  <si>
    <t>Exp &amp; Avg, W2 1</t>
  </si>
  <si>
    <t>Exp &amp; Avg, W2 3</t>
  </si>
  <si>
    <t>Exp &amp; Avg, W2 4</t>
  </si>
  <si>
    <t>Income Averager 3</t>
  </si>
  <si>
    <t>Income Averager 4</t>
  </si>
  <si>
    <r>
      <t xml:space="preserve">Current Ratio:  </t>
    </r>
    <r>
      <rPr>
        <sz val="9"/>
        <color rgb="FF00B050"/>
        <rFont val="Calibri"/>
        <family val="2"/>
        <scheme val="minor"/>
      </rPr>
      <t>Line 5 / Line 10</t>
    </r>
  </si>
  <si>
    <r>
      <t xml:space="preserve">Quick Ratio:  </t>
    </r>
    <r>
      <rPr>
        <sz val="9"/>
        <color rgb="FF00B050"/>
        <rFont val="Calibri"/>
        <family val="2"/>
        <scheme val="minor"/>
      </rPr>
      <t>Lines 1+2 / Line 10</t>
    </r>
  </si>
  <si>
    <t>Data from this sheet is not auto feeding to the main page 
and must be entered manually on the Income Summary Sheet.</t>
  </si>
  <si>
    <t>Test 1 - Distribution</t>
  </si>
  <si>
    <t>Test 2 - Liquidity</t>
  </si>
  <si>
    <t xml:space="preserve">     (Line 16 on 1065)**</t>
  </si>
  <si>
    <t xml:space="preserve">       Check if Mtg/Notes 
          regularly roll over**</t>
  </si>
  <si>
    <t>**To exclude Mortgage/Notes Payable &lt;1yr it must be</t>
  </si>
  <si>
    <t>Clearing All Data Entered on a Worksheet and Resetting it to its Original Settings</t>
  </si>
  <si>
    <r>
      <t xml:space="preserve">1. Printing Workbook: </t>
    </r>
    <r>
      <rPr>
        <sz val="11"/>
        <color theme="1"/>
        <rFont val="Calibri"/>
        <family val="2"/>
      </rPr>
      <t xml:space="preserve">When you are ready to print/PDF 
    you can simply click the 'Print' button located at 
    the top left of the I&amp;D Worksheet; this will allow you to 
    select a printer or PDF printer and will automatically print all 
    the worksheets that have been added to the workbook.  or, 
    you can go to File, Print, and make sure the  print settings 
    are set to Print Entire Workbook.
    </t>
    </r>
    <r>
      <rPr>
        <b/>
        <sz val="10"/>
        <color theme="1"/>
        <rFont val="Calibri"/>
        <family val="2"/>
      </rPr>
      <t xml:space="preserve">(Fig 4.1 and Fig 4.2)
</t>
    </r>
    <r>
      <rPr>
        <sz val="11"/>
        <color theme="1"/>
        <rFont val="Calibri"/>
        <family val="2"/>
      </rPr>
      <t xml:space="preserve">
</t>
    </r>
  </si>
  <si>
    <t>Assets as Income</t>
  </si>
  <si>
    <t>Employment-Related Assets as Qualifying Income;</t>
  </si>
  <si>
    <t>Assets as a Basis for Repayment of Obligations</t>
  </si>
  <si>
    <t>Section 1: Loan Qualifying Data</t>
  </si>
  <si>
    <t>Fannie</t>
  </si>
  <si>
    <t>Freddie</t>
  </si>
  <si>
    <t>Loan Type:</t>
  </si>
  <si>
    <t>Loan Purpose:</t>
  </si>
  <si>
    <t>Occupancy:</t>
  </si>
  <si>
    <t>Number of Units:</t>
  </si>
  <si>
    <t>LTV/CLTC/HCLTV:</t>
  </si>
  <si>
    <t>Birth date:</t>
  </si>
  <si>
    <t>Age:</t>
  </si>
  <si>
    <r>
      <t xml:space="preserve">Will </t>
    </r>
    <r>
      <rPr>
        <u/>
        <sz val="12"/>
        <rFont val="Calibri"/>
        <family val="2"/>
        <scheme val="minor"/>
      </rPr>
      <t>all</t>
    </r>
    <r>
      <rPr>
        <sz val="12"/>
        <rFont val="Calibri"/>
        <family val="2"/>
        <scheme val="minor"/>
      </rPr>
      <t xml:space="preserve"> asset owners be of age 62 by closing? (must be on mtg.)
</t>
    </r>
    <r>
      <rPr>
        <sz val="9"/>
        <rFont val="Calibri"/>
        <family val="2"/>
        <scheme val="minor"/>
      </rPr>
      <t>(Only Required to answer for FNMA 70.01% - 80.00% LTV)</t>
    </r>
  </si>
  <si>
    <t>Section 2: Asset Qualifying Data</t>
  </si>
  <si>
    <t>Bank/Institution</t>
  </si>
  <si>
    <t>Asset Source</t>
  </si>
  <si>
    <t xml:space="preserve"> 401(k), IRA, SEP, Keogh Retirement accounts</t>
  </si>
  <si>
    <t>Lump-Sum Distribution (from a retirement account)</t>
  </si>
  <si>
    <t>Depository accounts and Securities (Including Severance)</t>
  </si>
  <si>
    <r>
      <t xml:space="preserve">Asset Data: *Must Check </t>
    </r>
    <r>
      <rPr>
        <b/>
        <u/>
        <sz val="12"/>
        <rFont val="Calibri"/>
        <family val="2"/>
        <scheme val="minor"/>
      </rPr>
      <t>all</t>
    </r>
    <r>
      <rPr>
        <b/>
        <sz val="12"/>
        <rFont val="Calibri"/>
        <family val="2"/>
        <scheme val="minor"/>
      </rPr>
      <t xml:space="preserve"> that apply* then click 'Done: Analyze...'</t>
    </r>
  </si>
  <si>
    <t>Sale of the Borrowers Business</t>
  </si>
  <si>
    <t>- Override Age Penalties</t>
  </si>
  <si>
    <t xml:space="preserve"> (Must Justify!)</t>
  </si>
  <si>
    <t>Done: Analyze Section 2 and View Section 1 &amp; 2 Combined Results</t>
  </si>
  <si>
    <t>Section 1 &amp; 2 Combined Results:</t>
  </si>
  <si>
    <t>Select Fannie or Freddie below if 'Eligible' to pick which calculation method will be used in section 3.</t>
  </si>
  <si>
    <t xml:space="preserve">Fannie    </t>
  </si>
  <si>
    <t xml:space="preserve">Freddie   </t>
  </si>
  <si>
    <t>Section 3: Monthly Income Calculation</t>
  </si>
  <si>
    <t>Gross Eligible Assets - Ending balance from section 2:</t>
  </si>
  <si>
    <t xml:space="preserve">  - Funds used for down payment, closing costs, or required reserves:</t>
  </si>
  <si>
    <t xml:space="preserve">  - Gift funds or Borrowed funds included in the assets 'ending balance' above:</t>
  </si>
  <si>
    <t>Net Eligible Assets:</t>
  </si>
  <si>
    <t>÷</t>
  </si>
  <si>
    <t>Monthly Qualifying Income:</t>
  </si>
  <si>
    <t>Data from this sheet is not auto feeding to the main page; enter manually on the Income Summary Sheet.</t>
  </si>
  <si>
    <t>*Data from this sheet is not auto feeding to the main page and must be entered manually on the Expert or Summary sheet.</t>
  </si>
  <si>
    <t>Interest &amp; Dividends</t>
  </si>
  <si>
    <t>"Schedule B"</t>
  </si>
  <si>
    <t>Decline in income present, Justification Required
to use income from this source.</t>
  </si>
  <si>
    <r>
      <t>Asset</t>
    </r>
    <r>
      <rPr>
        <sz val="11"/>
        <color theme="1"/>
        <rFont val="Calibri"/>
        <family val="2"/>
        <scheme val="minor"/>
      </rPr>
      <t>:</t>
    </r>
  </si>
  <si>
    <r>
      <t xml:space="preserve">Yes
</t>
    </r>
    <r>
      <rPr>
        <b/>
        <sz val="10"/>
        <color theme="1"/>
        <rFont val="Calibri"/>
        <family val="2"/>
        <scheme val="minor"/>
      </rPr>
      <t xml:space="preserve">   </t>
    </r>
  </si>
  <si>
    <r>
      <t xml:space="preserve">No
</t>
    </r>
    <r>
      <rPr>
        <b/>
        <sz val="10"/>
        <color theme="1"/>
        <rFont val="Calibri"/>
        <family val="2"/>
        <scheme val="minor"/>
      </rPr>
      <t xml:space="preserve">   </t>
    </r>
  </si>
  <si>
    <t>*Exclude a years income from the total being averaged below.</t>
  </si>
  <si>
    <t>Monthly Average to be used at:</t>
  </si>
  <si>
    <t>Final Result:</t>
  </si>
  <si>
    <t>Requirements:</t>
  </si>
  <si>
    <r>
      <t xml:space="preserve">    Are any funds from this Asset being used towards this property?  
</t>
    </r>
    <r>
      <rPr>
        <b/>
        <sz val="10"/>
        <color theme="1"/>
        <rFont val="Calibri"/>
        <family val="2"/>
        <scheme val="minor"/>
      </rPr>
      <t xml:space="preserve">     (Cash Investment/Down payment, Closing costs…)</t>
    </r>
  </si>
  <si>
    <t xml:space="preserve"> a. </t>
  </si>
  <si>
    <t xml:space="preserve"> b. </t>
  </si>
  <si>
    <t xml:space="preserve"> Total:</t>
  </si>
  <si>
    <t>Enter full value of asset prior to withdrawal of funds needed for closing:</t>
  </si>
  <si>
    <t>Enter value of asset after funds have been documented as withdrawn:</t>
  </si>
  <si>
    <t>Excluding a year for any reason requires justification in Notes.  For declines in income,
 see decline message.</t>
  </si>
  <si>
    <t>Excluding a year for any reason requires justification in Notes.  For declines in income,
see decline message.</t>
  </si>
  <si>
    <t xml:space="preserve">- Current Ownership of the asset must be verified w/ current account statement.                                              
- The Interest/Dividend income must have been received for the past two years.
- The Interest/Dividend income from the asset must be expected to continue.                                        
</t>
  </si>
  <si>
    <r>
      <t xml:space="preserve">Section 1:
    </t>
    </r>
    <r>
      <rPr>
        <b/>
        <u/>
        <sz val="12"/>
        <color theme="1"/>
        <rFont val="Calibri"/>
        <family val="2"/>
        <scheme val="minor"/>
      </rPr>
      <t>Interest/Dividend Asset Source</t>
    </r>
    <r>
      <rPr>
        <b/>
        <sz val="12"/>
        <color theme="1"/>
        <rFont val="Calibri"/>
        <family val="2"/>
        <scheme val="minor"/>
      </rPr>
      <t xml:space="preserve">
</t>
    </r>
    <r>
      <rPr>
        <b/>
        <sz val="10"/>
        <color theme="1"/>
        <rFont val="Calibri"/>
        <family val="2"/>
        <scheme val="minor"/>
      </rPr>
      <t xml:space="preserve">     (Only one asset source per worksheet)</t>
    </r>
  </si>
  <si>
    <t>Section 2:</t>
  </si>
  <si>
    <t xml:space="preserve">Section 3: </t>
  </si>
  <si>
    <t>Mortgage Credit Certificate</t>
  </si>
  <si>
    <t>MCC Tax Credit</t>
  </si>
  <si>
    <t>Mortgage Loan amount</t>
  </si>
  <si>
    <t>Interest Rate</t>
  </si>
  <si>
    <t>First Year's Interest</t>
  </si>
  <si>
    <t>Total Allowable Monthly Mortgage Certificate Tax Credit</t>
  </si>
  <si>
    <t>MCC Max Credit limit of $2,000 or $166.66 per month</t>
  </si>
  <si>
    <t>Tax Income Credit Worksheet</t>
  </si>
  <si>
    <r>
      <rPr>
        <b/>
        <sz val="12"/>
        <color theme="1"/>
        <rFont val="Calibri"/>
        <family val="2"/>
      </rPr>
      <t>÷</t>
    </r>
    <r>
      <rPr>
        <sz val="12"/>
        <color theme="1"/>
        <rFont val="Calibri"/>
        <family val="2"/>
      </rPr>
      <t xml:space="preserve"> 12</t>
    </r>
  </si>
  <si>
    <t>Requirement:</t>
  </si>
  <si>
    <t>MCC Income Credit</t>
  </si>
  <si>
    <t>Net Annual Mortgage Certificate Tax Credit</t>
  </si>
  <si>
    <t>Net Monthly Mortgage Certificate Tax Credit</t>
  </si>
  <si>
    <t>Override Limit:  Must verify 
Limit Does not Apply</t>
  </si>
  <si>
    <r>
      <t>MCC Tax Credit as Qualifying Income</t>
    </r>
    <r>
      <rPr>
        <b/>
        <sz val="10"/>
        <color theme="1"/>
        <rFont val="Calibri"/>
        <family val="2"/>
        <scheme val="minor"/>
      </rPr>
      <t xml:space="preserve"> </t>
    </r>
  </si>
  <si>
    <t xml:space="preserve">  - Interest &amp; Dividends - "Schedule B"</t>
  </si>
  <si>
    <t xml:space="preserve">  - Assets as Income</t>
  </si>
  <si>
    <t>Business Cash Flow, Employment History,  FHA Self-Sufficiency Test, MCC Tax Income Credit</t>
  </si>
  <si>
    <t>Assets (QC Worksheet), Credit and Liabilities (QC worksheet)</t>
  </si>
  <si>
    <t>State/Program:</t>
  </si>
  <si>
    <r>
      <t>Mortgage Credit Rate</t>
    </r>
    <r>
      <rPr>
        <sz val="9"/>
        <color rgb="FF00B050"/>
        <rFont val="Calibri"/>
        <family val="2"/>
        <scheme val="minor"/>
      </rPr>
      <t xml:space="preserve"> (As determined by State/Program Guidelines)</t>
    </r>
  </si>
  <si>
    <t>Check here to confirm this income State/Program specific guidelines have been reviewed to confirm 
use of this income is allowable; this will add the income to the Income and Debt worksheet/count in ratios.</t>
  </si>
  <si>
    <t>*Analysis and Percentages based on Annualized Income Calculations*</t>
  </si>
  <si>
    <t xml:space="preserve">  4562 has to be analyzed and additional documentation may be needed to determine this and to avoid double dipping.</t>
  </si>
  <si>
    <r>
      <t>Net Rental Income/(Loss)</t>
    </r>
    <r>
      <rPr>
        <b/>
        <sz val="12"/>
        <color theme="1"/>
        <rFont val="Calibri"/>
        <family val="2"/>
        <scheme val="minor"/>
      </rPr>
      <t>:</t>
    </r>
    <r>
      <rPr>
        <b/>
        <sz val="9"/>
        <color rgb="FF00B050"/>
        <rFont val="Calibri"/>
        <family val="2"/>
        <scheme val="minor"/>
      </rPr>
      <t xml:space="preserve"> </t>
    </r>
    <r>
      <rPr>
        <sz val="9"/>
        <color rgb="FF00B050"/>
        <rFont val="Calibri"/>
        <family val="2"/>
        <scheme val="minor"/>
      </rPr>
      <t>(Excluding Subject Property)</t>
    </r>
  </si>
  <si>
    <t>Capital Gains</t>
  </si>
  <si>
    <t>"Schedule D"</t>
  </si>
  <si>
    <t>Section 1:</t>
  </si>
  <si>
    <t>Conventional</t>
  </si>
  <si>
    <t>FHA/VA</t>
  </si>
  <si>
    <t>Short-Term Capital Gains and Losses</t>
  </si>
  <si>
    <t>Long-Term Capital Gains and Losses</t>
  </si>
  <si>
    <t>Loan type -</t>
  </si>
  <si>
    <t xml:space="preserve">    Ex: Other Marketable securities on Itemized statement from line 6d</t>
  </si>
  <si>
    <t>Section 3:</t>
  </si>
  <si>
    <t xml:space="preserve">Section 4: </t>
  </si>
  <si>
    <t>Total Months per Data</t>
  </si>
  <si>
    <t>With Documented Pay Increase</t>
  </si>
  <si>
    <t>End Date:</t>
  </si>
  <si>
    <t>Pay Periods</t>
  </si>
  <si>
    <t>Pay Frequency:</t>
  </si>
  <si>
    <t>Hours</t>
  </si>
  <si>
    <t>Average Hours per Month:</t>
  </si>
  <si>
    <t>Calculated Monthly Income for Qualifying:</t>
  </si>
  <si>
    <t>Documented Pay Increase:</t>
  </si>
  <si>
    <t>New $ per hour Base pay Rate</t>
  </si>
  <si>
    <t>Total Hours:</t>
  </si>
  <si>
    <t>Based on hours entered in Chart</t>
  </si>
  <si>
    <t>Continue on Next Page</t>
  </si>
  <si>
    <t>Investment Purchase or Refinance</t>
  </si>
  <si>
    <t xml:space="preserve">    Lease Agreement or Market Rent from Appraisal (Form 1025):</t>
  </si>
  <si>
    <t>Lesser of Gross Monthly Rent from Lease(s) or Market Rent on Form 1025</t>
  </si>
  <si>
    <t xml:space="preserve">         This method may be used when the transaction is a purchase, the property was acquired subsequent to the most recent tax filing,
         or the lender has justification for using a lease agreement.  See Agency Guidelines.</t>
  </si>
  <si>
    <t>- Select to
    use this
rent amount</t>
  </si>
  <si>
    <t>"PITIA from I&amp;D Worksheet below Required to be correct for accurate results"</t>
  </si>
  <si>
    <t>From PITIA entered on Income and Debt worksheet, ensure it is entered and correct for accurate results</t>
  </si>
  <si>
    <t>Other items from subject PITIA indicated on the I&amp;D Worksheet</t>
  </si>
  <si>
    <t>Total Subject Monthly Housing Expense (from I&amp;D Worksheets)</t>
  </si>
  <si>
    <t>Inv. Purchase or Refi</t>
  </si>
  <si>
    <t xml:space="preserve">**For refinances always add back taxes, insurance, and association dues claimed on the schedule E. as these </t>
  </si>
  <si>
    <t>Investment Property (Non Departure)</t>
  </si>
  <si>
    <t>Investment Property (Departure Residence)</t>
  </si>
  <si>
    <t xml:space="preserve">1. Enter/Select Loan Type: </t>
  </si>
  <si>
    <t>Int. &amp; Div (sch B)</t>
  </si>
  <si>
    <t>Int. &amp; Div.</t>
  </si>
  <si>
    <t xml:space="preserve">  - FHA Variable with Increase</t>
  </si>
  <si>
    <r>
      <t xml:space="preserve">Guaranteed Payments:  </t>
    </r>
    <r>
      <rPr>
        <sz val="9"/>
        <color rgb="FF00B050"/>
        <rFont val="Calibri"/>
        <family val="2"/>
        <scheme val="minor"/>
      </rPr>
      <t xml:space="preserve">Line 4C *** </t>
    </r>
    <r>
      <rPr>
        <sz val="8"/>
        <color rgb="FF00B050"/>
        <rFont val="Calibri"/>
        <family val="2"/>
        <scheme val="minor"/>
      </rPr>
      <t xml:space="preserve"> (Line 4 on 2017 and prior)</t>
    </r>
  </si>
  <si>
    <r>
      <t xml:space="preserve">Domestic Production Activities Deduction: </t>
    </r>
    <r>
      <rPr>
        <sz val="9"/>
        <color rgb="FF00B050"/>
        <rFont val="Calibri"/>
        <family val="2"/>
        <scheme val="minor"/>
      </rPr>
      <t>Line 25 (Prior to 2018)</t>
    </r>
  </si>
  <si>
    <t>Results based on Limited Data</t>
  </si>
  <si>
    <r>
      <t xml:space="preserve">Enter # of Base Pay 
Hours </t>
    </r>
    <r>
      <rPr>
        <b/>
        <u/>
        <sz val="9"/>
        <color rgb="FF00B050"/>
        <rFont val="Calibri"/>
        <family val="2"/>
        <scheme val="minor"/>
      </rPr>
      <t>Only</t>
    </r>
    <r>
      <rPr>
        <b/>
        <sz val="9"/>
        <color rgb="FF00B050"/>
        <rFont val="Calibri"/>
        <family val="2"/>
        <scheme val="minor"/>
      </rPr>
      <t>,
Per Pay Period
(No Overtime)</t>
    </r>
  </si>
  <si>
    <t xml:space="preserve">  - Investment Purchase or Refinance</t>
  </si>
  <si>
    <t>**For unknown pay periods, leave hours blank**</t>
  </si>
  <si>
    <t>Continued from Page 1</t>
  </si>
  <si>
    <t>Pay Period End:</t>
  </si>
  <si>
    <t>240 Months</t>
  </si>
  <si>
    <t>Results:</t>
  </si>
  <si>
    <r>
      <t>Notes:</t>
    </r>
    <r>
      <rPr>
        <sz val="9"/>
        <color rgb="FF009242"/>
        <rFont val="Calibri"/>
        <family val="2"/>
        <scheme val="minor"/>
      </rPr>
      <t xml:space="preserve"> (Alt+Enter for next line)</t>
    </r>
  </si>
  <si>
    <r>
      <t>Notes:</t>
    </r>
    <r>
      <rPr>
        <sz val="9"/>
        <color rgb="FF009242"/>
        <rFont val="Calibri"/>
        <family val="2"/>
        <scheme val="minor"/>
      </rPr>
      <t xml:space="preserve">  (Alt+Enter for next line)</t>
    </r>
  </si>
  <si>
    <r>
      <rPr>
        <u/>
        <sz val="11"/>
        <color theme="1"/>
        <rFont val="Calibri"/>
        <family val="2"/>
        <scheme val="minor"/>
      </rPr>
      <t>Notes</t>
    </r>
    <r>
      <rPr>
        <sz val="11"/>
        <color theme="1"/>
        <rFont val="Calibri"/>
        <family val="2"/>
        <scheme val="minor"/>
      </rPr>
      <t>:</t>
    </r>
    <r>
      <rPr>
        <sz val="9"/>
        <color rgb="FF009242"/>
        <rFont val="Calibri"/>
        <family val="2"/>
        <scheme val="minor"/>
      </rPr>
      <t xml:space="preserve">  (Alt+Enter for next line)</t>
    </r>
  </si>
  <si>
    <r>
      <rPr>
        <u/>
        <sz val="11"/>
        <rFont val="Calibri"/>
        <family val="2"/>
        <scheme val="minor"/>
      </rPr>
      <t>Notes:</t>
    </r>
    <r>
      <rPr>
        <sz val="9"/>
        <color rgb="FF009242"/>
        <rFont val="Calibri"/>
        <family val="2"/>
        <scheme val="minor"/>
      </rPr>
      <t xml:space="preserve">  (Alt+Enter for next line)</t>
    </r>
  </si>
  <si>
    <r>
      <rPr>
        <u/>
        <sz val="11"/>
        <color theme="1"/>
        <rFont val="Calibri"/>
        <family val="2"/>
        <scheme val="minor"/>
      </rPr>
      <t>Notes:</t>
    </r>
    <r>
      <rPr>
        <sz val="9"/>
        <color rgb="FF009242"/>
        <rFont val="Calibri"/>
        <family val="2"/>
        <scheme val="minor"/>
      </rPr>
      <t xml:space="preserve">  (Alt+Enter for next line)</t>
    </r>
  </si>
  <si>
    <r>
      <rPr>
        <u/>
        <sz val="11"/>
        <color theme="1"/>
        <rFont val="Calibri"/>
        <family val="2"/>
        <scheme val="minor"/>
      </rPr>
      <t>Notes:</t>
    </r>
    <r>
      <rPr>
        <u/>
        <sz val="9"/>
        <color rgb="FF009242"/>
        <rFont val="Calibri"/>
        <family val="2"/>
        <scheme val="minor"/>
      </rPr>
      <t xml:space="preserve"> </t>
    </r>
    <r>
      <rPr>
        <sz val="9"/>
        <color rgb="FF009242"/>
        <rFont val="Calibri"/>
        <family val="2"/>
        <scheme val="minor"/>
      </rPr>
      <t xml:space="preserve"> (Alt+Enter for next line)</t>
    </r>
  </si>
  <si>
    <r>
      <t>Notes:</t>
    </r>
    <r>
      <rPr>
        <sz val="9"/>
        <color rgb="FF009242"/>
        <rFont val="Calibri"/>
        <family val="2"/>
        <scheme val="minor"/>
      </rPr>
      <t xml:space="preserve">  (Alt+Enter for next line) </t>
    </r>
  </si>
  <si>
    <r>
      <t>Notes:</t>
    </r>
    <r>
      <rPr>
        <sz val="11"/>
        <color theme="1"/>
        <rFont val="Calibri"/>
        <family val="2"/>
        <scheme val="minor"/>
      </rPr>
      <t xml:space="preserve"> </t>
    </r>
    <r>
      <rPr>
        <sz val="9"/>
        <color rgb="FF009242"/>
        <rFont val="Calibri"/>
        <family val="2"/>
        <scheme val="minor"/>
      </rPr>
      <t>(Alt+Enter)</t>
    </r>
  </si>
  <si>
    <r>
      <rPr>
        <u/>
        <sz val="10"/>
        <color theme="1"/>
        <rFont val="Calibri"/>
        <family val="2"/>
        <scheme val="minor"/>
      </rPr>
      <t>Notes:</t>
    </r>
    <r>
      <rPr>
        <sz val="10"/>
        <color rgb="FF009242"/>
        <rFont val="Calibri"/>
        <family val="2"/>
        <scheme val="minor"/>
      </rPr>
      <t xml:space="preserve"> </t>
    </r>
    <r>
      <rPr>
        <sz val="9"/>
        <color rgb="FF009242"/>
        <rFont val="Calibri"/>
        <family val="2"/>
        <scheme val="minor"/>
      </rPr>
      <t xml:space="preserve"> (Alt+Enter for next line)</t>
    </r>
  </si>
  <si>
    <r>
      <t>Notes</t>
    </r>
    <r>
      <rPr>
        <sz val="9"/>
        <color rgb="FF009242"/>
        <rFont val="Calibri"/>
        <family val="2"/>
        <scheme val="minor"/>
      </rPr>
      <t xml:space="preserve">  (Alt+Enter for next line)</t>
    </r>
  </si>
  <si>
    <t>RSU Income</t>
  </si>
  <si>
    <t>Section 3: RSU Income Calculation</t>
  </si>
  <si>
    <t>Performance-based vesting provisions</t>
  </si>
  <si>
    <t>Time-based vesting provisions</t>
  </si>
  <si>
    <t>or</t>
  </si>
  <si>
    <t>Cash Equivalent (proceed to Section 3)</t>
  </si>
  <si>
    <t>Shares (complete Sections 2 &amp; 3)</t>
  </si>
  <si>
    <t>3. How is the RSU income Distributed (select one):</t>
  </si>
  <si>
    <t>2. Is the RSU income subject to (select one):</t>
  </si>
  <si>
    <r>
      <t>Section 2 Instruction</t>
    </r>
    <r>
      <rPr>
        <sz val="11"/>
        <color theme="1"/>
        <rFont val="Calibri"/>
        <family val="2"/>
        <scheme val="minor"/>
      </rPr>
      <t>:  (How to retrieve and enter stock price)</t>
    </r>
  </si>
  <si>
    <t>Must be Expensed on P&amp;L to be added back</t>
  </si>
  <si>
    <r>
      <t xml:space="preserve"> 1. Are any funds from this Asset being used towards this property?  
</t>
    </r>
    <r>
      <rPr>
        <b/>
        <sz val="10"/>
        <color theme="1"/>
        <rFont val="Calibri"/>
        <family val="2"/>
        <scheme val="minor"/>
      </rPr>
      <t xml:space="preserve">       (Cash Investment/Down payment, Closing costs…)</t>
    </r>
  </si>
  <si>
    <t xml:space="preserve"> 2. Is this also a self-employed borrowers business asset AND a Fannie loan?</t>
  </si>
  <si>
    <r>
      <t xml:space="preserve">Enter the </t>
    </r>
    <r>
      <rPr>
        <u/>
        <sz val="11"/>
        <color theme="1"/>
        <rFont val="Calibri"/>
        <family val="2"/>
        <scheme val="minor"/>
      </rPr>
      <t>Appraiser's</t>
    </r>
    <r>
      <rPr>
        <sz val="11"/>
        <color theme="1"/>
        <rFont val="Calibri"/>
        <family val="2"/>
        <scheme val="minor"/>
      </rPr>
      <t xml:space="preserve"> estimate of Fair Market Rent (monthly) from Residential Units only:</t>
    </r>
  </si>
  <si>
    <t xml:space="preserve">  - RSU Income</t>
  </si>
  <si>
    <t>Owner Multi-Unit Converting to Investment</t>
  </si>
  <si>
    <t>Data from this sheet is not auto feeding to the main page (Inc. and Debt wkst) and must be manually entered on the Inc. Summary Wkst</t>
  </si>
  <si>
    <t xml:space="preserve"> </t>
  </si>
  <si>
    <t>-  Omit Lease
    Income</t>
  </si>
  <si>
    <t>- Omit Schedule E     
    Income</t>
  </si>
  <si>
    <t>Income Source:</t>
  </si>
  <si>
    <t>30% of Qualifying Income Calculator</t>
  </si>
  <si>
    <t xml:space="preserve"> -See '30% of Income Calc.' wkst</t>
  </si>
  <si>
    <t>ADU, Foster, Boarder/Live-in Aide</t>
  </si>
  <si>
    <t>x 30%</t>
  </si>
  <si>
    <t>'Total Qualifying Income' from I&amp;D Worksheet:</t>
  </si>
  <si>
    <t>New 'Total Gross Income'
when using this income</t>
  </si>
  <si>
    <t>FNMA: Foster 12-24 months</t>
  </si>
  <si>
    <t>FHLMC: ADU</t>
  </si>
  <si>
    <t>FHLMC: Live-in Aide</t>
  </si>
  <si>
    <t>FNMA: Boarder</t>
  </si>
  <si>
    <t>x   1.428571</t>
  </si>
  <si>
    <t>OR</t>
  </si>
  <si>
    <t>x    1.428571
Rounded Down</t>
  </si>
  <si>
    <t>Complete all other income worksheets to determine 'Total Qualifying Income'
from all other sources prior to completing this worksheet.</t>
  </si>
  <si>
    <t>(Confirm this figure matches total income from all other qualifying income sources)</t>
  </si>
  <si>
    <t xml:space="preserve"> Income:</t>
  </si>
  <si>
    <t xml:space="preserve"> (Alt+Enter for next line)</t>
  </si>
  <si>
    <t>Income Notes Needed</t>
  </si>
  <si>
    <t>Misc. Notes Needed</t>
  </si>
  <si>
    <t>Asset Notes Needed</t>
  </si>
  <si>
    <t>Credit Notes Needed</t>
  </si>
  <si>
    <r>
      <rPr>
        <b/>
        <sz val="11"/>
        <rFont val="Calibri"/>
        <family val="2"/>
        <scheme val="minor"/>
      </rPr>
      <t>Notes are required in all sections for ratios on the I&amp;D Worksheet</t>
    </r>
    <r>
      <rPr>
        <sz val="11"/>
        <rFont val="Calibri"/>
        <family val="2"/>
        <scheme val="minor"/>
      </rPr>
      <t xml:space="preserve">
</t>
    </r>
    <r>
      <rPr>
        <b/>
        <sz val="10"/>
        <rFont val="Calibri"/>
        <family val="2"/>
        <scheme val="minor"/>
      </rPr>
      <t>(If there are no additional notes for 1 or more sections, you must still enter something such as "see notes in other sections")</t>
    </r>
  </si>
  <si>
    <t>30% of Income Calc.</t>
  </si>
  <si>
    <t>One Year Tax Returns Only</t>
  </si>
  <si>
    <t>Rent Payment Amount? (Verified)</t>
  </si>
  <si>
    <t>Rent Payment
Amount? (Verified)</t>
  </si>
  <si>
    <t xml:space="preserve">              -  Select to 
                  use this 
               rent amount
</t>
  </si>
  <si>
    <t xml:space="preserve">  - 30% of Income Calc.</t>
  </si>
  <si>
    <r>
      <t xml:space="preserve">1. Hiding Worksheets: </t>
    </r>
    <r>
      <rPr>
        <sz val="11"/>
        <color theme="1"/>
        <rFont val="Calibri"/>
        <family val="2"/>
      </rPr>
      <t xml:space="preserve">Worksheets can be hidden/omitted by 
    clicking the 'Hide' or 'Omit &amp; Hide' button found at the top 
    left of each page.  Some sheets only have a 'Hide' button as 
    the data on the sheet does not carry to any other sheets, 
    while sheets that do have data that carries to the I&amp;D 
    Worksheet only have an 'Omit &amp; Hide' button; this is 
    because sheets that have data carrying forward should not 
    be hidden, and if they are the data will still carry forward 
    even thought the sheet is hidden unless the data is also 
    omitted.  The 'Omit &amp; Hide' button will automatically select 
    the 'Omit' check box on the worksheets while 
    simultaneously hiding it.  </t>
    </r>
    <r>
      <rPr>
        <b/>
        <sz val="10"/>
        <color theme="1"/>
        <rFont val="Calibri"/>
        <family val="2"/>
      </rPr>
      <t>(Fig 1.3)</t>
    </r>
    <r>
      <rPr>
        <sz val="11"/>
        <color theme="1"/>
        <rFont val="Calibri"/>
        <family val="2"/>
      </rPr>
      <t xml:space="preserve">
    If a worksheet is hidden it can be unhidden by clicking the    
    appropriate 'Add' button on the I&amp;D worksheet, unless the 
    Hidden sheet was a copy.  If a copy of a worksheet is 
    hidden, it must be unhidden following the 
    instructions below for Unhiding a worksheet.</t>
    </r>
  </si>
  <si>
    <t>insurance (current) if not included in mtg payment above</t>
  </si>
  <si>
    <t>taxes (current) if not included in mtg payment above</t>
  </si>
  <si>
    <t>FHA</t>
  </si>
  <si>
    <t>VA</t>
  </si>
  <si>
    <t>USDA</t>
  </si>
  <si>
    <t>Other</t>
  </si>
  <si>
    <t>Variable Income</t>
  </si>
  <si>
    <t>Meals and Entertainment Expenses:</t>
  </si>
  <si>
    <t>Schedule M-1, Line 4b</t>
  </si>
  <si>
    <t>Travel and Entertainment Expenses:</t>
  </si>
  <si>
    <t>Schedule M-1, Line 3b</t>
  </si>
  <si>
    <t>Schedule M-1, Line 5c</t>
  </si>
  <si>
    <t>For Conventional 
Select Fannie or Freddie</t>
  </si>
  <si>
    <t xml:space="preserve">a. </t>
  </si>
  <si>
    <t>Subtitle</t>
  </si>
  <si>
    <t>Title</t>
  </si>
  <si>
    <t>Drill Pay</t>
  </si>
  <si>
    <r>
      <rPr>
        <u/>
        <sz val="11"/>
        <color theme="1"/>
        <rFont val="Calibri"/>
        <family val="2"/>
        <scheme val="minor"/>
      </rPr>
      <t>Notes:</t>
    </r>
    <r>
      <rPr>
        <u/>
        <sz val="9"/>
        <color rgb="FF00B050"/>
        <rFont val="Calibri"/>
        <family val="2"/>
        <scheme val="minor"/>
      </rPr>
      <t xml:space="preserve"> </t>
    </r>
    <r>
      <rPr>
        <sz val="9"/>
        <color rgb="FF00B050"/>
        <rFont val="Calibri"/>
        <family val="2"/>
        <scheme val="minor"/>
      </rPr>
      <t xml:space="preserve"> (Alt+Enter for next line)</t>
    </r>
  </si>
  <si>
    <t>Rank</t>
  </si>
  <si>
    <t>Less than 2</t>
  </si>
  <si>
    <t>4 - 5</t>
  </si>
  <si>
    <t>6 - 7</t>
  </si>
  <si>
    <t>8 - 9</t>
  </si>
  <si>
    <t>10 - 11</t>
  </si>
  <si>
    <t>12 - 13</t>
  </si>
  <si>
    <t>14 - 15</t>
  </si>
  <si>
    <t>16 - 17</t>
  </si>
  <si>
    <t>18 - 19</t>
  </si>
  <si>
    <t>20 - 21</t>
  </si>
  <si>
    <t>22 - 23</t>
  </si>
  <si>
    <t>24 - 25</t>
  </si>
  <si>
    <t>26 - 27</t>
  </si>
  <si>
    <t>28 - 29</t>
  </si>
  <si>
    <t>30 - 31</t>
  </si>
  <si>
    <t>32 - 33</t>
  </si>
  <si>
    <t>34 - 35</t>
  </si>
  <si>
    <t>36 - 37</t>
  </si>
  <si>
    <t>38 - 39</t>
  </si>
  <si>
    <t>40 or more</t>
  </si>
  <si>
    <t>O-7</t>
  </si>
  <si>
    <t>O-6</t>
  </si>
  <si>
    <t>O-5</t>
  </si>
  <si>
    <t>O-4</t>
  </si>
  <si>
    <t>O-3</t>
  </si>
  <si>
    <t>O-2</t>
  </si>
  <si>
    <t>O-1</t>
  </si>
  <si>
    <t>O-3E</t>
  </si>
  <si>
    <t>O-2E</t>
  </si>
  <si>
    <t>O-1E</t>
  </si>
  <si>
    <t>W-5</t>
  </si>
  <si>
    <t>W-4</t>
  </si>
  <si>
    <t>W-3</t>
  </si>
  <si>
    <t>W-2</t>
  </si>
  <si>
    <t>W-1</t>
  </si>
  <si>
    <t>E-9</t>
  </si>
  <si>
    <t>E-8</t>
  </si>
  <si>
    <t>E-7</t>
  </si>
  <si>
    <t>E-6</t>
  </si>
  <si>
    <t>E-5</t>
  </si>
  <si>
    <t>E-4</t>
  </si>
  <si>
    <t>E-3</t>
  </si>
  <si>
    <t>E-2</t>
  </si>
  <si>
    <t>E-1</t>
  </si>
  <si>
    <r>
      <t xml:space="preserve">Ordinary Income/(Loss):  </t>
    </r>
    <r>
      <rPr>
        <sz val="9"/>
        <color rgb="FF00B050"/>
        <rFont val="Calibri"/>
        <family val="2"/>
        <scheme val="minor"/>
      </rPr>
      <t>Line 1</t>
    </r>
  </si>
  <si>
    <t>Military Service Information:</t>
  </si>
  <si>
    <t>Total Monthly Income   =</t>
  </si>
  <si>
    <t>Reserve &amp; National Guard Standard Drill Pay</t>
  </si>
  <si>
    <t>Data from this sheet is not auto feeding to the main page
and must be entered manually on the Income Summary Sheet.</t>
  </si>
  <si>
    <t>Per
month</t>
  </si>
  <si>
    <r>
      <t xml:space="preserve">Monthly Drill Pay Subtotal:  </t>
    </r>
    <r>
      <rPr>
        <sz val="9"/>
        <color theme="1"/>
        <rFont val="Calibri"/>
        <family val="2"/>
        <scheme val="minor"/>
      </rPr>
      <t>(Annual Drills + 2 weeks active pay / 12)</t>
    </r>
  </si>
  <si>
    <t>A.</t>
  </si>
  <si>
    <t>B.</t>
  </si>
  <si>
    <r>
      <t xml:space="preserve">Rank: </t>
    </r>
    <r>
      <rPr>
        <sz val="9"/>
        <color theme="1"/>
        <rFont val="Calibri"/>
        <family val="2"/>
        <scheme val="minor"/>
      </rPr>
      <t xml:space="preserve"> </t>
    </r>
    <r>
      <rPr>
        <sz val="9"/>
        <color rgb="FF00B050"/>
        <rFont val="Calibri"/>
        <family val="2"/>
        <scheme val="minor"/>
      </rPr>
      <t>From line item labeled "GRADE" on Borrower's LES</t>
    </r>
  </si>
  <si>
    <r>
      <t>Years of service:</t>
    </r>
    <r>
      <rPr>
        <sz val="9"/>
        <color rgb="FF00B050"/>
        <rFont val="Calibri"/>
        <family val="2"/>
        <scheme val="minor"/>
      </rPr>
      <t xml:space="preserve">  From Line Item labeled "YRS SVC" on Borrower's LES</t>
    </r>
  </si>
  <si>
    <t>(Enter Monthly amount if using)</t>
  </si>
  <si>
    <r>
      <t xml:space="preserve">Other: Drill Pay, Residual Income, </t>
    </r>
    <r>
      <rPr>
        <b/>
        <sz val="11"/>
        <color theme="1"/>
        <rFont val="Calibri"/>
        <family val="2"/>
        <scheme val="minor"/>
      </rPr>
      <t xml:space="preserve">Household Income, </t>
    </r>
    <r>
      <rPr>
        <b/>
        <sz val="12"/>
        <color theme="1"/>
        <rFont val="Calibri"/>
        <family val="2"/>
        <scheme val="minor"/>
      </rPr>
      <t xml:space="preserve">Employment History, Business Liquidity, </t>
    </r>
  </si>
  <si>
    <t>Data from this sheet is not auto feeding to the main page (Inc. and Debt wkst) due to tab name change or a copy of this wkst was made</t>
  </si>
  <si>
    <t>- RSU Income (2)</t>
  </si>
  <si>
    <t>- RSU Income</t>
  </si>
  <si>
    <t>- Assets as Income (4)</t>
  </si>
  <si>
    <t>- Assets as Income (2)</t>
  </si>
  <si>
    <t>- Assets as Income (3)</t>
  </si>
  <si>
    <t>- Assets as Income</t>
  </si>
  <si>
    <t>- Additional Properties</t>
  </si>
  <si>
    <t>- Additional Properties (2)</t>
  </si>
  <si>
    <t>- Additional Properties (3)</t>
  </si>
  <si>
    <t>- Additional Properties (4)</t>
  </si>
  <si>
    <t>- RSU Income (3)</t>
  </si>
  <si>
    <t>Additional Properties</t>
  </si>
  <si>
    <t>- Inv. Purchase or Refi</t>
  </si>
  <si>
    <t>The Credit Report has reached/past 120 days; double check credit expiration and address as needed.</t>
  </si>
  <si>
    <r>
      <t>Monthly BAH pay</t>
    </r>
    <r>
      <rPr>
        <sz val="9"/>
        <color rgb="FF00B050"/>
        <rFont val="Calibri"/>
        <family val="2"/>
        <scheme val="minor"/>
      </rPr>
      <t xml:space="preserve">  Not Required (Must confirm receipt to use)</t>
    </r>
  </si>
  <si>
    <t>Income Exp. &amp; Avg, W2</t>
  </si>
  <si>
    <t>Use Approved Vendors calculation worksheets;
Only enter their final values below.</t>
  </si>
  <si>
    <t>Use Approved Vendors calculation worksheets;
only enter their final values below.</t>
  </si>
  <si>
    <r>
      <rPr>
        <b/>
        <u/>
        <sz val="9"/>
        <color theme="0"/>
        <rFont val="Calibri"/>
        <family val="2"/>
        <scheme val="minor"/>
      </rPr>
      <t>User Instruction</t>
    </r>
    <r>
      <rPr>
        <b/>
        <sz val="9"/>
        <color theme="0"/>
        <rFont val="Calibri"/>
        <family val="2"/>
        <scheme val="minor"/>
      </rPr>
      <t>:  Complete the highlighted fields 
below per Approved Vendors calculation worksheets.</t>
    </r>
  </si>
  <si>
    <r>
      <rPr>
        <b/>
        <u/>
        <sz val="9"/>
        <color theme="0"/>
        <rFont val="Calibri"/>
        <family val="2"/>
        <scheme val="minor"/>
      </rPr>
      <t>User Instruction:</t>
    </r>
    <r>
      <rPr>
        <b/>
        <sz val="9"/>
        <color theme="0"/>
        <rFont val="Calibri"/>
        <family val="2"/>
        <scheme val="minor"/>
      </rPr>
      <t xml:space="preserve">  Complete the highlighted fields below
per Vendors wkst, and the P&amp;L Analysis worksheet as needed</t>
    </r>
  </si>
  <si>
    <r>
      <rPr>
        <b/>
        <u/>
        <sz val="10"/>
        <color theme="0"/>
        <rFont val="Calibri"/>
        <family val="2"/>
        <scheme val="minor"/>
      </rPr>
      <t>User Instruction:</t>
    </r>
    <r>
      <rPr>
        <b/>
        <sz val="10"/>
        <color theme="0"/>
        <rFont val="Calibri"/>
        <family val="2"/>
        <scheme val="minor"/>
      </rPr>
      <t xml:space="preserve">  </t>
    </r>
    <r>
      <rPr>
        <b/>
        <sz val="9"/>
        <color theme="0"/>
        <rFont val="Calibri"/>
        <family val="2"/>
        <scheme val="minor"/>
      </rPr>
      <t>Complete the highlighted fields below
per Vendors wkst, and the P&amp;L Analysis worksheet as needed.</t>
    </r>
  </si>
  <si>
    <r>
      <t xml:space="preserve">Pass-through Income from other Partnerships: </t>
    </r>
    <r>
      <rPr>
        <sz val="9"/>
        <color rgb="FF00B050"/>
        <rFont val="Calibri"/>
        <family val="2"/>
        <scheme val="minor"/>
      </rPr>
      <t>Line 4****</t>
    </r>
  </si>
  <si>
    <t xml:space="preserve">*Rent leases can be used if the property was obtained subsequent to the most recent tax year or if obtained prior to the most recent </t>
  </si>
  <si>
    <t xml:space="preserve">  tax filing but was not in service for the previous year (except VA and USDA); or if it is a departure residence. </t>
  </si>
  <si>
    <t xml:space="preserve">    rental agreement, when there is Limited or No history of rental income (such as a departing residence).</t>
  </si>
  <si>
    <r>
      <t xml:space="preserve">**FHA requires you enter the </t>
    </r>
    <r>
      <rPr>
        <u/>
        <sz val="11"/>
        <color theme="1"/>
        <rFont val="Calibri"/>
        <family val="2"/>
        <scheme val="minor"/>
      </rPr>
      <t>lesser of</t>
    </r>
    <r>
      <rPr>
        <sz val="11"/>
        <color theme="1"/>
        <rFont val="Calibri"/>
        <family val="2"/>
        <scheme val="minor"/>
      </rPr>
      <t xml:space="preserve"> 1. Fair market rent reported by the appraiser; or 2. The rent reflected on the lease or other</t>
    </r>
  </si>
  <si>
    <t>One Year Tax Returns Only
Approved Vendor Override</t>
  </si>
  <si>
    <t>Required for Conventional loans:</t>
  </si>
  <si>
    <t xml:space="preserve">1. Select Fannie or Freddie: </t>
  </si>
  <si>
    <t xml:space="preserve">  to be non-recurring can be added back.  Include receipts/documentation for these expenses in the file.</t>
  </si>
  <si>
    <r>
      <t xml:space="preserve">  on line 19</t>
    </r>
    <r>
      <rPr>
        <b/>
        <sz val="11"/>
        <color theme="1"/>
        <rFont val="Calibri"/>
        <family val="2"/>
        <scheme val="minor"/>
      </rPr>
      <t xml:space="preserve"> (Do not just add back the entire amount indicated on line 19) </t>
    </r>
    <r>
      <rPr>
        <b/>
        <sz val="11"/>
        <color theme="1"/>
        <rFont val="Calibri"/>
        <family val="2"/>
      </rPr>
      <t>¹</t>
    </r>
    <r>
      <rPr>
        <sz val="11"/>
        <color theme="1"/>
        <rFont val="Calibri"/>
        <family val="2"/>
        <scheme val="minor"/>
      </rPr>
      <t xml:space="preserve">.  Additionally, one time expenses that can be determined </t>
    </r>
  </si>
  <si>
    <r>
      <t>Allowed Monthly Rental Income/(Loss)</t>
    </r>
    <r>
      <rPr>
        <sz val="9"/>
        <color rgb="FF00B050"/>
        <rFont val="Calibri"/>
        <family val="2"/>
        <scheme val="minor"/>
      </rPr>
      <t xml:space="preserve">  Based on loan type, requirements, &amp; limits (using PITIA in line 14)</t>
    </r>
  </si>
  <si>
    <t>*Select the applicable Business Type above*</t>
  </si>
  <si>
    <t>Base Pay</t>
  </si>
  <si>
    <t>1. Enter Borrower Job Start Date, and most recent Pay Period End Date:</t>
  </si>
  <si>
    <t>Job Start Date:</t>
  </si>
  <si>
    <t>2. Check here if a 10 or 9 month Employee, otherwise leave unchecked:</t>
  </si>
  <si>
    <t>3. Required on Conventional Loans  -  Select Fannie or Freddie:</t>
  </si>
  <si>
    <t>Continued from Page 2</t>
  </si>
  <si>
    <t>- Most recent pay period start date:</t>
  </si>
  <si>
    <t>Dates:</t>
  </si>
  <si>
    <t>- Job Start Date:</t>
  </si>
  <si>
    <t>Manual Date Entry</t>
  </si>
  <si>
    <t>Verified with paystub, wvoe, ledger...</t>
  </si>
  <si>
    <t>from entries</t>
  </si>
  <si>
    <t>Total Pay Periods</t>
  </si>
  <si>
    <t>Year Frac</t>
  </si>
  <si>
    <t>Year Frac in mo.</t>
  </si>
  <si>
    <t>For Limited data only</t>
  </si>
  <si>
    <t>Percentage of total entered=</t>
  </si>
  <si>
    <t>%=</t>
  </si>
  <si>
    <t>Avg hours=</t>
  </si>
  <si>
    <t>Avg Hours=</t>
  </si>
  <si>
    <t xml:space="preserve"> Year to Year Average hours per Month Comparison:</t>
  </si>
  <si>
    <t xml:space="preserve"> Calculated Monthly Income for Qualifying:</t>
  </si>
  <si>
    <t>Auto Dates</t>
  </si>
  <si>
    <t>Manual Dates</t>
  </si>
  <si>
    <t>min -</t>
  </si>
  <si>
    <t>Full 12 mo history of receipt?</t>
  </si>
  <si>
    <r>
      <t xml:space="preserve"> </t>
    </r>
    <r>
      <rPr>
        <b/>
        <sz val="11"/>
        <color theme="1"/>
        <rFont val="Calibri"/>
        <family val="2"/>
        <scheme val="minor"/>
      </rPr>
      <t xml:space="preserve"> You are not required to enter UPE's or UBE's on this wkst for Fannie Mae Loans.</t>
    </r>
  </si>
  <si>
    <r>
      <rPr>
        <u/>
        <sz val="8.5"/>
        <color theme="0"/>
        <rFont val="Calibri"/>
        <family val="2"/>
        <scheme val="minor"/>
      </rPr>
      <t>User Instruction:</t>
    </r>
    <r>
      <rPr>
        <sz val="8.5"/>
        <color theme="0"/>
        <rFont val="Calibri"/>
        <family val="2"/>
        <scheme val="minor"/>
      </rPr>
      <t xml:space="preserve">  Complete the highlighted fields below
per Vendors wkst, and the P&amp;L Analysis worksheet as needed.</t>
    </r>
  </si>
  <si>
    <t>Business Income 1065 or 1120S</t>
  </si>
  <si>
    <t>- Variable with Increase</t>
  </si>
  <si>
    <t>Variable Pay with Increase</t>
  </si>
  <si>
    <t>b. Enter result from 'Business  Liquidity' wkst test (Pass or Fail)</t>
  </si>
  <si>
    <r>
      <rPr>
        <b/>
        <sz val="10"/>
        <color rgb="FF00B050"/>
        <rFont val="Calibri"/>
        <family val="2"/>
        <scheme val="minor"/>
      </rPr>
      <t>a. Complete a 'Business Liquidity' test wkst, Enter this amount on Test 1, Line 1:</t>
    </r>
    <r>
      <rPr>
        <b/>
        <sz val="11"/>
        <color rgb="FF00B050"/>
        <rFont val="Calibri"/>
        <family val="2"/>
        <scheme val="minor"/>
      </rPr>
      <t xml:space="preserve">
</t>
    </r>
    <r>
      <rPr>
        <sz val="9"/>
        <color rgb="FF00B050"/>
        <rFont val="Calibri"/>
        <family val="2"/>
        <scheme val="minor"/>
      </rPr>
      <t xml:space="preserve">     (Most recent filed returns Adjusted Business Income Excluding W2 income)</t>
    </r>
  </si>
  <si>
    <t>Conventional Only</t>
  </si>
  <si>
    <t>1. Select Loan type  (Fannie or Freddie):</t>
  </si>
  <si>
    <t>Data from this sheet is not auto feeding and 
must be entered manually on the Summary Sheet.</t>
  </si>
  <si>
    <r>
      <rPr>
        <b/>
        <sz val="10"/>
        <color rgb="FF00B050"/>
        <rFont val="Calibri"/>
        <family val="2"/>
        <scheme val="minor"/>
      </rPr>
      <t>a. Complete a 'Business Liquidity' test wkst, Enter this amount on Test 1, Line 1:</t>
    </r>
    <r>
      <rPr>
        <b/>
        <sz val="12"/>
        <color rgb="FF00B050"/>
        <rFont val="Calibri"/>
        <family val="2"/>
        <scheme val="minor"/>
      </rPr>
      <t xml:space="preserve">
</t>
    </r>
    <r>
      <rPr>
        <sz val="9"/>
        <color rgb="FF00B050"/>
        <rFont val="Calibri"/>
        <family val="2"/>
        <scheme val="minor"/>
      </rPr>
      <t xml:space="preserve">     (Most recent filed returns Adjusted Business Income Excluding W2 &amp; Guaranteed Payments)</t>
    </r>
  </si>
  <si>
    <t>Distribution/Liquidity test required for + Income on Conventional:</t>
  </si>
  <si>
    <r>
      <t xml:space="preserve">Calculated Business Income: </t>
    </r>
    <r>
      <rPr>
        <b/>
        <sz val="9"/>
        <color rgb="FF00B050"/>
        <rFont val="Calibri"/>
        <family val="2"/>
        <scheme val="minor"/>
      </rPr>
      <t>1065 wkst - Line 21     or,    1120S wkst - Line 19</t>
    </r>
    <r>
      <rPr>
        <sz val="12"/>
        <color theme="1"/>
        <rFont val="Calibri"/>
        <family val="2"/>
        <scheme val="minor"/>
      </rPr>
      <t xml:space="preserve">
</t>
    </r>
    <r>
      <rPr>
        <sz val="9"/>
        <color rgb="FF00B050"/>
        <rFont val="Calibri"/>
        <family val="2"/>
        <scheme val="minor"/>
      </rPr>
      <t xml:space="preserve">   (Most recent filed returns calculated Adjusted Business Income Excluding W2 &amp; Guaranteed Payments)</t>
    </r>
  </si>
  <si>
    <t xml:space="preserve">  confirmed and documented that they regularly roll over.</t>
  </si>
  <si>
    <t xml:space="preserve">Income &amp; Debt Worksheet </t>
  </si>
  <si>
    <r>
      <rPr>
        <b/>
        <sz val="10"/>
        <color theme="1"/>
        <rFont val="Calibri"/>
        <family val="2"/>
        <scheme val="minor"/>
      </rPr>
      <t>Note:</t>
    </r>
    <r>
      <rPr>
        <b/>
        <sz val="9"/>
        <color theme="1"/>
        <rFont val="Calibri"/>
        <family val="2"/>
        <scheme val="minor"/>
      </rPr>
      <t xml:space="preserve">  This sheet is for Variable income with a documented increase only. If there is no documented pay increase, use the ‘Income Averager’ worksheet and average per agency guidelines instead.</t>
    </r>
  </si>
  <si>
    <r>
      <t xml:space="preserve">UPE's and UBE's: </t>
    </r>
    <r>
      <rPr>
        <b/>
        <sz val="10"/>
        <color rgb="FF00B050"/>
        <rFont val="Calibri"/>
        <family val="2"/>
        <scheme val="minor"/>
      </rPr>
      <t>(N/A for Fannie)</t>
    </r>
    <r>
      <rPr>
        <sz val="12"/>
        <color theme="1"/>
        <rFont val="Calibri"/>
        <family val="2"/>
        <scheme val="minor"/>
      </rPr>
      <t xml:space="preserve"> </t>
    </r>
    <r>
      <rPr>
        <sz val="9"/>
        <color rgb="FF00B050"/>
        <rFont val="Calibri"/>
        <family val="2"/>
        <scheme val="minor"/>
      </rPr>
      <t>Schedule E, Part II, Box 28 (match up EIN's)*</t>
    </r>
  </si>
  <si>
    <r>
      <t xml:space="preserve">UPE's/UBE's: </t>
    </r>
    <r>
      <rPr>
        <sz val="10"/>
        <color theme="1"/>
        <rFont val="Calibri"/>
        <family val="2"/>
        <scheme val="minor"/>
      </rPr>
      <t xml:space="preserve"> </t>
    </r>
    <r>
      <rPr>
        <b/>
        <sz val="10"/>
        <color rgb="FF00B050"/>
        <rFont val="Calibri"/>
        <family val="2"/>
        <scheme val="minor"/>
      </rPr>
      <t>(N/A for Fannie)</t>
    </r>
    <r>
      <rPr>
        <sz val="12"/>
        <color rgb="FF00B050"/>
        <rFont val="Calibri"/>
        <family val="2"/>
        <scheme val="minor"/>
      </rPr>
      <t xml:space="preserve">  </t>
    </r>
    <r>
      <rPr>
        <sz val="9"/>
        <color rgb="FF00B050"/>
        <rFont val="Calibri"/>
        <family val="2"/>
        <scheme val="minor"/>
      </rPr>
      <t>Sch E, Part II, Box 28 (match up EIN's)*</t>
    </r>
  </si>
  <si>
    <r>
      <t xml:space="preserve">)        </t>
    </r>
    <r>
      <rPr>
        <b/>
        <sz val="11"/>
        <color theme="1"/>
        <rFont val="Calibri"/>
        <family val="2"/>
        <scheme val="minor"/>
      </rPr>
      <t xml:space="preserve"> </t>
    </r>
    <r>
      <rPr>
        <b/>
        <sz val="12"/>
        <color theme="1"/>
        <rFont val="Calibri"/>
        <family val="2"/>
        <scheme val="minor"/>
      </rPr>
      <t xml:space="preserve">    (</t>
    </r>
  </si>
  <si>
    <t>)             (</t>
  </si>
  <si>
    <r>
      <t xml:space="preserve">)        </t>
    </r>
    <r>
      <rPr>
        <b/>
        <sz val="11"/>
        <color theme="1"/>
        <rFont val="Calibri"/>
        <family val="2"/>
        <scheme val="minor"/>
      </rPr>
      <t xml:space="preserve">   </t>
    </r>
    <r>
      <rPr>
        <b/>
        <sz val="12"/>
        <color theme="1"/>
        <rFont val="Calibri"/>
        <family val="2"/>
        <scheme val="minor"/>
      </rPr>
      <t xml:space="preserve">   (</t>
    </r>
  </si>
  <si>
    <t>)              (</t>
  </si>
  <si>
    <t>Primary with Rental Income</t>
  </si>
  <si>
    <r>
      <rPr>
        <b/>
        <u/>
        <sz val="9"/>
        <color theme="0"/>
        <rFont val="Calibri"/>
        <family val="2"/>
        <scheme val="minor"/>
      </rPr>
      <t>User Instruction:</t>
    </r>
    <r>
      <rPr>
        <b/>
        <sz val="9"/>
        <color theme="0"/>
        <rFont val="Calibri"/>
        <family val="2"/>
        <scheme val="minor"/>
      </rPr>
      <t xml:space="preserve">  Complete the highlighted fields below
per Vendors wkst, and the P&amp;L worksheet as needed.</t>
    </r>
  </si>
  <si>
    <t>FHA: ADU</t>
  </si>
  <si>
    <t>Do not include dividends derived from Self-Employment 
businesses as they are already included in the business income.</t>
  </si>
  <si>
    <r>
      <t xml:space="preserve">Taxable Income:  </t>
    </r>
    <r>
      <rPr>
        <sz val="9"/>
        <color rgb="FF00B050"/>
        <rFont val="Calibri"/>
        <family val="2"/>
        <scheme val="minor"/>
      </rPr>
      <t>Line 30   (Included dividends paid to borrower)</t>
    </r>
  </si>
  <si>
    <t>Primary w/ Rental Income</t>
  </si>
  <si>
    <t>Owner Multi-Unit/ADU</t>
  </si>
  <si>
    <t>- 30% of Income Calc.</t>
  </si>
  <si>
    <t xml:space="preserve"> Multi-Unit / ADU</t>
  </si>
  <si>
    <t>Enter 200 day Stock Price Average:</t>
  </si>
  <si>
    <t>Owner: Multi-Unit/ADU</t>
  </si>
  <si>
    <t>Number of months received?</t>
  </si>
  <si>
    <t>Mortgage Director, Business Account, &amp; UW Requirements:</t>
  </si>
  <si>
    <t>- Primary with Rent inc.</t>
  </si>
  <si>
    <t>- Primary with Rent inc. (2)</t>
  </si>
  <si>
    <t>Primary with Rent inc.</t>
  </si>
  <si>
    <t>Primary with Rent inc. (2)</t>
  </si>
  <si>
    <t xml:space="preserve">  - Primary with Rental Income</t>
  </si>
  <si>
    <r>
      <t xml:space="preserve">Distributions:  </t>
    </r>
    <r>
      <rPr>
        <sz val="9"/>
        <color rgb="FF00B050"/>
        <rFont val="Calibri"/>
        <family val="2"/>
        <scheme val="minor"/>
      </rPr>
      <t>1065 -  K1, Line 19, Code A amount*</t>
    </r>
    <r>
      <rPr>
        <sz val="12"/>
        <color theme="1"/>
        <rFont val="Calibri"/>
        <family val="2"/>
        <scheme val="minor"/>
      </rPr>
      <t xml:space="preserve"> </t>
    </r>
    <r>
      <rPr>
        <sz val="9"/>
        <color rgb="FF00B050"/>
        <rFont val="Calibri"/>
        <family val="2"/>
        <scheme val="minor"/>
      </rPr>
      <t>(for cash distributions)</t>
    </r>
    <r>
      <rPr>
        <sz val="12"/>
        <color theme="1"/>
        <rFont val="Calibri"/>
        <family val="2"/>
        <scheme val="minor"/>
      </rPr>
      <t xml:space="preserve"> </t>
    </r>
    <r>
      <rPr>
        <sz val="9"/>
        <color rgb="FF00B050"/>
        <rFont val="Calibri"/>
        <family val="2"/>
        <scheme val="minor"/>
      </rPr>
      <t>or,</t>
    </r>
  </si>
  <si>
    <t xml:space="preserve">                                    1120S - K1, Line 16, Code D amount* (for cash distributions)</t>
  </si>
  <si>
    <r>
      <t xml:space="preserve">c. If Failing, can enter K1 Distributions  </t>
    </r>
    <r>
      <rPr>
        <b/>
        <sz val="9"/>
        <color rgb="FF00B050"/>
        <rFont val="Calibri"/>
        <family val="2"/>
        <scheme val="minor"/>
      </rPr>
      <t>(K1, Line 16, Code D amount)</t>
    </r>
  </si>
  <si>
    <r>
      <t>c. If Failing, can enter K1 Distributions</t>
    </r>
    <r>
      <rPr>
        <b/>
        <sz val="9"/>
        <color rgb="FF00B050"/>
        <rFont val="Calibri"/>
        <family val="2"/>
        <scheme val="minor"/>
      </rPr>
      <t xml:space="preserve">  (K1, Line 19, Code A amount)</t>
    </r>
  </si>
  <si>
    <r>
      <t xml:space="preserve">% Ownership in Business: </t>
    </r>
    <r>
      <rPr>
        <sz val="9"/>
        <color rgb="FF00B050"/>
        <rFont val="Calibri"/>
        <family val="2"/>
        <scheme val="minor"/>
      </rPr>
      <t>Schedule K-1, Part II, Section G
                                                               (Pre 2021 - Schedule K-1, Part II, F)</t>
    </r>
  </si>
  <si>
    <r>
      <rPr>
        <b/>
        <sz val="9"/>
        <color theme="0"/>
        <rFont val="Calibri"/>
        <family val="2"/>
        <scheme val="minor"/>
      </rPr>
      <t xml:space="preserve">Required: </t>
    </r>
    <r>
      <rPr>
        <sz val="9"/>
        <color theme="0"/>
        <rFont val="Calibri"/>
        <family val="2"/>
        <scheme val="minor"/>
      </rPr>
      <t xml:space="preserve">When income is positive from K-1 and 1065 adjustments,
use the 'Business Liquidity' worksheet to either show that the income was distributed </t>
    </r>
    <r>
      <rPr>
        <u val="singleAccounting"/>
        <sz val="9"/>
        <color theme="0"/>
        <rFont val="Calibri"/>
        <family val="2"/>
        <scheme val="minor"/>
      </rPr>
      <t>or</t>
    </r>
    <r>
      <rPr>
        <sz val="9"/>
        <color theme="0"/>
        <rFont val="Calibri"/>
        <family val="2"/>
        <scheme val="minor"/>
      </rPr>
      <t xml:space="preserve"> to complete a liquidity test as required. (Any ownership %)</t>
    </r>
  </si>
  <si>
    <r>
      <rPr>
        <b/>
        <sz val="9"/>
        <color theme="0"/>
        <rFont val="Calibri"/>
        <family val="2"/>
        <scheme val="minor"/>
      </rPr>
      <t>Required:</t>
    </r>
    <r>
      <rPr>
        <sz val="9"/>
        <color theme="0"/>
        <rFont val="Calibri"/>
        <family val="2"/>
        <scheme val="minor"/>
      </rPr>
      <t xml:space="preserve"> When income is positive from K-1 and 1120S adjustments, 
use the 'Business Liquidity' worksheet to either show that the income
was distributed or to complete a liquidity test as required. (Any Ownership %)</t>
    </r>
  </si>
  <si>
    <t>Adding &amp; Accessing Worksheets</t>
  </si>
  <si>
    <t>Starting and Enabling the Workbook</t>
  </si>
  <si>
    <t>*If the Buttons in the Workbook are not working correctly, refer to the 'Starting and Enabling the Workbook' section above*</t>
  </si>
  <si>
    <t>*If the Buttons are not working correctly - Make sure the workbook is 'Trusted' and 'Enabled' as described above, 
check the 'Display' settings as described below, and make sure your Computer and Excel are up to date*</t>
  </si>
  <si>
    <t xml:space="preserve">
Fig 0.7</t>
  </si>
  <si>
    <t>1. There are multiple worksheets that can be accessed in the workbook. Start on the I&amp;D Worksheet by clicking the 
    'Home' bottom, the 'Click Here to get Started' button, or 'I&amp;D Worksheet' tab and select which worksheets you would 
     like to add.  This will add a tab for the desired worksheet along the bottom of the workbook.  Click 'View/Go' button 
     or on the tab of the desired tab to access that worksheet.  See the 'How-to/Tips' section below for more details.</t>
  </si>
  <si>
    <r>
      <t xml:space="preserve">
Fig 0.5
</t>
    </r>
    <r>
      <rPr>
        <b/>
        <sz val="8"/>
        <color theme="1"/>
        <rFont val="Calibri"/>
        <family val="2"/>
        <scheme val="minor"/>
      </rPr>
      <t xml:space="preserve">
</t>
    </r>
    <r>
      <rPr>
        <b/>
        <sz val="10"/>
        <color theme="1"/>
        <rFont val="Calibri"/>
        <family val="2"/>
        <scheme val="minor"/>
      </rPr>
      <t xml:space="preserve">
Fig 0.6</t>
    </r>
  </si>
  <si>
    <r>
      <t xml:space="preserve">
   You will also need to click 'Enable Content' at the top of the 
   workbook. If any other Enable or Trust notices appear, please 
   accept.</t>
    </r>
    <r>
      <rPr>
        <b/>
        <sz val="10"/>
        <color theme="1"/>
        <rFont val="Calibri"/>
        <family val="2"/>
      </rPr>
      <t xml:space="preserve"> (Fig 0.3)
    </t>
    </r>
    <r>
      <rPr>
        <b/>
        <sz val="11"/>
        <color theme="1"/>
        <rFont val="Calibri"/>
        <family val="2"/>
      </rPr>
      <t>If preferred, You may also want to turn off auto save.</t>
    </r>
    <r>
      <rPr>
        <b/>
        <sz val="10"/>
        <color theme="1"/>
        <rFont val="Calibri"/>
        <family val="2"/>
      </rPr>
      <t xml:space="preserve"> (Fig 0.4)</t>
    </r>
    <r>
      <rPr>
        <b/>
        <sz val="11"/>
        <color theme="1"/>
        <rFont val="Calibri"/>
        <family val="2"/>
      </rPr>
      <t xml:space="preserve">
   Once Fully Trusted and Enabled, be sure to Resave your
   copy, and then these setting will remain intact on this copy.</t>
    </r>
  </si>
  <si>
    <r>
      <t xml:space="preserve">2. Fix button issues with the display settings: 
 </t>
    </r>
    <r>
      <rPr>
        <sz val="11"/>
        <rFont val="Calibri"/>
        <family val="2"/>
      </rPr>
      <t xml:space="preserve">  If you are having issues with the buttons not working you
   may need to change your display setting from  
   'Optimize for best appearance' to 'Optimize for 
   compatibility'.  There are 2 possible options for this:
</t>
    </r>
    <r>
      <rPr>
        <sz val="8"/>
        <rFont val="Calibri"/>
        <family val="2"/>
      </rPr>
      <t xml:space="preserve">
   </t>
    </r>
    <r>
      <rPr>
        <sz val="11"/>
        <rFont val="Calibri"/>
        <family val="2"/>
      </rPr>
      <t xml:space="preserve">Option 1 (if available): at the bottom right of the screen, 
   if it shows "Display Settings" you can check it by clicking 
   here and selected to "Optimize for Compatibility"  This will 
   require you to save and restart excel, and should fix any 
   button issues. </t>
    </r>
    <r>
      <rPr>
        <b/>
        <sz val="10"/>
        <rFont val="Calibri"/>
        <family val="2"/>
      </rPr>
      <t>(Fig 0.5)</t>
    </r>
    <r>
      <rPr>
        <b/>
        <sz val="11"/>
        <rFont val="Calibri"/>
        <family val="2"/>
      </rPr>
      <t xml:space="preserve">
</t>
    </r>
  </si>
  <si>
    <r>
      <rPr>
        <sz val="11"/>
        <rFont val="Calibri"/>
        <family val="2"/>
      </rPr>
      <t xml:space="preserve">   Option 2, Go to File, Options, General,
   User Interface options, and select Optimize for
   Compatibility.  This will require you to save and restart excel,
   and should fix any button issues.  You can also make sure your
   computer is up to date, and that you are opening the
   from a saved place on your computer or desktop, and not 
   directly from an email attachment or link.  </t>
    </r>
    <r>
      <rPr>
        <b/>
        <sz val="10"/>
        <rFont val="Calibri"/>
        <family val="2"/>
      </rPr>
      <t>(Fig 0.6)</t>
    </r>
    <r>
      <rPr>
        <b/>
        <sz val="11"/>
        <rFont val="Calibri"/>
        <family val="2"/>
      </rPr>
      <t xml:space="preserve">
</t>
    </r>
  </si>
  <si>
    <r>
      <t xml:space="preserve">*If you have completed the above steps and only the 
'Add' buttons are not working correctly, try the below:
</t>
    </r>
    <r>
      <rPr>
        <b/>
        <sz val="8"/>
        <color rgb="FFC00000"/>
        <rFont val="Calibri"/>
        <family val="2"/>
      </rPr>
      <t xml:space="preserve">
</t>
    </r>
    <r>
      <rPr>
        <b/>
        <sz val="11"/>
        <color rgb="FFC00000"/>
        <rFont val="Calibri"/>
        <family val="2"/>
      </rPr>
      <t xml:space="preserve">Double click it quickly, After clicking the 'Add' button press
the space bar, Right click and then click again, Press the 'Esc' 
button on your keyboard and then click again...
</t>
    </r>
    <r>
      <rPr>
        <b/>
        <sz val="8"/>
        <color rgb="FFC00000"/>
        <rFont val="Calibri"/>
        <family val="2"/>
      </rPr>
      <t xml:space="preserve">
</t>
    </r>
    <r>
      <rPr>
        <b/>
        <sz val="11"/>
        <color rgb="FFC00000"/>
        <rFont val="Calibri"/>
        <family val="2"/>
      </rPr>
      <t xml:space="preserve">*You can also add sheets with the 'View/Go' buttons </t>
    </r>
    <r>
      <rPr>
        <b/>
        <sz val="10"/>
        <color rgb="FFC00000"/>
        <rFont val="Calibri"/>
        <family val="2"/>
      </rPr>
      <t>(Fig 1.1),</t>
    </r>
    <r>
      <rPr>
        <b/>
        <sz val="11"/>
        <color rgb="FFC00000"/>
        <rFont val="Calibri"/>
        <family val="2"/>
      </rPr>
      <t xml:space="preserve">
or Manually by right clicking on the tab of the wkst you are currently on at the bottom of the workbook and selecting the unhide option, then select the desired worksheet from the list to un-hide.</t>
    </r>
    <r>
      <rPr>
        <b/>
        <sz val="10"/>
        <color rgb="FFC00000"/>
        <rFont val="Calibri"/>
        <family val="2"/>
      </rPr>
      <t xml:space="preserve"> (Fig 0.7)</t>
    </r>
  </si>
  <si>
    <t>Result:</t>
  </si>
  <si>
    <t>(9 mo) Hourly*</t>
  </si>
  <si>
    <t>(9 mo) Weekly*</t>
  </si>
  <si>
    <t>(9 mo) Bi-weekly*</t>
  </si>
  <si>
    <t>(9 mo) Semi-monthly*</t>
  </si>
  <si>
    <t>(9 mo) Monthly*</t>
  </si>
  <si>
    <t>*Data from this sheet is not auto feeding to the main page 
and must be entered manually on the Summary sheet.</t>
  </si>
  <si>
    <t>*Data from this sheet is not auto feeding to the main page 
and must be entered manually on the Expert or Summary sheet.</t>
  </si>
  <si>
    <r>
      <t xml:space="preserve">Meals and Entertainment Expenses: </t>
    </r>
    <r>
      <rPr>
        <sz val="9"/>
        <color rgb="FF00B050"/>
        <rFont val="Calibri"/>
        <family val="2"/>
        <scheme val="minor"/>
      </rPr>
      <t xml:space="preserve"> Line 24b</t>
    </r>
  </si>
  <si>
    <t>Most recent
Filed Year</t>
  </si>
  <si>
    <t>1099's</t>
  </si>
  <si>
    <t>Paystubs / Receipt</t>
  </si>
  <si>
    <t xml:space="preserve">Business Expenses </t>
  </si>
  <si>
    <r>
      <t xml:space="preserve">Total Expenses:  </t>
    </r>
    <r>
      <rPr>
        <sz val="10"/>
        <color rgb="FF00B050"/>
        <rFont val="Calibri"/>
        <family val="2"/>
        <scheme val="minor"/>
      </rPr>
      <t>Line 28</t>
    </r>
  </si>
  <si>
    <t>Total Expenses excluding non-cash deductions</t>
  </si>
  <si>
    <t>g.</t>
  </si>
  <si>
    <r>
      <t>Cost of Goods Sold:</t>
    </r>
    <r>
      <rPr>
        <b/>
        <sz val="9"/>
        <color rgb="FF00B050"/>
        <rFont val="Calibri"/>
        <family val="2"/>
        <scheme val="minor"/>
      </rPr>
      <t xml:space="preserve"> </t>
    </r>
    <r>
      <rPr>
        <sz val="9"/>
        <color rgb="FF00B050"/>
        <rFont val="Calibri"/>
        <family val="2"/>
        <scheme val="minor"/>
      </rPr>
      <t>Line 4</t>
    </r>
  </si>
  <si>
    <r>
      <t xml:space="preserve">Gross Receipts/Sales: </t>
    </r>
    <r>
      <rPr>
        <sz val="9"/>
        <color rgb="FF00B050"/>
        <rFont val="Calibri"/>
        <family val="2"/>
        <scheme val="minor"/>
      </rPr>
      <t>Line 1</t>
    </r>
  </si>
  <si>
    <r>
      <t>Step 2:  1099 Income</t>
    </r>
    <r>
      <rPr>
        <b/>
        <u/>
        <sz val="11"/>
        <color theme="1"/>
        <rFont val="Calibri"/>
        <family val="2"/>
        <scheme val="minor"/>
      </rPr>
      <t xml:space="preserve">  </t>
    </r>
    <r>
      <rPr>
        <b/>
        <u/>
        <sz val="12"/>
        <color theme="1"/>
        <rFont val="Calibri"/>
        <family val="2"/>
        <scheme val="minor"/>
      </rPr>
      <t>-</t>
    </r>
    <r>
      <rPr>
        <b/>
        <u/>
        <sz val="11"/>
        <color theme="1"/>
        <rFont val="Calibri"/>
        <family val="2"/>
        <scheme val="minor"/>
      </rPr>
      <t xml:space="preserve">  YTD &amp; Prior Years Receipt</t>
    </r>
  </si>
  <si>
    <t>Complete Section 1 above to determine the Expense Rate and test for qualification</t>
  </si>
  <si>
    <r>
      <t xml:space="preserve">Total Expenses Rate </t>
    </r>
    <r>
      <rPr>
        <b/>
        <sz val="9"/>
        <color rgb="FF00B050"/>
        <rFont val="Calibri"/>
        <family val="2"/>
        <scheme val="minor"/>
      </rPr>
      <t xml:space="preserve">(Total Expenses </t>
    </r>
    <r>
      <rPr>
        <b/>
        <sz val="8"/>
        <color rgb="FF00B050"/>
        <rFont val="Calibri"/>
        <family val="2"/>
        <scheme val="minor"/>
      </rPr>
      <t>(</t>
    </r>
    <r>
      <rPr>
        <b/>
        <sz val="9"/>
        <color rgb="FF00B050"/>
        <rFont val="Calibri"/>
        <family val="2"/>
        <scheme val="minor"/>
      </rPr>
      <t>excluding non-cash deductions</t>
    </r>
    <r>
      <rPr>
        <b/>
        <sz val="8"/>
        <color rgb="FF00B050"/>
        <rFont val="Calibri"/>
        <family val="2"/>
        <scheme val="minor"/>
      </rPr>
      <t>)</t>
    </r>
    <r>
      <rPr>
        <b/>
        <sz val="9"/>
        <color rgb="FF00B050"/>
        <rFont val="Calibri"/>
        <family val="2"/>
        <scheme val="minor"/>
      </rPr>
      <t>/Gross receipts)</t>
    </r>
  </si>
  <si>
    <r>
      <t>Step 1:  Schedule C</t>
    </r>
    <r>
      <rPr>
        <b/>
        <u/>
        <sz val="11"/>
        <color theme="1"/>
        <rFont val="Calibri"/>
        <family val="2"/>
        <scheme val="minor"/>
      </rPr>
      <t xml:space="preserve">  </t>
    </r>
    <r>
      <rPr>
        <b/>
        <u/>
        <sz val="14"/>
        <color theme="1"/>
        <rFont val="Calibri"/>
        <family val="2"/>
        <scheme val="minor"/>
      </rPr>
      <t>-</t>
    </r>
    <r>
      <rPr>
        <b/>
        <u/>
        <sz val="11"/>
        <color theme="1"/>
        <rFont val="Calibri"/>
        <family val="2"/>
        <scheme val="minor"/>
      </rPr>
      <t xml:space="preserve">  Most Recent Filed Returns</t>
    </r>
  </si>
  <si>
    <t>Sub Total:</t>
  </si>
  <si>
    <r>
      <t xml:space="preserve">  Minus Expense rate</t>
    </r>
    <r>
      <rPr>
        <b/>
        <sz val="9"/>
        <color rgb="FF00B050"/>
        <rFont val="Calibri"/>
        <family val="2"/>
        <scheme val="minor"/>
      </rPr>
      <t xml:space="preserve"> (from section 1)</t>
    </r>
  </si>
  <si>
    <t>Exclude</t>
  </si>
  <si>
    <t>Freddie Only, Check here to confirm this is a Freddie Loan.</t>
  </si>
  <si>
    <t>Months              =</t>
  </si>
  <si>
    <t>Required</t>
  </si>
  <si>
    <t>1099 Non-Self Employed</t>
  </si>
  <si>
    <t>Sole-Proprietorship (Schedule C)</t>
  </si>
  <si>
    <r>
      <rPr>
        <b/>
        <sz val="11"/>
        <color theme="1"/>
        <rFont val="Calibri"/>
        <family val="2"/>
        <scheme val="minor"/>
      </rPr>
      <t>(Contractors &amp; Contingent Workers)</t>
    </r>
    <r>
      <rPr>
        <b/>
        <sz val="18"/>
        <color theme="1"/>
        <rFont val="Calibri"/>
        <family val="2"/>
        <scheme val="minor"/>
      </rPr>
      <t xml:space="preserve">
</t>
    </r>
    <r>
      <rPr>
        <b/>
        <sz val="16"/>
        <color theme="1"/>
        <rFont val="Calibri"/>
        <family val="2"/>
        <scheme val="minor"/>
      </rPr>
      <t>Freddie Only</t>
    </r>
  </si>
  <si>
    <t>- 1099 Non-Self Emp.</t>
  </si>
  <si>
    <t>- 1099 Non-Self Emp. (2)</t>
  </si>
  <si>
    <t>-Enter all non-subject Investment properties on 'Rent Inc.' &amp; 'Add. Properties' wksts.</t>
  </si>
  <si>
    <t>-Enter all non-subject Owner Occupied properties on the 'Additional Properties' worksheet.
  (Includes Conv. Non-Occupant co-borrowers primary residence)</t>
  </si>
  <si>
    <t xml:space="preserve">  - 1099 Non-Self Employed</t>
  </si>
  <si>
    <t xml:space="preserve">  - Income Expert and Averager - W2 Wage Earner</t>
  </si>
  <si>
    <t>Full 12 months receipt required on most recent tax return, check here to confirm.</t>
  </si>
  <si>
    <t>if &lt; start</t>
  </si>
  <si>
    <t>if &gt;= start</t>
  </si>
  <si>
    <t>Effective Income</t>
  </si>
  <si>
    <t>Enter N/A to use calculated amts.</t>
  </si>
  <si>
    <t>Validated Inc. 
(Monthly)</t>
  </si>
  <si>
    <r>
      <t>Section 1</t>
    </r>
    <r>
      <rPr>
        <b/>
        <sz val="14"/>
        <color theme="1"/>
        <rFont val="Calibri"/>
        <family val="2"/>
        <scheme val="minor"/>
      </rPr>
      <t xml:space="preserve"> :</t>
    </r>
  </si>
  <si>
    <r>
      <t>Section 2</t>
    </r>
    <r>
      <rPr>
        <b/>
        <sz val="14"/>
        <color theme="1"/>
        <rFont val="Calibri"/>
        <family val="2"/>
        <scheme val="minor"/>
      </rPr>
      <t xml:space="preserve"> :</t>
    </r>
  </si>
  <si>
    <t>a. Income Rep &amp; warrant relief?</t>
  </si>
  <si>
    <t xml:space="preserve">      Using Validated Income  (ex. D1C, AIM, SSV)</t>
  </si>
  <si>
    <r>
      <rPr>
        <b/>
        <u/>
        <sz val="9"/>
        <color theme="0"/>
        <rFont val="Calibri"/>
        <family val="2"/>
        <scheme val="minor"/>
      </rPr>
      <t>Required</t>
    </r>
    <r>
      <rPr>
        <b/>
        <sz val="9"/>
        <color theme="0"/>
        <rFont val="Calibri"/>
        <family val="2"/>
        <scheme val="minor"/>
      </rPr>
      <t>:  AUS calls for AND</t>
    </r>
    <r>
      <rPr>
        <b/>
        <u/>
        <sz val="9"/>
        <color theme="0"/>
        <rFont val="Calibri"/>
        <family val="2"/>
        <scheme val="minor"/>
      </rPr>
      <t xml:space="preserve">
</t>
    </r>
    <r>
      <rPr>
        <b/>
        <sz val="9"/>
        <color theme="0"/>
        <rFont val="Calibri"/>
        <family val="2"/>
        <scheme val="minor"/>
      </rPr>
      <t>borrower meets requirements 
to use 1 year returns?</t>
    </r>
  </si>
  <si>
    <t>Guides:</t>
  </si>
  <si>
    <t>https://www.travel.dod.mil/Allowances</t>
  </si>
  <si>
    <r>
      <t xml:space="preserve">-Enter all non-subject Second Home properties on the 'Additional Properties'wkst.
  (Includes FHA Non-Occupant co-borrowers primary residence)
-Enter total of all other monthly debts to be counted here:  e.g. Debts on credit report,          
  child support, newly acquired debts…  Alimony may also be entered as a liability here, 
  or </t>
    </r>
    <r>
      <rPr>
        <b/>
        <sz val="8"/>
        <color theme="1"/>
        <rFont val="Calibri"/>
        <family val="2"/>
        <scheme val="minor"/>
      </rPr>
      <t>on Conventional and FHA Loans ONLY</t>
    </r>
    <r>
      <rPr>
        <sz val="8"/>
        <color theme="1"/>
        <rFont val="Calibri"/>
        <family val="2"/>
        <scheme val="minor"/>
      </rPr>
      <t>, alimony may be entered as an 
  income reduction  instead reduce its affect on DTI by entering it as a negative on the
  'Inc. Exp. Other' wkst.</t>
    </r>
  </si>
  <si>
    <r>
      <t xml:space="preserve">Business Miles:  </t>
    </r>
    <r>
      <rPr>
        <sz val="9"/>
        <color rgb="FF00B050"/>
        <rFont val="Calibri"/>
        <family val="2"/>
        <scheme val="minor"/>
      </rPr>
      <t>Line 44a</t>
    </r>
    <r>
      <rPr>
        <sz val="12"/>
        <color theme="1"/>
        <rFont val="Calibri"/>
        <family val="2"/>
        <scheme val="minor"/>
      </rPr>
      <t xml:space="preserve"> </t>
    </r>
  </si>
  <si>
    <t xml:space="preserve"> (Please see note ***)</t>
  </si>
  <si>
    <t xml:space="preserve">  documented can be added back. Include receipts/documentation for these expenses in the file.</t>
  </si>
  <si>
    <r>
      <t xml:space="preserve">  indicated on </t>
    </r>
    <r>
      <rPr>
        <b/>
        <sz val="11"/>
        <color theme="1"/>
        <rFont val="Calibri"/>
        <family val="2"/>
        <scheme val="minor"/>
      </rPr>
      <t>part V)</t>
    </r>
    <r>
      <rPr>
        <b/>
        <sz val="9"/>
        <color theme="1"/>
        <rFont val="Calibri"/>
        <family val="2"/>
        <scheme val="minor"/>
      </rPr>
      <t xml:space="preserve"> </t>
    </r>
    <r>
      <rPr>
        <b/>
        <sz val="11"/>
        <color theme="1"/>
        <rFont val="Calibri"/>
        <family val="2"/>
        <scheme val="minor"/>
      </rPr>
      <t>²</t>
    </r>
    <r>
      <rPr>
        <sz val="11"/>
        <color theme="1"/>
        <rFont val="Calibri"/>
        <family val="2"/>
        <scheme val="minor"/>
      </rPr>
      <t>.  Additionally, any one time expenses that can be determined to be non-recurring and are</t>
    </r>
  </si>
  <si>
    <r>
      <rPr>
        <sz val="11"/>
        <rFont val="Calibri"/>
        <family val="2"/>
        <scheme val="minor"/>
      </rPr>
      <t>*****</t>
    </r>
    <r>
      <rPr>
        <sz val="11"/>
        <color theme="1"/>
        <rFont val="Calibri"/>
        <family val="2"/>
        <scheme val="minor"/>
      </rPr>
      <t xml:space="preserve">Add back any amortization claimed in part V on page 2 </t>
    </r>
    <r>
      <rPr>
        <b/>
        <sz val="11"/>
        <color theme="1"/>
        <rFont val="Calibri"/>
        <family val="2"/>
        <scheme val="minor"/>
      </rPr>
      <t>(Do not just add back the total amount of everything</t>
    </r>
  </si>
  <si>
    <t>Operations Newsletter 03/2024</t>
  </si>
  <si>
    <t>***UW to analyze whether a mileage deduction was taken, as opposed to standard depreciation or actual expenses.</t>
  </si>
  <si>
    <t>****In most cases, enter the amount on line 24b here. This will account for the 50% of meals &amp; entertainment expenses that</t>
  </si>
  <si>
    <r>
      <t xml:space="preserve">Amortization/Casualty Loss/Theft:  </t>
    </r>
    <r>
      <rPr>
        <sz val="9"/>
        <color rgb="FF00B050"/>
        <rFont val="Calibri"/>
        <family val="2"/>
        <scheme val="minor"/>
      </rPr>
      <t>Only if listed in "Part V"*****</t>
    </r>
  </si>
  <si>
    <t>Line 24b****</t>
  </si>
  <si>
    <t>See</t>
  </si>
  <si>
    <r>
      <rPr>
        <b/>
        <u/>
        <sz val="9"/>
        <color theme="0"/>
        <rFont val="Calibri"/>
        <family val="2"/>
        <scheme val="minor"/>
      </rPr>
      <t>FHA Job Change Notice:</t>
    </r>
    <r>
      <rPr>
        <b/>
        <sz val="9"/>
        <color theme="0"/>
        <rFont val="Calibri"/>
        <family val="2"/>
        <scheme val="minor"/>
      </rPr>
      <t xml:space="preserve">
 More than 3 job changes in 12 months requires
 continual increases in pay and or benefits…</t>
    </r>
  </si>
  <si>
    <t>a</t>
  </si>
  <si>
    <t>N69</t>
  </si>
  <si>
    <t>O69</t>
  </si>
  <si>
    <t>O68</t>
  </si>
  <si>
    <t>O63</t>
  </si>
  <si>
    <t>O62</t>
  </si>
  <si>
    <t>O64</t>
  </si>
  <si>
    <r>
      <rPr>
        <b/>
        <u/>
        <sz val="9"/>
        <color theme="0"/>
        <rFont val="Calibri"/>
        <family val="2"/>
        <scheme val="minor"/>
      </rPr>
      <t>Required</t>
    </r>
    <r>
      <rPr>
        <b/>
        <sz val="9"/>
        <color theme="0"/>
        <rFont val="Calibri"/>
        <family val="2"/>
        <scheme val="minor"/>
      </rPr>
      <t>:  AUS calls for AND
borrower meets requirements 
to use 1 year returns?</t>
    </r>
  </si>
  <si>
    <t>for guidance on what to review and use for this.</t>
  </si>
  <si>
    <r>
      <t xml:space="preserve">  -Taxable amount: </t>
    </r>
    <r>
      <rPr>
        <sz val="9"/>
        <color rgb="FF00B050"/>
        <rFont val="Calibri"/>
        <family val="2"/>
        <scheme val="minor"/>
      </rPr>
      <t>For SSI: 1040 Line 6b</t>
    </r>
  </si>
  <si>
    <r>
      <t xml:space="preserve">  -Total amount: </t>
    </r>
    <r>
      <rPr>
        <sz val="9"/>
        <color rgb="FF00B050"/>
        <rFont val="Calibri"/>
        <family val="2"/>
        <scheme val="minor"/>
      </rPr>
      <t>For SSI: 1040 Line 6a</t>
    </r>
  </si>
  <si>
    <r>
      <t xml:space="preserve">  -Total amount: </t>
    </r>
    <r>
      <rPr>
        <sz val="9"/>
        <color rgb="FF00B050"/>
        <rFont val="Calibri"/>
        <family val="2"/>
        <scheme val="minor"/>
      </rPr>
      <t>For SSI: 1040</t>
    </r>
    <r>
      <rPr>
        <sz val="9"/>
        <color theme="1"/>
        <rFont val="Calibri"/>
        <family val="2"/>
        <scheme val="minor"/>
      </rPr>
      <t xml:space="preserve"> </t>
    </r>
    <r>
      <rPr>
        <sz val="9"/>
        <color rgb="FF00B050"/>
        <rFont val="Calibri"/>
        <family val="2"/>
        <scheme val="minor"/>
      </rPr>
      <t>Line 6a</t>
    </r>
  </si>
  <si>
    <t>Portion that can be grossed up:*</t>
  </si>
  <si>
    <t>* Portion of Income that can be grossed up (if applicable)</t>
  </si>
  <si>
    <r>
      <t>Qualifying Income:</t>
    </r>
    <r>
      <rPr>
        <b/>
        <sz val="9"/>
        <color theme="1"/>
        <rFont val="Calibri"/>
        <family val="2"/>
        <scheme val="minor"/>
      </rPr>
      <t xml:space="preserve"> </t>
    </r>
    <r>
      <rPr>
        <b/>
        <sz val="9"/>
        <color rgb="FF00B050"/>
        <rFont val="Calibri"/>
        <family val="2"/>
        <scheme val="minor"/>
      </rPr>
      <t>(See attached 'Income Summary' and calculation worksheets)</t>
    </r>
  </si>
  <si>
    <t>Amount Received:</t>
  </si>
  <si>
    <t>Section 2: Stock Price</t>
  </si>
  <si>
    <t>Officer
2025 BAS</t>
  </si>
  <si>
    <t>Enlisted
2025
 BAS</t>
  </si>
  <si>
    <t>FHA: Boarder</t>
  </si>
  <si>
    <t>***Deduct the full current monthly PITI+A amount(s) for the property in line 12 using the current mortgage statements,</t>
  </si>
  <si>
    <t>*If using a lease is justified, use the additional properties wkst.</t>
  </si>
  <si>
    <t xml:space="preserve">**Add back any amortization claimed for each property.  If claimed, amortization will be found on a separate statement that is indicated </t>
  </si>
  <si>
    <t>***Add back the taxes, insurance and HOA dues claimed on the schedule E for each property.</t>
  </si>
  <si>
    <r>
      <t>HOA Dues:</t>
    </r>
    <r>
      <rPr>
        <sz val="9"/>
        <color rgb="FF00B050"/>
        <rFont val="Calibri"/>
        <family val="2"/>
        <scheme val="minor"/>
      </rPr>
      <t xml:space="preserve">  If claimed for this property on the schedule E***</t>
    </r>
  </si>
  <si>
    <t>Add Prior Year P&amp;L Column</t>
  </si>
  <si>
    <t>(If extended or not yet filed)</t>
  </si>
  <si>
    <t>Owns</t>
  </si>
  <si>
    <t>Rents</t>
  </si>
  <si>
    <t>Rent Free</t>
  </si>
  <si>
    <r>
      <t xml:space="preserve">Income from this worksheet should be entered in MORE LOS as follows:
</t>
    </r>
    <r>
      <rPr>
        <b/>
        <sz val="9"/>
        <color theme="1"/>
        <rFont val="Calibri"/>
        <family val="2"/>
        <scheme val="minor"/>
      </rPr>
      <t>(Data from this sheet auto feeds to the 'Income and Debt Worksheet', unless indicated by an error message)</t>
    </r>
  </si>
  <si>
    <t>MORE LOS Instructions:</t>
  </si>
  <si>
    <r>
      <rPr>
        <b/>
        <sz val="11"/>
        <color theme="1"/>
        <rFont val="Calibri"/>
        <family val="2"/>
        <scheme val="minor"/>
      </rPr>
      <t xml:space="preserve"> Rental income from this worksheet must be entered in MORE LOS as follows:</t>
    </r>
    <r>
      <rPr>
        <sz val="11"/>
        <color theme="1"/>
        <rFont val="Calibri"/>
        <family val="2"/>
        <scheme val="minor"/>
      </rPr>
      <t xml:space="preserve">
</t>
    </r>
    <r>
      <rPr>
        <sz val="9"/>
        <color theme="1"/>
        <rFont val="Calibri"/>
        <family val="2"/>
        <scheme val="minor"/>
      </rPr>
      <t xml:space="preserve"> (Data from this sheet auto feeds to the 'Income and Debt Worksheet', unless indicated by an error message)</t>
    </r>
  </si>
  <si>
    <r>
      <t xml:space="preserve">Rental income from this worksheet must be entered in MORE LOS as follows:
</t>
    </r>
    <r>
      <rPr>
        <sz val="9"/>
        <color theme="1"/>
        <rFont val="Calibri"/>
        <family val="2"/>
        <scheme val="minor"/>
      </rPr>
      <t>(Data from this sheet auto feeds to the 'Income and Debt Worksheet', unless indicated by an error message)</t>
    </r>
  </si>
  <si>
    <r>
      <t xml:space="preserve">1. Saving and Trusting the workbook: </t>
    </r>
    <r>
      <rPr>
        <sz val="11"/>
        <color theme="1"/>
        <rFont val="Calibri"/>
        <family val="2"/>
      </rPr>
      <t xml:space="preserve">If you receive the
    workbook through email, rather than opening the workbook
    directly from the email, please be sure to drag or save it your   
    desktop (or location on your computer), and then open it. 
</t>
    </r>
    <r>
      <rPr>
        <sz val="8"/>
        <color theme="1"/>
        <rFont val="Calibri"/>
        <family val="2"/>
      </rPr>
      <t xml:space="preserve">
 </t>
    </r>
    <r>
      <rPr>
        <sz val="11"/>
        <color theme="1"/>
        <rFont val="Calibri"/>
        <family val="2"/>
      </rPr>
      <t xml:space="preserve">   If Downloading it, please save it to your desktop or a location 
    on your computer other than the 'Downloads' folder. 
</t>
    </r>
    <r>
      <rPr>
        <sz val="8"/>
        <color theme="1"/>
        <rFont val="Calibri"/>
        <family val="2"/>
      </rPr>
      <t xml:space="preserve">     </t>
    </r>
    <r>
      <rPr>
        <b/>
        <sz val="11"/>
        <color theme="1"/>
        <rFont val="Calibri"/>
        <family val="2"/>
      </rPr>
      <t xml:space="preserve">
    Once open, You may see the following Security Risk error           
    message at the top of the screen. </t>
    </r>
    <r>
      <rPr>
        <b/>
        <sz val="10"/>
        <color theme="1"/>
        <rFont val="Calibri"/>
        <family val="2"/>
      </rPr>
      <t xml:space="preserve">(Fig 0.1) 
    If you do not receive this message, Skip this step.
</t>
    </r>
    <r>
      <rPr>
        <sz val="10"/>
        <color theme="1"/>
        <rFont val="Calibri"/>
        <family val="2"/>
      </rPr>
      <t xml:space="preserve"> </t>
    </r>
    <r>
      <rPr>
        <sz val="11"/>
        <color theme="1"/>
        <rFont val="Calibri"/>
        <family val="2"/>
      </rPr>
      <t xml:space="preserve">   If you do receive this message, you will need to 'Trust" the 
    document for the buttons and many other aspects of the 
    workbook to work correctly.</t>
    </r>
    <r>
      <rPr>
        <b/>
        <sz val="11"/>
        <color theme="1"/>
        <rFont val="Calibri"/>
        <family val="2"/>
      </rPr>
      <t xml:space="preserve"> To do this, follow these steps.
</t>
    </r>
    <r>
      <rPr>
        <b/>
        <sz val="8"/>
        <color theme="1"/>
        <rFont val="Calibri"/>
        <family val="2"/>
      </rPr>
      <t xml:space="preserve">
</t>
    </r>
    <r>
      <rPr>
        <sz val="8"/>
        <color theme="1"/>
        <rFont val="Calibri"/>
        <family val="2"/>
      </rPr>
      <t xml:space="preserve">   </t>
    </r>
    <r>
      <rPr>
        <sz val="10"/>
        <color theme="1"/>
        <rFont val="Calibri"/>
        <family val="2"/>
      </rPr>
      <t xml:space="preserve"> 1. Close the workbook.
    2. Locate your copy of it on your computer.
    3. Right-click on the file/icon and select “Properties”
    4. Check “Unblock” </t>
    </r>
    <r>
      <rPr>
        <b/>
        <sz val="10"/>
        <color theme="1"/>
        <rFont val="Calibri"/>
        <family val="2"/>
      </rPr>
      <t xml:space="preserve">(Fig 0.2)
</t>
    </r>
    <r>
      <rPr>
        <sz val="10"/>
        <color theme="1"/>
        <rFont val="Calibri"/>
        <family val="2"/>
      </rPr>
      <t xml:space="preserve">    5. Click "Ok" or “Apply”
    6. Re-open the workbook.</t>
    </r>
    <r>
      <rPr>
        <b/>
        <sz val="10"/>
        <color theme="1"/>
        <rFont val="Calibri"/>
        <family val="2"/>
      </rPr>
      <t xml:space="preserve">
</t>
    </r>
    <r>
      <rPr>
        <b/>
        <sz val="9"/>
        <color theme="1"/>
        <rFont val="Calibri"/>
        <family val="2"/>
      </rPr>
      <t xml:space="preserve">
   </t>
    </r>
    <r>
      <rPr>
        <b/>
        <sz val="11"/>
        <color theme="1"/>
        <rFont val="Calibri"/>
        <family val="2"/>
      </rPr>
      <t xml:space="preserve">You will also need to click enable Content at the top of the 
   workbook. </t>
    </r>
    <r>
      <rPr>
        <b/>
        <sz val="10"/>
        <color theme="1"/>
        <rFont val="Calibri"/>
        <family val="2"/>
      </rPr>
      <t xml:space="preserve">(Fig 0.3)
</t>
    </r>
    <r>
      <rPr>
        <b/>
        <sz val="8"/>
        <color theme="1"/>
        <rFont val="Calibri"/>
        <family val="2"/>
      </rPr>
      <t xml:space="preserve">
  </t>
    </r>
    <r>
      <rPr>
        <b/>
        <sz val="10"/>
        <color theme="1"/>
        <rFont val="Calibri"/>
        <family val="2"/>
      </rPr>
      <t xml:space="preserve"> </t>
    </r>
    <r>
      <rPr>
        <b/>
        <sz val="11"/>
        <color theme="1"/>
        <rFont val="Calibri"/>
        <family val="2"/>
      </rPr>
      <t xml:space="preserve"> Once Fully Trusted and Enabled, be sure to Resave your
   copy, and then these setting will remain intact on this copy.</t>
    </r>
  </si>
  <si>
    <t xml:space="preserve">
Fig 0.1
Fig 0.2
Fig 0.3</t>
  </si>
  <si>
    <t xml:space="preserve">
Fig 0.4</t>
  </si>
  <si>
    <r>
      <t>Tax Expense:</t>
    </r>
    <r>
      <rPr>
        <sz val="9"/>
        <color rgb="FF00B050"/>
        <rFont val="Calibri"/>
        <family val="2"/>
        <scheme val="minor"/>
      </rPr>
      <t xml:space="preserve">  Line 16***</t>
    </r>
    <r>
      <rPr>
        <b/>
        <sz val="9"/>
        <color rgb="FF00B050"/>
        <rFont val="Calibri"/>
        <family val="2"/>
        <scheme val="minor"/>
      </rPr>
      <t xml:space="preserve"> (Add back even if not escrowing)</t>
    </r>
  </si>
  <si>
    <r>
      <t xml:space="preserve">Total Rents Received:  </t>
    </r>
    <r>
      <rPr>
        <sz val="9"/>
        <color rgb="FF00B050"/>
        <rFont val="Calibri"/>
        <family val="2"/>
        <scheme val="minor"/>
      </rPr>
      <t>Line 3*</t>
    </r>
  </si>
  <si>
    <r>
      <t>Total Expenses:</t>
    </r>
    <r>
      <rPr>
        <sz val="9"/>
        <color rgb="FF00B050"/>
        <rFont val="Calibri"/>
        <family val="2"/>
        <scheme val="minor"/>
      </rPr>
      <t xml:space="preserve">  Line 20</t>
    </r>
  </si>
  <si>
    <r>
      <t>Mortgage Interest Paid:</t>
    </r>
    <r>
      <rPr>
        <sz val="9"/>
        <color rgb="FF00B050"/>
        <rFont val="Calibri"/>
        <family val="2"/>
        <scheme val="minor"/>
      </rPr>
      <t xml:space="preserve">  Line 12</t>
    </r>
  </si>
  <si>
    <r>
      <t>Insurance Expense:</t>
    </r>
    <r>
      <rPr>
        <sz val="9"/>
        <color rgb="FF00B050"/>
        <rFont val="Calibri"/>
        <family val="2"/>
        <scheme val="minor"/>
      </rPr>
      <t xml:space="preserve">  Line 9*** </t>
    </r>
    <r>
      <rPr>
        <b/>
        <sz val="9"/>
        <color rgb="FF00B050"/>
        <rFont val="Calibri"/>
        <family val="2"/>
        <scheme val="minor"/>
      </rPr>
      <t>(Add back even if not escrowing)</t>
    </r>
  </si>
  <si>
    <r>
      <t>Depreciation or Depletion:</t>
    </r>
    <r>
      <rPr>
        <sz val="9"/>
        <color rgb="FF00B050"/>
        <rFont val="Calibri"/>
        <family val="2"/>
        <scheme val="minor"/>
      </rPr>
      <t xml:space="preserve">  Line 18</t>
    </r>
  </si>
  <si>
    <t>Misc/One time exp.**</t>
  </si>
  <si>
    <r>
      <t>Misc/One time exp.</t>
    </r>
    <r>
      <rPr>
        <sz val="10"/>
        <color theme="1"/>
        <rFont val="Calibri"/>
        <family val="2"/>
        <scheme val="minor"/>
      </rPr>
      <t>**</t>
    </r>
  </si>
  <si>
    <t>)          (</t>
  </si>
  <si>
    <r>
      <t>Total Rents Received</t>
    </r>
    <r>
      <rPr>
        <sz val="12"/>
        <color rgb="FF00B050"/>
        <rFont val="Calibri"/>
        <family val="2"/>
        <scheme val="minor"/>
      </rPr>
      <t>:</t>
    </r>
    <r>
      <rPr>
        <sz val="9"/>
        <color rgb="FF00B050"/>
        <rFont val="Calibri"/>
        <family val="2"/>
        <scheme val="minor"/>
      </rPr>
      <t xml:space="preserve">  Line 3*</t>
    </r>
  </si>
  <si>
    <r>
      <t xml:space="preserve">Mortgage Interest Paid:  </t>
    </r>
    <r>
      <rPr>
        <sz val="9"/>
        <color rgb="FF00B050"/>
        <rFont val="Calibri"/>
        <family val="2"/>
        <scheme val="minor"/>
      </rPr>
      <t>Line 12</t>
    </r>
  </si>
  <si>
    <r>
      <t xml:space="preserve">Tax Expense:  </t>
    </r>
    <r>
      <rPr>
        <sz val="9"/>
        <color rgb="FF00B050"/>
        <rFont val="Calibri"/>
        <family val="2"/>
        <scheme val="minor"/>
      </rPr>
      <t xml:space="preserve">Line 16*** </t>
    </r>
    <r>
      <rPr>
        <b/>
        <sz val="9"/>
        <color rgb="FF00B050"/>
        <rFont val="Calibri"/>
        <family val="2"/>
        <scheme val="minor"/>
      </rPr>
      <t>(Add back even if not escrowing)</t>
    </r>
  </si>
  <si>
    <r>
      <t xml:space="preserve">HOA Dues:  </t>
    </r>
    <r>
      <rPr>
        <sz val="9"/>
        <color rgb="FF00B050"/>
        <rFont val="Calibri"/>
        <family val="2"/>
        <scheme val="minor"/>
      </rPr>
      <t>If claimed for this property on the schedule E***</t>
    </r>
  </si>
  <si>
    <r>
      <t xml:space="preserve">Depreciation or Depletion:  </t>
    </r>
    <r>
      <rPr>
        <sz val="9"/>
        <color rgb="FF00B050"/>
        <rFont val="Calibri"/>
        <family val="2"/>
        <scheme val="minor"/>
      </rPr>
      <t>Line 18</t>
    </r>
  </si>
  <si>
    <r>
      <t xml:space="preserve">Total Expenses:  </t>
    </r>
    <r>
      <rPr>
        <sz val="9"/>
        <color rgb="FF00B050"/>
        <rFont val="Calibri"/>
        <family val="2"/>
        <scheme val="minor"/>
      </rPr>
      <t>Line 20</t>
    </r>
  </si>
  <si>
    <r>
      <t xml:space="preserve">Insurance Expense:  </t>
    </r>
    <r>
      <rPr>
        <sz val="9"/>
        <color rgb="FF00B050"/>
        <rFont val="Calibri"/>
        <family val="2"/>
        <scheme val="minor"/>
      </rPr>
      <t xml:space="preserve">Line 9*** </t>
    </r>
    <r>
      <rPr>
        <b/>
        <sz val="9"/>
        <color rgb="FF00B050"/>
        <rFont val="Calibri"/>
        <family val="2"/>
        <scheme val="minor"/>
      </rPr>
      <t>(Add back even if not escrowing)</t>
    </r>
  </si>
  <si>
    <r>
      <t xml:space="preserve">HOA Dues: </t>
    </r>
    <r>
      <rPr>
        <sz val="9"/>
        <color rgb="FF00B050"/>
        <rFont val="Calibri"/>
        <family val="2"/>
        <scheme val="minor"/>
      </rPr>
      <t xml:space="preserve"> If claimed for this property on the schedule E***</t>
    </r>
  </si>
  <si>
    <r>
      <t xml:space="preserve">Depreciation or Depletion: </t>
    </r>
    <r>
      <rPr>
        <sz val="9"/>
        <color rgb="FF00B050"/>
        <rFont val="Calibri"/>
        <family val="2"/>
        <scheme val="minor"/>
      </rPr>
      <t xml:space="preserve"> Line 18</t>
    </r>
  </si>
  <si>
    <t>(Edit Subject PITIA on I&amp;D Worksheet if needed to ensure it is correct here)</t>
  </si>
  <si>
    <t>Use  
Percentage</t>
  </si>
  <si>
    <t>***Typically a 75% Use Percentage should be used. The use of a Use Percentage other than 75% must be justified/explained.</t>
  </si>
  <si>
    <r>
      <t>Total Rental Income/(Loss) from Investment properties:</t>
    </r>
    <r>
      <rPr>
        <b/>
        <sz val="9"/>
        <color rgb="FF00B050"/>
        <rFont val="Calibri"/>
        <family val="2"/>
        <scheme val="minor"/>
      </rPr>
      <t xml:space="preserve"> </t>
    </r>
    <r>
      <rPr>
        <sz val="9"/>
        <color rgb="FF00B050"/>
        <rFont val="Calibri"/>
        <family val="2"/>
        <scheme val="minor"/>
      </rPr>
      <t>(From 'Rental Income'
 &amp; Additional Properties" worksheets.  A net loss will only affect the I&amp;D worksheet)</t>
    </r>
  </si>
  <si>
    <t>Version 2026.1</t>
  </si>
  <si>
    <t>MONTHLY ACTIVE COMPONENT BASIC PAY TABLE - 2026  (Rank)</t>
  </si>
  <si>
    <t>Military Reserve Component Drill Pay - 2026  (1 Drill)</t>
  </si>
  <si>
    <t xml:space="preserve">Version Updates:  2026.1 - Updated workbook for 2025 tax year and 2026 YTD calculations.
Version Updates:  2025.5 - Updated instructions for entering rental income in MORE LOS.
Version Updates:  2025.4 - Updated instructions for entering data in MORE LOS.
2025.3 - Due to Microsoft default changes, we have updated the workbook to remove Active X options (i.e. Buttons, checkboxes),  
and switched them to Form Control functions. Updated Rental Income worksheets to remove prior year option on conventional loans.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</si>
</sst>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m/d;@"/>
    <numFmt numFmtId="165" formatCode="#,##0.0000"/>
    <numFmt numFmtId="166" formatCode="mm/dd/yy;@"/>
    <numFmt numFmtId="167" formatCode="0.000000"/>
    <numFmt numFmtId="168" formatCode="0.000000000"/>
    <numFmt numFmtId="169" formatCode="&quot;$&quot;#,##0.00"/>
    <numFmt numFmtId="170" formatCode="0.0000"/>
    <numFmt numFmtId="171" formatCode="m/d/yy;@"/>
    <numFmt numFmtId="172" formatCode="&quot;$&quot;#,##0"/>
    <numFmt numFmtId="173" formatCode="_(&quot;$&quot;* #,##0.0_);_(&quot;$&quot;* \(#,##0.0\);_(&quot;$&quot;* &quot;-&quot;??_);_(@_)"/>
    <numFmt numFmtId="174" formatCode="0.0"/>
    <numFmt numFmtId="175" formatCode="0.000%"/>
    <numFmt numFmtId="176" formatCode="_(&quot;$&quot;* #,##0.00_);_(&quot;$&quot;* \(#,##0.00\);_(&quot;$&quot;* &quot;-&quot;??????_);_(@_)"/>
    <numFmt numFmtId="177" formatCode="_(&quot;$&quot;* #,##0_);_(&quot;$&quot;* \(#,##0\);_(&quot;$&quot;* &quot;-&quot;??_);_(@_)"/>
    <numFmt numFmtId="178" formatCode="_(&quot;$&quot;* #,##0.000_);_(&quot;$&quot;* \(#,##0.000\);_(&quot;$&quot;* &quot;-&quot;??_);_(@_)"/>
    <numFmt numFmtId="179" formatCode="0.00000000"/>
    <numFmt numFmtId="180" formatCode="0.00000000000000000000000000000000000000"/>
    <numFmt numFmtId="181" formatCode="0.00000000000"/>
  </numFmts>
  <fonts count="179" x14ac:knownFonts="1">
    <font>
      <sz val="11"/>
      <color theme="1"/>
      <name val="Calibri"/>
      <family val="2"/>
      <scheme val="minor"/>
    </font>
    <font>
      <sz val="11"/>
      <color theme="1"/>
      <name val="Calibri"/>
      <family val="2"/>
      <scheme val="minor"/>
    </font>
    <font>
      <sz val="12"/>
      <color theme="1"/>
      <name val="Calibri"/>
      <family val="2"/>
      <scheme val="minor"/>
    </font>
    <font>
      <b/>
      <sz val="12"/>
      <color theme="1"/>
      <name val="Calibri"/>
      <family val="2"/>
      <scheme val="minor"/>
    </font>
    <font>
      <b/>
      <u/>
      <sz val="20"/>
      <color theme="1"/>
      <name val="Calibri"/>
      <family val="2"/>
      <scheme val="minor"/>
    </font>
    <font>
      <b/>
      <u/>
      <sz val="16"/>
      <color theme="1"/>
      <name val="Calibri"/>
      <family val="2"/>
      <scheme val="minor"/>
    </font>
    <font>
      <b/>
      <sz val="18"/>
      <color theme="1"/>
      <name val="Calibri"/>
      <family val="2"/>
      <scheme val="minor"/>
    </font>
    <font>
      <sz val="9"/>
      <color rgb="FF00B050"/>
      <name val="Calibri"/>
      <family val="2"/>
      <scheme val="minor"/>
    </font>
    <font>
      <b/>
      <sz val="14"/>
      <color theme="1"/>
      <name val="Calibri"/>
      <family val="2"/>
      <scheme val="minor"/>
    </font>
    <font>
      <b/>
      <sz val="9"/>
      <color rgb="FF00B050"/>
      <name val="Calibri"/>
      <family val="2"/>
      <scheme val="minor"/>
    </font>
    <font>
      <sz val="10"/>
      <color rgb="FF00B050"/>
      <name val="Calibri"/>
      <family val="2"/>
      <scheme val="minor"/>
    </font>
    <font>
      <b/>
      <sz val="11"/>
      <color rgb="FF00B050"/>
      <name val="Calibri"/>
      <family val="2"/>
      <scheme val="minor"/>
    </font>
    <font>
      <b/>
      <sz val="10"/>
      <color rgb="FF00B050"/>
      <name val="Calibri"/>
      <family val="2"/>
      <scheme val="minor"/>
    </font>
    <font>
      <b/>
      <sz val="11"/>
      <color theme="1"/>
      <name val="Calibri"/>
      <family val="2"/>
      <scheme val="minor"/>
    </font>
    <font>
      <u/>
      <sz val="12"/>
      <color theme="1"/>
      <name val="Calibri"/>
      <family val="2"/>
      <scheme val="minor"/>
    </font>
    <font>
      <sz val="9"/>
      <color theme="1"/>
      <name val="Calibri"/>
      <family val="2"/>
      <scheme val="minor"/>
    </font>
    <font>
      <b/>
      <u/>
      <sz val="12"/>
      <color theme="1"/>
      <name val="Calibri"/>
      <family val="2"/>
      <scheme val="minor"/>
    </font>
    <font>
      <sz val="10"/>
      <color theme="1"/>
      <name val="Calibri"/>
      <family val="2"/>
      <scheme val="minor"/>
    </font>
    <font>
      <b/>
      <sz val="12"/>
      <name val="Calibri"/>
      <family val="2"/>
      <scheme val="minor"/>
    </font>
    <font>
      <sz val="12"/>
      <color theme="0"/>
      <name val="Calibri"/>
      <family val="2"/>
      <scheme val="minor"/>
    </font>
    <font>
      <sz val="8"/>
      <color rgb="FF000000"/>
      <name val="Tahoma"/>
      <family val="2"/>
    </font>
    <font>
      <sz val="11"/>
      <color theme="0"/>
      <name val="Calibri"/>
      <family val="2"/>
      <scheme val="minor"/>
    </font>
    <font>
      <b/>
      <sz val="10"/>
      <color theme="1"/>
      <name val="Calibri"/>
      <family val="2"/>
      <scheme val="minor"/>
    </font>
    <font>
      <sz val="11"/>
      <name val="Calibri"/>
      <family val="2"/>
      <scheme val="minor"/>
    </font>
    <font>
      <sz val="12"/>
      <name val="Calibri"/>
      <family val="2"/>
      <scheme val="minor"/>
    </font>
    <font>
      <b/>
      <sz val="12"/>
      <color theme="0"/>
      <name val="Calibri"/>
      <family val="2"/>
      <scheme val="minor"/>
    </font>
    <font>
      <sz val="8"/>
      <color theme="1"/>
      <name val="Calibri"/>
      <family val="2"/>
      <scheme val="minor"/>
    </font>
    <font>
      <b/>
      <u val="singleAccounting"/>
      <sz val="12"/>
      <color theme="1"/>
      <name val="Calibri"/>
      <family val="2"/>
      <scheme val="minor"/>
    </font>
    <font>
      <b/>
      <sz val="11"/>
      <name val="Calibri"/>
      <family val="2"/>
      <scheme val="minor"/>
    </font>
    <font>
      <b/>
      <sz val="16"/>
      <color theme="1"/>
      <name val="Calibri"/>
      <family val="2"/>
      <scheme val="minor"/>
    </font>
    <font>
      <b/>
      <sz val="9"/>
      <color theme="1"/>
      <name val="Calibri"/>
      <family val="2"/>
      <scheme val="minor"/>
    </font>
    <font>
      <b/>
      <sz val="11"/>
      <color theme="0"/>
      <name val="Calibri"/>
      <family val="2"/>
      <scheme val="minor"/>
    </font>
    <font>
      <sz val="10"/>
      <name val="Calibri"/>
      <family val="2"/>
      <scheme val="minor"/>
    </font>
    <font>
      <sz val="8"/>
      <color rgb="FF00B050"/>
      <name val="Calibri"/>
      <family val="2"/>
      <scheme val="minor"/>
    </font>
    <font>
      <sz val="10"/>
      <color theme="0"/>
      <name val="Calibri"/>
      <family val="2"/>
      <scheme val="minor"/>
    </font>
    <font>
      <b/>
      <u/>
      <sz val="9"/>
      <color theme="1"/>
      <name val="Calibri"/>
      <family val="2"/>
      <scheme val="minor"/>
    </font>
    <font>
      <b/>
      <sz val="10"/>
      <name val="Calibri"/>
      <family val="2"/>
      <scheme val="minor"/>
    </font>
    <font>
      <sz val="12"/>
      <color theme="1"/>
      <name val="Calibri"/>
      <family val="2"/>
    </font>
    <font>
      <b/>
      <sz val="9"/>
      <name val="Calibri"/>
      <family val="2"/>
    </font>
    <font>
      <b/>
      <sz val="9"/>
      <name val="Calibri"/>
      <family val="2"/>
      <scheme val="minor"/>
    </font>
    <font>
      <b/>
      <u/>
      <sz val="20"/>
      <name val="Calibri"/>
      <family val="2"/>
      <scheme val="minor"/>
    </font>
    <font>
      <b/>
      <sz val="18"/>
      <name val="Calibri"/>
      <family val="2"/>
      <scheme val="minor"/>
    </font>
    <font>
      <b/>
      <u/>
      <sz val="12"/>
      <name val="Calibri"/>
      <family val="2"/>
      <scheme val="minor"/>
    </font>
    <font>
      <b/>
      <u/>
      <sz val="11"/>
      <color theme="1"/>
      <name val="Calibri"/>
      <family val="2"/>
      <scheme val="minor"/>
    </font>
    <font>
      <sz val="9"/>
      <color theme="0"/>
      <name val="Calibri"/>
      <family val="2"/>
      <scheme val="minor"/>
    </font>
    <font>
      <sz val="9"/>
      <name val="Calibri"/>
      <family val="2"/>
      <scheme val="minor"/>
    </font>
    <font>
      <sz val="7.5"/>
      <color theme="0"/>
      <name val="Calibri"/>
      <family val="2"/>
      <scheme val="minor"/>
    </font>
    <font>
      <sz val="18"/>
      <color theme="1"/>
      <name val="Calibri"/>
      <family val="2"/>
      <scheme val="minor"/>
    </font>
    <font>
      <sz val="5"/>
      <color theme="1"/>
      <name val="Calibri"/>
      <family val="2"/>
      <scheme val="minor"/>
    </font>
    <font>
      <sz val="5"/>
      <color theme="0"/>
      <name val="Calibri"/>
      <family val="2"/>
      <scheme val="minor"/>
    </font>
    <font>
      <sz val="5"/>
      <name val="Calibri"/>
      <family val="2"/>
      <scheme val="minor"/>
    </font>
    <font>
      <u/>
      <sz val="11"/>
      <color theme="1"/>
      <name val="Calibri"/>
      <family val="2"/>
      <scheme val="minor"/>
    </font>
    <font>
      <sz val="8"/>
      <color theme="0"/>
      <name val="Calibri"/>
      <family val="2"/>
      <scheme val="minor"/>
    </font>
    <font>
      <b/>
      <sz val="9"/>
      <color theme="0"/>
      <name val="Calibri"/>
      <family val="2"/>
      <scheme val="minor"/>
    </font>
    <font>
      <u/>
      <sz val="11"/>
      <color theme="0"/>
      <name val="Calibri"/>
      <family val="2"/>
      <scheme val="minor"/>
    </font>
    <font>
      <b/>
      <sz val="12"/>
      <color theme="0"/>
      <name val="Calibri"/>
      <family val="2"/>
    </font>
    <font>
      <sz val="12"/>
      <color theme="0"/>
      <name val="Calibri"/>
      <family val="2"/>
    </font>
    <font>
      <b/>
      <sz val="11"/>
      <color theme="1"/>
      <name val="Calibri"/>
      <family val="2"/>
    </font>
    <font>
      <sz val="11"/>
      <color theme="0"/>
      <name val="Calibri"/>
      <family val="2"/>
    </font>
    <font>
      <b/>
      <sz val="9"/>
      <color theme="1"/>
      <name val="Calibri"/>
      <family val="2"/>
    </font>
    <font>
      <b/>
      <sz val="10"/>
      <color theme="0"/>
      <name val="Calibri"/>
      <family val="2"/>
      <scheme val="minor"/>
    </font>
    <font>
      <b/>
      <sz val="10"/>
      <color theme="1"/>
      <name val="Calibri"/>
      <family val="2"/>
    </font>
    <font>
      <b/>
      <sz val="16"/>
      <color theme="1"/>
      <name val="Calibri"/>
      <family val="2"/>
    </font>
    <font>
      <sz val="11"/>
      <color theme="1"/>
      <name val="verdana"/>
      <family val="2"/>
    </font>
    <font>
      <sz val="12"/>
      <color rgb="FF00B050"/>
      <name val="Calibri"/>
      <family val="2"/>
      <scheme val="minor"/>
    </font>
    <font>
      <b/>
      <sz val="8"/>
      <color theme="1"/>
      <name val="Calibri"/>
      <family val="2"/>
      <scheme val="minor"/>
    </font>
    <font>
      <sz val="8"/>
      <name val="Calibri"/>
      <family val="2"/>
      <scheme val="minor"/>
    </font>
    <font>
      <u/>
      <sz val="8"/>
      <color theme="1"/>
      <name val="Calibri"/>
      <family val="2"/>
      <scheme val="minor"/>
    </font>
    <font>
      <b/>
      <u/>
      <sz val="18"/>
      <color theme="1"/>
      <name val="Calibri"/>
      <family val="2"/>
      <scheme val="minor"/>
    </font>
    <font>
      <b/>
      <sz val="8"/>
      <name val="Calibri"/>
      <family val="2"/>
      <scheme val="minor"/>
    </font>
    <font>
      <b/>
      <sz val="12"/>
      <color theme="1"/>
      <name val="Calibri"/>
      <family val="2"/>
    </font>
    <font>
      <b/>
      <u/>
      <sz val="14"/>
      <color theme="1"/>
      <name val="Calibri"/>
      <family val="2"/>
      <scheme val="minor"/>
    </font>
    <font>
      <b/>
      <u/>
      <sz val="12"/>
      <color theme="1"/>
      <name val="Calibri"/>
      <family val="2"/>
    </font>
    <font>
      <sz val="11"/>
      <color theme="1"/>
      <name val="Calibri"/>
      <family val="2"/>
    </font>
    <font>
      <sz val="10"/>
      <color theme="1"/>
      <name val="Calibri"/>
      <family val="2"/>
    </font>
    <font>
      <b/>
      <u/>
      <sz val="10"/>
      <color theme="1"/>
      <name val="Calibri"/>
      <family val="2"/>
      <scheme val="minor"/>
    </font>
    <font>
      <u/>
      <sz val="10"/>
      <color theme="1"/>
      <name val="Calibri"/>
      <family val="2"/>
      <scheme val="minor"/>
    </font>
    <font>
      <b/>
      <sz val="14"/>
      <name val="Calibri"/>
      <family val="2"/>
      <scheme val="minor"/>
    </font>
    <font>
      <b/>
      <u/>
      <sz val="14"/>
      <name val="Calibri"/>
      <family val="2"/>
      <scheme val="minor"/>
    </font>
    <font>
      <sz val="8"/>
      <color rgb="FF000000"/>
      <name val="Segoe UI"/>
      <family val="2"/>
    </font>
    <font>
      <sz val="9"/>
      <color indexed="81"/>
      <name val="Tahoma"/>
      <family val="2"/>
    </font>
    <font>
      <b/>
      <sz val="9"/>
      <color indexed="81"/>
      <name val="Tahoma"/>
      <family val="2"/>
    </font>
    <font>
      <b/>
      <sz val="20"/>
      <color theme="1"/>
      <name val="Calibri"/>
      <family val="2"/>
      <scheme val="minor"/>
    </font>
    <font>
      <b/>
      <sz val="12"/>
      <color rgb="FFFF0000"/>
      <name val="Calibri"/>
      <family val="2"/>
      <scheme val="minor"/>
    </font>
    <font>
      <b/>
      <sz val="12"/>
      <color rgb="FF00B050"/>
      <name val="Calibri"/>
      <family val="2"/>
      <scheme val="minor"/>
    </font>
    <font>
      <sz val="8"/>
      <color rgb="FFC00000"/>
      <name val="Calibri"/>
      <family val="2"/>
      <scheme val="minor"/>
    </font>
    <font>
      <sz val="11"/>
      <color rgb="FF555555"/>
      <name val="Arial"/>
      <family val="2"/>
    </font>
    <font>
      <b/>
      <u/>
      <sz val="13"/>
      <color theme="1"/>
      <name val="Calibri"/>
      <family val="2"/>
      <scheme val="minor"/>
    </font>
    <font>
      <b/>
      <sz val="13"/>
      <color theme="1"/>
      <name val="Calibri"/>
      <family val="2"/>
      <scheme val="minor"/>
    </font>
    <font>
      <b/>
      <sz val="13"/>
      <name val="Calibri"/>
      <family val="2"/>
      <scheme val="minor"/>
    </font>
    <font>
      <b/>
      <sz val="12"/>
      <color theme="1"/>
      <name val="Times New Roman"/>
      <family val="1"/>
    </font>
    <font>
      <sz val="12"/>
      <color theme="1"/>
      <name val="Times New Roman"/>
      <family val="1"/>
    </font>
    <font>
      <b/>
      <sz val="16"/>
      <name val="Calibri"/>
      <family val="2"/>
      <scheme val="minor"/>
    </font>
    <font>
      <sz val="14"/>
      <color theme="1"/>
      <name val="Calibri"/>
      <family val="2"/>
      <scheme val="minor"/>
    </font>
    <font>
      <b/>
      <sz val="16"/>
      <color theme="0"/>
      <name val="Calibri"/>
      <family val="2"/>
      <scheme val="minor"/>
    </font>
    <font>
      <b/>
      <sz val="11"/>
      <color rgb="FFFF0000"/>
      <name val="Calibri"/>
      <family val="2"/>
      <scheme val="minor"/>
    </font>
    <font>
      <b/>
      <u/>
      <sz val="18"/>
      <color rgb="FFFF0000"/>
      <name val="Calibri"/>
      <family val="2"/>
      <scheme val="minor"/>
    </font>
    <font>
      <b/>
      <u/>
      <sz val="9"/>
      <color rgb="FF00B050"/>
      <name val="Calibri"/>
      <family val="2"/>
      <scheme val="minor"/>
    </font>
    <font>
      <b/>
      <sz val="14"/>
      <color rgb="FF009242"/>
      <name val="Calibri"/>
      <family val="2"/>
      <scheme val="minor"/>
    </font>
    <font>
      <b/>
      <sz val="13"/>
      <color rgb="FF009242"/>
      <name val="Calibri"/>
      <family val="2"/>
      <scheme val="minor"/>
    </font>
    <font>
      <sz val="13"/>
      <color theme="1"/>
      <name val="Calibri"/>
      <family val="2"/>
      <scheme val="minor"/>
    </font>
    <font>
      <sz val="9"/>
      <color rgb="FF009242"/>
      <name val="Calibri"/>
      <family val="2"/>
      <scheme val="minor"/>
    </font>
    <font>
      <b/>
      <sz val="12"/>
      <color rgb="FFEA0000"/>
      <name val="Calibri"/>
      <family val="2"/>
      <scheme val="minor"/>
    </font>
    <font>
      <u/>
      <sz val="9"/>
      <color rgb="FF00B050"/>
      <name val="Calibri"/>
      <family val="2"/>
      <scheme val="minor"/>
    </font>
    <font>
      <b/>
      <sz val="9"/>
      <color rgb="FFFF0000"/>
      <name val="Calibri"/>
      <family val="2"/>
      <scheme val="minor"/>
    </font>
    <font>
      <b/>
      <sz val="9"/>
      <color rgb="FF0070C0"/>
      <name val="Calibri"/>
      <family val="2"/>
      <scheme val="minor"/>
    </font>
    <font>
      <sz val="11"/>
      <name val="Calibri"/>
      <family val="2"/>
    </font>
    <font>
      <b/>
      <sz val="14"/>
      <color rgb="FF0070C0"/>
      <name val="Calibri"/>
      <family val="2"/>
      <scheme val="minor"/>
    </font>
    <font>
      <sz val="11"/>
      <color rgb="FFFF0000"/>
      <name val="Calibri"/>
      <family val="2"/>
      <scheme val="minor"/>
    </font>
    <font>
      <sz val="12"/>
      <color rgb="FFFF0000"/>
      <name val="Calibri"/>
      <family val="2"/>
      <scheme val="minor"/>
    </font>
    <font>
      <b/>
      <sz val="10"/>
      <color rgb="FFFF0000"/>
      <name val="Calibri"/>
      <family val="2"/>
      <scheme val="minor"/>
    </font>
    <font>
      <b/>
      <u/>
      <sz val="11"/>
      <name val="Calibri"/>
      <family val="2"/>
      <scheme val="minor"/>
    </font>
    <font>
      <sz val="9"/>
      <color rgb="FFFF0000"/>
      <name val="Calibri"/>
      <family val="2"/>
      <scheme val="minor"/>
    </font>
    <font>
      <b/>
      <sz val="7"/>
      <color theme="1"/>
      <name val="Calibri"/>
      <family val="2"/>
      <scheme val="minor"/>
    </font>
    <font>
      <b/>
      <sz val="18"/>
      <color rgb="FF00B050"/>
      <name val="Calibri"/>
      <family val="2"/>
      <scheme val="minor"/>
    </font>
    <font>
      <sz val="14"/>
      <color theme="1"/>
      <name val="Calibri"/>
      <family val="2"/>
    </font>
    <font>
      <b/>
      <sz val="8"/>
      <color rgb="FF00B050"/>
      <name val="Calibri"/>
      <family val="2"/>
      <scheme val="minor"/>
    </font>
    <font>
      <u val="singleAccounting"/>
      <sz val="9"/>
      <color theme="0"/>
      <name val="Calibri"/>
      <family val="2"/>
      <scheme val="minor"/>
    </font>
    <font>
      <b/>
      <u/>
      <sz val="12"/>
      <color theme="0"/>
      <name val="Calibri"/>
      <family val="2"/>
      <scheme val="minor"/>
    </font>
    <font>
      <b/>
      <sz val="12"/>
      <color rgb="FF009242"/>
      <name val="Calibri"/>
      <family val="2"/>
      <scheme val="minor"/>
    </font>
    <font>
      <u/>
      <sz val="12"/>
      <name val="Calibri"/>
      <family val="2"/>
      <scheme val="minor"/>
    </font>
    <font>
      <b/>
      <u/>
      <sz val="9"/>
      <name val="Calibri"/>
      <family val="2"/>
      <scheme val="minor"/>
    </font>
    <font>
      <b/>
      <sz val="9.5"/>
      <name val="Calibri"/>
      <family val="2"/>
      <scheme val="minor"/>
    </font>
    <font>
      <sz val="10"/>
      <color rgb="FF009242"/>
      <name val="Calibri"/>
      <family val="2"/>
      <scheme val="minor"/>
    </font>
    <font>
      <b/>
      <sz val="10"/>
      <color rgb="FF009242"/>
      <name val="Calibri"/>
      <family val="2"/>
      <scheme val="minor"/>
    </font>
    <font>
      <u/>
      <sz val="10"/>
      <color rgb="FF009242"/>
      <name val="Calibri"/>
      <family val="2"/>
      <scheme val="minor"/>
    </font>
    <font>
      <sz val="11"/>
      <color rgb="FF009242"/>
      <name val="Calibri"/>
      <family val="2"/>
      <scheme val="minor"/>
    </font>
    <font>
      <sz val="14"/>
      <color rgb="FFFF0000"/>
      <name val="Calibri"/>
      <family val="2"/>
      <scheme val="minor"/>
    </font>
    <font>
      <sz val="10"/>
      <color rgb="FFFF0000"/>
      <name val="Calibri"/>
      <family val="2"/>
      <scheme val="minor"/>
    </font>
    <font>
      <b/>
      <sz val="14"/>
      <color rgb="FFFF0000"/>
      <name val="Calibri"/>
      <family val="2"/>
      <scheme val="minor"/>
    </font>
    <font>
      <b/>
      <u/>
      <sz val="13"/>
      <name val="Calibri"/>
      <family val="2"/>
      <scheme val="minor"/>
    </font>
    <font>
      <b/>
      <sz val="8"/>
      <color rgb="FFFF0000"/>
      <name val="Calibri"/>
      <family val="2"/>
      <scheme val="minor"/>
    </font>
    <font>
      <b/>
      <sz val="9"/>
      <color rgb="FF009242"/>
      <name val="Calibri"/>
      <family val="2"/>
      <scheme val="minor"/>
    </font>
    <font>
      <b/>
      <sz val="8"/>
      <color theme="0"/>
      <name val="Calibri"/>
      <family val="2"/>
      <scheme val="minor"/>
    </font>
    <font>
      <b/>
      <u/>
      <sz val="16"/>
      <color rgb="FF009242"/>
      <name val="Calibri"/>
      <family val="2"/>
      <scheme val="minor"/>
    </font>
    <font>
      <b/>
      <u/>
      <sz val="12"/>
      <color rgb="FF009242"/>
      <name val="Calibri"/>
      <family val="2"/>
      <scheme val="minor"/>
    </font>
    <font>
      <sz val="12"/>
      <color rgb="FF009242"/>
      <name val="Calibri"/>
      <family val="2"/>
      <scheme val="minor"/>
    </font>
    <font>
      <b/>
      <sz val="11"/>
      <color rgb="FF009242"/>
      <name val="Calibri"/>
      <family val="2"/>
      <scheme val="minor"/>
    </font>
    <font>
      <u/>
      <sz val="9"/>
      <color rgb="FF009242"/>
      <name val="Calibri"/>
      <family val="2"/>
      <scheme val="minor"/>
    </font>
    <font>
      <u/>
      <sz val="11"/>
      <name val="Calibri"/>
      <family val="2"/>
      <scheme val="minor"/>
    </font>
    <font>
      <b/>
      <sz val="14"/>
      <color theme="0"/>
      <name val="Calibri"/>
      <family val="2"/>
      <scheme val="minor"/>
    </font>
    <font>
      <b/>
      <u/>
      <sz val="10"/>
      <color theme="0"/>
      <name val="Calibri"/>
      <family val="2"/>
      <scheme val="minor"/>
    </font>
    <font>
      <b/>
      <u/>
      <sz val="12"/>
      <color rgb="FF00B050"/>
      <name val="Calibri"/>
      <family val="2"/>
      <scheme val="minor"/>
    </font>
    <font>
      <b/>
      <sz val="14"/>
      <color rgb="FF00B050"/>
      <name val="Calibri"/>
      <family val="2"/>
      <scheme val="minor"/>
    </font>
    <font>
      <b/>
      <sz val="11"/>
      <color rgb="FFFF0000"/>
      <name val="Calibri"/>
      <family val="2"/>
    </font>
    <font>
      <b/>
      <sz val="11"/>
      <name val="Calibri"/>
      <family val="2"/>
    </font>
    <font>
      <b/>
      <sz val="10"/>
      <name val="Calibri"/>
      <family val="2"/>
    </font>
    <font>
      <b/>
      <u/>
      <sz val="9"/>
      <color theme="0"/>
      <name val="Calibri"/>
      <family val="2"/>
      <scheme val="minor"/>
    </font>
    <font>
      <sz val="8"/>
      <color rgb="FFFF0000"/>
      <name val="Calibri"/>
      <family val="2"/>
      <scheme val="minor"/>
    </font>
    <font>
      <strike/>
      <sz val="9"/>
      <color theme="1"/>
      <name val="Calibri"/>
      <family val="2"/>
      <scheme val="minor"/>
    </font>
    <font>
      <u/>
      <sz val="11"/>
      <color theme="10"/>
      <name val="Calibri"/>
      <family val="2"/>
      <scheme val="minor"/>
    </font>
    <font>
      <u/>
      <sz val="9"/>
      <color theme="0"/>
      <name val="Calibri"/>
      <family val="2"/>
      <scheme val="minor"/>
    </font>
    <font>
      <sz val="9"/>
      <color theme="10"/>
      <name val="Calibri"/>
      <family val="2"/>
      <scheme val="minor"/>
    </font>
    <font>
      <b/>
      <u/>
      <sz val="12"/>
      <color rgb="FFFF0000"/>
      <name val="Calibri"/>
      <family val="2"/>
      <scheme val="minor"/>
    </font>
    <font>
      <sz val="11"/>
      <color rgb="FF0070C0"/>
      <name val="Calibri"/>
      <family val="2"/>
      <scheme val="minor"/>
    </font>
    <font>
      <b/>
      <u/>
      <sz val="11"/>
      <color rgb="FF00B050"/>
      <name val="Calibri"/>
      <family val="2"/>
      <scheme val="minor"/>
    </font>
    <font>
      <b/>
      <u/>
      <sz val="16"/>
      <color rgb="FFFF0000"/>
      <name val="Calibri"/>
      <family val="2"/>
      <scheme val="minor"/>
    </font>
    <font>
      <b/>
      <u/>
      <sz val="14"/>
      <color rgb="FFFF0000"/>
      <name val="Calibri"/>
      <family val="2"/>
      <scheme val="minor"/>
    </font>
    <font>
      <sz val="8.5"/>
      <color theme="0"/>
      <name val="Calibri"/>
      <family val="2"/>
      <scheme val="minor"/>
    </font>
    <font>
      <u/>
      <sz val="8.5"/>
      <color theme="0"/>
      <name val="Calibri"/>
      <family val="2"/>
      <scheme val="minor"/>
    </font>
    <font>
      <b/>
      <u/>
      <sz val="9"/>
      <color rgb="FFFF0000"/>
      <name val="Calibri"/>
      <family val="2"/>
      <scheme val="minor"/>
    </font>
    <font>
      <b/>
      <sz val="16"/>
      <color rgb="FFFF0000"/>
      <name val="Calibri"/>
      <family val="2"/>
      <scheme val="minor"/>
    </font>
    <font>
      <sz val="11"/>
      <color rgb="FFC00000"/>
      <name val="Calibri"/>
      <family val="2"/>
      <scheme val="minor"/>
    </font>
    <font>
      <b/>
      <sz val="8"/>
      <color theme="1"/>
      <name val="Calibri"/>
      <family val="2"/>
    </font>
    <font>
      <sz val="8"/>
      <color theme="1"/>
      <name val="Calibri"/>
      <family val="2"/>
    </font>
    <font>
      <sz val="8"/>
      <name val="Calibri"/>
      <family val="2"/>
    </font>
    <font>
      <b/>
      <sz val="11"/>
      <color rgb="FFC00000"/>
      <name val="Calibri"/>
      <family val="2"/>
    </font>
    <font>
      <b/>
      <sz val="10"/>
      <color rgb="FFC00000"/>
      <name val="Calibri"/>
      <family val="2"/>
    </font>
    <font>
      <b/>
      <sz val="8"/>
      <color rgb="FFC00000"/>
      <name val="Calibri"/>
      <family val="2"/>
    </font>
    <font>
      <b/>
      <sz val="12.5"/>
      <color theme="1"/>
      <name val="Calibri"/>
      <family val="2"/>
      <scheme val="minor"/>
    </font>
    <font>
      <u/>
      <sz val="12"/>
      <color theme="10"/>
      <name val="Calibri"/>
      <family val="2"/>
      <scheme val="minor"/>
    </font>
    <font>
      <sz val="16"/>
      <color rgb="FF0066CC"/>
      <name val="Wingdings"/>
      <charset val="2"/>
    </font>
    <font>
      <sz val="16"/>
      <color rgb="FF0066CC"/>
      <name val="Wingdings 2"/>
      <family val="1"/>
      <charset val="2"/>
    </font>
    <font>
      <sz val="11"/>
      <color rgb="FF0066CC"/>
      <name val="Calibri"/>
      <family val="2"/>
    </font>
    <font>
      <sz val="16"/>
      <color rgb="FF0066CC"/>
      <name val="Webdings"/>
      <family val="1"/>
      <charset val="2"/>
    </font>
    <font>
      <b/>
      <sz val="11"/>
      <color rgb="FF0066CC"/>
      <name val="Calibri"/>
      <family val="2"/>
    </font>
    <font>
      <sz val="12"/>
      <color rgb="FF0066CC"/>
      <name val="Calibri"/>
      <family val="2"/>
    </font>
    <font>
      <sz val="14"/>
      <color rgb="FF0066CC"/>
      <name val="Webdings"/>
      <family val="1"/>
      <charset val="2"/>
    </font>
    <font>
      <sz val="11"/>
      <color rgb="FF000000"/>
      <name val="Calibri"/>
      <family val="2"/>
    </font>
  </fonts>
  <fills count="15">
    <fill>
      <patternFill patternType="none"/>
    </fill>
    <fill>
      <patternFill patternType="gray125"/>
    </fill>
    <fill>
      <patternFill patternType="solid">
        <fgColor rgb="FFEAF0F6"/>
        <bgColor indexed="64"/>
      </patternFill>
    </fill>
    <fill>
      <patternFill patternType="solid">
        <fgColor rgb="FFFEE6D2"/>
        <bgColor indexed="64"/>
      </patternFill>
    </fill>
    <fill>
      <patternFill patternType="solid">
        <fgColor theme="1"/>
        <bgColor indexed="64"/>
      </patternFill>
    </fill>
    <fill>
      <patternFill patternType="solid">
        <fgColor rgb="FFFDE4CF"/>
        <bgColor indexed="64"/>
      </patternFill>
    </fill>
    <fill>
      <patternFill patternType="solid">
        <fgColor rgb="FFFFFF00"/>
        <bgColor indexed="64"/>
      </patternFill>
    </fill>
    <fill>
      <patternFill patternType="solid">
        <fgColor rgb="FFFFFF99"/>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CCFF"/>
        <bgColor indexed="64"/>
      </patternFill>
    </fill>
    <fill>
      <patternFill patternType="solid">
        <fgColor rgb="FFFFDDAB"/>
        <bgColor indexed="64"/>
      </patternFill>
    </fill>
    <fill>
      <patternFill patternType="solid">
        <fgColor rgb="FF00B0F0"/>
        <bgColor indexed="64"/>
      </patternFill>
    </fill>
  </fills>
  <borders count="181">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right/>
      <top style="thin">
        <color indexed="64"/>
      </top>
      <bottom style="double">
        <color indexed="64"/>
      </bottom>
      <diagonal/>
    </border>
    <border>
      <left/>
      <right/>
      <top/>
      <bottom style="thin">
        <color rgb="FF00B050"/>
      </bottom>
      <diagonal/>
    </border>
    <border>
      <left style="thin">
        <color rgb="FF00B050"/>
      </left>
      <right/>
      <top style="thin">
        <color rgb="FF00B050"/>
      </top>
      <bottom/>
      <diagonal/>
    </border>
    <border>
      <left/>
      <right/>
      <top style="thin">
        <color rgb="FF00B050"/>
      </top>
      <bottom/>
      <diagonal/>
    </border>
    <border>
      <left/>
      <right/>
      <top style="thin">
        <color rgb="FF00B050"/>
      </top>
      <bottom style="thin">
        <color indexed="64"/>
      </bottom>
      <diagonal/>
    </border>
    <border>
      <left/>
      <right style="thin">
        <color rgb="FF00B050"/>
      </right>
      <top style="thin">
        <color rgb="FF00B050"/>
      </top>
      <bottom/>
      <diagonal/>
    </border>
    <border>
      <left style="thin">
        <color rgb="FF00B050"/>
      </left>
      <right/>
      <top/>
      <bottom/>
      <diagonal/>
    </border>
    <border>
      <left/>
      <right style="thin">
        <color rgb="FF00B050"/>
      </right>
      <top/>
      <bottom/>
      <diagonal/>
    </border>
    <border>
      <left style="thin">
        <color rgb="FF00B050"/>
      </left>
      <right/>
      <top/>
      <bottom style="thin">
        <color rgb="FF00B050"/>
      </bottom>
      <diagonal/>
    </border>
    <border>
      <left/>
      <right style="thin">
        <color rgb="FF00B050"/>
      </right>
      <top/>
      <bottom style="thin">
        <color rgb="FF00B050"/>
      </bottom>
      <diagonal/>
    </border>
    <border>
      <left/>
      <right/>
      <top style="double">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style="double">
        <color indexed="64"/>
      </top>
      <bottom style="double">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right style="medium">
        <color indexed="64"/>
      </right>
      <top/>
      <bottom/>
      <diagonal/>
    </border>
    <border>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medium">
        <color indexed="64"/>
      </left>
      <right style="thin">
        <color indexed="64"/>
      </right>
      <top style="thin">
        <color indexed="64"/>
      </top>
      <bottom/>
      <diagonal/>
    </border>
    <border>
      <left style="thin">
        <color rgb="FF00B050"/>
      </left>
      <right style="thin">
        <color rgb="FF00B050"/>
      </right>
      <top style="thin">
        <color rgb="FF00B050"/>
      </top>
      <bottom style="thin">
        <color rgb="FF00B050"/>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1"/>
      </top>
      <bottom style="double">
        <color theme="1"/>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thin">
        <color indexed="64"/>
      </left>
      <right/>
      <top style="thin">
        <color indexed="64"/>
      </top>
      <bottom style="medium">
        <color indexed="64"/>
      </bottom>
      <diagonal/>
    </border>
    <border>
      <left/>
      <right/>
      <top style="double">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rgb="FF00B050"/>
      </left>
      <right/>
      <top style="thin">
        <color rgb="FF00B050"/>
      </top>
      <bottom style="thin">
        <color rgb="FF00B050"/>
      </bottom>
      <diagonal/>
    </border>
    <border>
      <left/>
      <right/>
      <top style="thin">
        <color rgb="FF00B050"/>
      </top>
      <bottom style="thin">
        <color rgb="FF00B050"/>
      </bottom>
      <diagonal/>
    </border>
    <border>
      <left/>
      <right style="thin">
        <color rgb="FF00B050"/>
      </right>
      <top style="thin">
        <color rgb="FF00B050"/>
      </top>
      <bottom style="thin">
        <color rgb="FF00B050"/>
      </bottom>
      <diagonal/>
    </border>
    <border>
      <left/>
      <right/>
      <top/>
      <bottom style="thin">
        <color theme="4" tint="0.79998168889431442"/>
      </bottom>
      <diagonal/>
    </border>
    <border>
      <left/>
      <right style="medium">
        <color rgb="FF00B050"/>
      </right>
      <top/>
      <bottom/>
      <diagonal/>
    </border>
    <border>
      <left style="thin">
        <color rgb="FF00B050"/>
      </left>
      <right style="thin">
        <color rgb="FF00B050"/>
      </right>
      <top/>
      <bottom style="thin">
        <color rgb="FF00B050"/>
      </bottom>
      <diagonal/>
    </border>
    <border>
      <left style="thin">
        <color rgb="FF00B050"/>
      </left>
      <right style="medium">
        <color rgb="FF00B050"/>
      </right>
      <top/>
      <bottom style="thin">
        <color rgb="FF00B050"/>
      </bottom>
      <diagonal/>
    </border>
    <border>
      <left/>
      <right style="medium">
        <color rgb="FF00B050"/>
      </right>
      <top/>
      <bottom style="thin">
        <color rgb="FF00B050"/>
      </bottom>
      <diagonal/>
    </border>
    <border>
      <left style="medium">
        <color rgb="FF00B050"/>
      </left>
      <right style="thin">
        <color rgb="FF00B050"/>
      </right>
      <top style="medium">
        <color rgb="FF00B050"/>
      </top>
      <bottom style="medium">
        <color rgb="FF00B050"/>
      </bottom>
      <diagonal/>
    </border>
    <border>
      <left style="thin">
        <color rgb="FF00B050"/>
      </left>
      <right style="thin">
        <color rgb="FF00B050"/>
      </right>
      <top style="medium">
        <color rgb="FF00B050"/>
      </top>
      <bottom style="medium">
        <color rgb="FF00B050"/>
      </bottom>
      <diagonal/>
    </border>
    <border>
      <left style="thin">
        <color rgb="FF00B050"/>
      </left>
      <right style="medium">
        <color rgb="FF00B050"/>
      </right>
      <top style="medium">
        <color rgb="FF00B050"/>
      </top>
      <bottom style="medium">
        <color rgb="FF00B050"/>
      </bottom>
      <diagonal/>
    </border>
    <border>
      <left style="thin">
        <color rgb="FF00B050"/>
      </left>
      <right style="medium">
        <color rgb="FF00B050"/>
      </right>
      <top style="thin">
        <color rgb="FF00B050"/>
      </top>
      <bottom style="medium">
        <color rgb="FF00B050"/>
      </bottom>
      <diagonal/>
    </border>
    <border>
      <left/>
      <right style="thin">
        <color rgb="FF00B050"/>
      </right>
      <top style="thin">
        <color rgb="FF00B050"/>
      </top>
      <bottom style="medium">
        <color rgb="FF00B050"/>
      </bottom>
      <diagonal/>
    </border>
    <border>
      <left/>
      <right style="medium">
        <color rgb="FF00B050"/>
      </right>
      <top style="thin">
        <color rgb="FF00B050"/>
      </top>
      <bottom style="medium">
        <color rgb="FF00B050"/>
      </bottom>
      <diagonal/>
    </border>
    <border>
      <left style="thin">
        <color rgb="FF00B050"/>
      </left>
      <right style="thin">
        <color rgb="FF00B050"/>
      </right>
      <top style="thin">
        <color rgb="FF00B050"/>
      </top>
      <bottom style="medium">
        <color rgb="FF00B050"/>
      </bottom>
      <diagonal/>
    </border>
    <border>
      <left/>
      <right/>
      <top style="medium">
        <color rgb="FF00B050"/>
      </top>
      <bottom/>
      <diagonal/>
    </border>
    <border>
      <left style="medium">
        <color rgb="FF00B050"/>
      </left>
      <right style="thin">
        <color rgb="FF00B050"/>
      </right>
      <top/>
      <bottom style="thin">
        <color rgb="FF00B050"/>
      </bottom>
      <diagonal/>
    </border>
    <border>
      <left style="medium">
        <color rgb="FF00B050"/>
      </left>
      <right style="thin">
        <color rgb="FF00B050"/>
      </right>
      <top style="thin">
        <color rgb="FF00B050"/>
      </top>
      <bottom style="medium">
        <color rgb="FF00B050"/>
      </bottom>
      <diagonal/>
    </border>
    <border>
      <left/>
      <right/>
      <top style="thin">
        <color theme="4" tint="0.79998168889431442"/>
      </top>
      <bottom/>
      <diagonal/>
    </border>
    <border>
      <left style="thin">
        <color rgb="FFF6F600"/>
      </left>
      <right style="thin">
        <color rgb="FFF6F600"/>
      </right>
      <top style="thin">
        <color rgb="FFF6F600"/>
      </top>
      <bottom style="thin">
        <color rgb="FFF6F600"/>
      </bottom>
      <diagonal/>
    </border>
    <border>
      <left style="thin">
        <color rgb="FF00B050"/>
      </left>
      <right/>
      <top style="thin">
        <color rgb="FF00B050"/>
      </top>
      <bottom style="medium">
        <color rgb="FF00B050"/>
      </bottom>
      <diagonal/>
    </border>
    <border>
      <left style="medium">
        <color rgb="FF00B050"/>
      </left>
      <right/>
      <top style="medium">
        <color rgb="FF00B050"/>
      </top>
      <bottom style="medium">
        <color rgb="FF00B050"/>
      </bottom>
      <diagonal/>
    </border>
    <border>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rgb="FF00B050"/>
      </left>
      <right/>
      <top style="medium">
        <color rgb="FF00B050"/>
      </top>
      <bottom style="thin">
        <color rgb="FF00B050"/>
      </bottom>
      <diagonal/>
    </border>
    <border>
      <left/>
      <right style="medium">
        <color rgb="FF00B050"/>
      </right>
      <top style="medium">
        <color rgb="FF00B050"/>
      </top>
      <bottom style="thin">
        <color rgb="FF00B050"/>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medium">
        <color rgb="FF00B050"/>
      </left>
      <right/>
      <top style="medium">
        <color rgb="FF00B050"/>
      </top>
      <bottom/>
      <diagonal/>
    </border>
    <border>
      <left/>
      <right style="medium">
        <color rgb="FF00B050"/>
      </right>
      <top style="medium">
        <color rgb="FF00B050"/>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double">
        <color rgb="FF00B050"/>
      </left>
      <right/>
      <top style="double">
        <color rgb="FF00B050"/>
      </top>
      <bottom/>
      <diagonal/>
    </border>
    <border>
      <left/>
      <right/>
      <top style="double">
        <color rgb="FF00B050"/>
      </top>
      <bottom/>
      <diagonal/>
    </border>
    <border>
      <left/>
      <right style="double">
        <color rgb="FF00B050"/>
      </right>
      <top style="double">
        <color rgb="FF00B050"/>
      </top>
      <bottom/>
      <diagonal/>
    </border>
    <border>
      <left style="double">
        <color rgb="FF00B050"/>
      </left>
      <right/>
      <top/>
      <bottom/>
      <diagonal/>
    </border>
    <border>
      <left/>
      <right style="double">
        <color rgb="FF00B050"/>
      </right>
      <top/>
      <bottom/>
      <diagonal/>
    </border>
    <border>
      <left style="medium">
        <color rgb="FF00B050"/>
      </left>
      <right/>
      <top/>
      <bottom/>
      <diagonal/>
    </border>
    <border>
      <left style="double">
        <color rgb="FF00B050"/>
      </left>
      <right/>
      <top/>
      <bottom style="double">
        <color rgb="FF00B050"/>
      </bottom>
      <diagonal/>
    </border>
    <border>
      <left/>
      <right/>
      <top/>
      <bottom style="double">
        <color rgb="FF00B050"/>
      </bottom>
      <diagonal/>
    </border>
    <border>
      <left/>
      <right style="double">
        <color rgb="FF00B050"/>
      </right>
      <top/>
      <bottom style="double">
        <color rgb="FF00B050"/>
      </bottom>
      <diagonal/>
    </border>
    <border>
      <left style="medium">
        <color indexed="64"/>
      </left>
      <right style="medium">
        <color indexed="64"/>
      </right>
      <top style="thin">
        <color indexed="64"/>
      </top>
      <bottom style="medium">
        <color indexed="64"/>
      </bottom>
      <diagonal/>
    </border>
    <border>
      <left/>
      <right/>
      <top/>
      <bottom style="thin">
        <color rgb="FFFF0000"/>
      </bottom>
      <diagonal/>
    </border>
    <border>
      <left style="thin">
        <color theme="0" tint="-0.249977111117893"/>
      </left>
      <right style="thin">
        <color theme="0" tint="-0.249977111117893"/>
      </right>
      <top style="thin">
        <color indexed="64"/>
      </top>
      <bottom style="double">
        <color indexed="64"/>
      </bottom>
      <diagonal/>
    </border>
    <border>
      <left style="thin">
        <color theme="0" tint="-0.249977111117893"/>
      </left>
      <right style="thin">
        <color theme="0" tint="-0.249977111117893"/>
      </right>
      <top/>
      <bottom style="thin">
        <color theme="0" tint="-0.249977111117893"/>
      </bottom>
      <diagonal/>
    </border>
    <border>
      <left style="thin">
        <color theme="1"/>
      </left>
      <right style="thin">
        <color theme="1"/>
      </right>
      <top style="thin">
        <color theme="1"/>
      </top>
      <bottom style="thin">
        <color theme="1"/>
      </bottom>
      <diagonal/>
    </border>
    <border>
      <left/>
      <right style="medium">
        <color theme="1"/>
      </right>
      <top style="medium">
        <color indexed="64"/>
      </top>
      <bottom style="medium">
        <color indexed="64"/>
      </bottom>
      <diagonal/>
    </border>
    <border>
      <left style="medium">
        <color theme="1"/>
      </left>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medium">
        <color theme="1"/>
      </left>
      <right style="medium">
        <color indexed="64"/>
      </right>
      <top style="medium">
        <color indexed="64"/>
      </top>
      <bottom style="medium">
        <color indexed="64"/>
      </bottom>
      <diagonal/>
    </border>
    <border>
      <left/>
      <right style="thin">
        <color theme="1"/>
      </right>
      <top/>
      <bottom style="thin">
        <color theme="1"/>
      </bottom>
      <diagonal/>
    </border>
    <border>
      <left style="medium">
        <color indexed="64"/>
      </left>
      <right style="medium">
        <color indexed="64"/>
      </right>
      <top style="thin">
        <color theme="1"/>
      </top>
      <bottom style="thin">
        <color theme="1"/>
      </bottom>
      <diagonal/>
    </border>
    <border>
      <left style="medium">
        <color indexed="64"/>
      </left>
      <right style="medium">
        <color indexed="64"/>
      </right>
      <top style="thin">
        <color theme="1"/>
      </top>
      <bottom style="medium">
        <color indexed="64"/>
      </bottom>
      <diagonal/>
    </border>
    <border>
      <left style="medium">
        <color indexed="64"/>
      </left>
      <right style="medium">
        <color indexed="64"/>
      </right>
      <top/>
      <bottom style="thin">
        <color theme="1"/>
      </bottom>
      <diagonal/>
    </border>
    <border>
      <left style="medium">
        <color indexed="64"/>
      </left>
      <right style="medium">
        <color theme="1"/>
      </right>
      <top style="medium">
        <color indexed="64"/>
      </top>
      <bottom style="medium">
        <color indexed="64"/>
      </bottom>
      <diagonal/>
    </border>
    <border>
      <left/>
      <right/>
      <top/>
      <bottom style="thin">
        <color theme="0" tint="-0.249977111117893"/>
      </bottom>
      <diagonal/>
    </border>
    <border>
      <left style="thin">
        <color rgb="FFFF0000"/>
      </left>
      <right style="thin">
        <color rgb="FFFF0000"/>
      </right>
      <top style="thin">
        <color rgb="FFFF0000"/>
      </top>
      <bottom style="thin">
        <color rgb="FFFF0000"/>
      </bottom>
      <diagonal/>
    </border>
    <border>
      <left/>
      <right/>
      <top style="thin">
        <color rgb="FFFF0000"/>
      </top>
      <bottom style="double">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right style="thin">
        <color rgb="FFFF0000"/>
      </right>
      <top style="thin">
        <color rgb="FFFF0000"/>
      </top>
      <bottom style="double">
        <color rgb="FFFF0000"/>
      </bottom>
      <diagonal/>
    </border>
    <border>
      <left style="thin">
        <color rgb="FFFF0000"/>
      </left>
      <right/>
      <top/>
      <bottom style="thin">
        <color rgb="FFFF0000"/>
      </bottom>
      <diagonal/>
    </border>
    <border>
      <left/>
      <right style="thin">
        <color rgb="FFFF0000"/>
      </right>
      <top/>
      <bottom style="thin">
        <color rgb="FFFF0000"/>
      </bottom>
      <diagonal/>
    </border>
    <border>
      <left style="thin">
        <color rgb="FFFF0000"/>
      </left>
      <right style="thin">
        <color rgb="FFFF0000"/>
      </right>
      <top style="thin">
        <color rgb="FFFF0000"/>
      </top>
      <bottom/>
      <diagonal/>
    </border>
    <border>
      <left style="thin">
        <color indexed="64"/>
      </left>
      <right style="double">
        <color indexed="64"/>
      </right>
      <top/>
      <bottom/>
      <diagonal/>
    </border>
    <border>
      <left style="medium">
        <color indexed="64"/>
      </left>
      <right style="medium">
        <color indexed="64"/>
      </right>
      <top style="medium">
        <color indexed="64"/>
      </top>
      <bottom style="thin">
        <color theme="1"/>
      </bottom>
      <diagonal/>
    </border>
    <border>
      <left/>
      <right style="thin">
        <color theme="1"/>
      </right>
      <top style="medium">
        <color indexed="64"/>
      </top>
      <bottom style="thin">
        <color theme="1"/>
      </bottom>
      <diagonal/>
    </border>
    <border>
      <left/>
      <right style="medium">
        <color indexed="64"/>
      </right>
      <top style="medium">
        <color indexed="64"/>
      </top>
      <bottom style="thin">
        <color theme="1"/>
      </bottom>
      <diagonal/>
    </border>
    <border>
      <left/>
      <right style="medium">
        <color indexed="64"/>
      </right>
      <top/>
      <bottom style="thin">
        <color theme="1"/>
      </bottom>
      <diagonal/>
    </border>
    <border>
      <left/>
      <right style="thin">
        <color theme="1"/>
      </right>
      <top/>
      <bottom style="medium">
        <color indexed="64"/>
      </bottom>
      <diagonal/>
    </border>
    <border>
      <left style="medium">
        <color indexed="64"/>
      </left>
      <right style="thin">
        <color theme="1"/>
      </right>
      <top style="medium">
        <color indexed="64"/>
      </top>
      <bottom style="thin">
        <color theme="1"/>
      </bottom>
      <diagonal/>
    </border>
    <border>
      <left style="medium">
        <color indexed="64"/>
      </left>
      <right style="thin">
        <color theme="1"/>
      </right>
      <top/>
      <bottom style="thin">
        <color theme="1"/>
      </bottom>
      <diagonal/>
    </border>
    <border>
      <left style="medium">
        <color indexed="64"/>
      </left>
      <right style="thin">
        <color theme="1"/>
      </right>
      <top/>
      <bottom style="medium">
        <color indexed="64"/>
      </bottom>
      <diagonal/>
    </border>
    <border>
      <left style="thin">
        <color theme="1"/>
      </left>
      <right style="thin">
        <color theme="1"/>
      </right>
      <top style="medium">
        <color indexed="64"/>
      </top>
      <bottom style="thin">
        <color theme="1"/>
      </bottom>
      <diagonal/>
    </border>
    <border>
      <left style="thin">
        <color theme="1"/>
      </left>
      <right style="medium">
        <color indexed="64"/>
      </right>
      <top style="medium">
        <color indexed="64"/>
      </top>
      <bottom style="thin">
        <color theme="1"/>
      </bottom>
      <diagonal/>
    </border>
    <border>
      <left style="medium">
        <color indexed="64"/>
      </left>
      <right style="thin">
        <color theme="1"/>
      </right>
      <top style="thin">
        <color theme="1"/>
      </top>
      <bottom style="thin">
        <color theme="1"/>
      </bottom>
      <diagonal/>
    </border>
    <border>
      <left style="thin">
        <color theme="1"/>
      </left>
      <right style="medium">
        <color indexed="64"/>
      </right>
      <top style="thin">
        <color theme="1"/>
      </top>
      <bottom style="thin">
        <color theme="1"/>
      </bottom>
      <diagonal/>
    </border>
    <border>
      <left style="medium">
        <color indexed="64"/>
      </left>
      <right style="thin">
        <color theme="1"/>
      </right>
      <top style="thin">
        <color theme="1"/>
      </top>
      <bottom style="medium">
        <color indexed="64"/>
      </bottom>
      <diagonal/>
    </border>
    <border>
      <left style="thin">
        <color theme="1"/>
      </left>
      <right style="thin">
        <color theme="1"/>
      </right>
      <top style="thin">
        <color theme="1"/>
      </top>
      <bottom style="medium">
        <color indexed="64"/>
      </bottom>
      <diagonal/>
    </border>
    <border>
      <left style="thin">
        <color theme="1"/>
      </left>
      <right style="medium">
        <color indexed="64"/>
      </right>
      <top style="thin">
        <color theme="1"/>
      </top>
      <bottom style="medium">
        <color indexed="64"/>
      </bottom>
      <diagonal/>
    </border>
  </borders>
  <cellStyleXfs count="5">
    <xf numFmtId="0" fontId="0" fillId="0" borderId="0"/>
    <xf numFmtId="44" fontId="1" fillId="0" borderId="0" applyFont="0" applyFill="0" applyBorder="0" applyAlignment="0" applyProtection="0"/>
    <xf numFmtId="9" fontId="1" fillId="0" borderId="0" applyFont="0" applyFill="0" applyBorder="0" applyAlignment="0" applyProtection="0"/>
    <xf numFmtId="0" fontId="63" fillId="0" borderId="0"/>
    <xf numFmtId="0" fontId="150" fillId="0" borderId="0" applyNumberFormat="0" applyFill="0" applyBorder="0" applyAlignment="0" applyProtection="0"/>
  </cellStyleXfs>
  <cellXfs count="2541">
    <xf numFmtId="0" fontId="0" fillId="0" borderId="0" xfId="0"/>
    <xf numFmtId="0" fontId="3" fillId="2" borderId="1" xfId="0" applyFont="1" applyFill="1" applyBorder="1" applyAlignment="1" applyProtection="1">
      <alignment horizontal="center"/>
      <protection locked="0"/>
    </xf>
    <xf numFmtId="0" fontId="2" fillId="0" borderId="0" xfId="0" applyFont="1"/>
    <xf numFmtId="0" fontId="3" fillId="0" borderId="0" xfId="0" applyFont="1"/>
    <xf numFmtId="49" fontId="2" fillId="0" borderId="0" xfId="0" applyNumberFormat="1" applyFont="1" applyAlignment="1">
      <alignment horizontal="right"/>
    </xf>
    <xf numFmtId="44" fontId="3" fillId="0" borderId="0" xfId="0" applyNumberFormat="1" applyFont="1"/>
    <xf numFmtId="44" fontId="3" fillId="0" borderId="0" xfId="1" applyFont="1"/>
    <xf numFmtId="44" fontId="3" fillId="0" borderId="0" xfId="0" applyNumberFormat="1" applyFont="1" applyAlignment="1">
      <alignment vertical="center"/>
    </xf>
    <xf numFmtId="0" fontId="3" fillId="0" borderId="0" xfId="0" applyFont="1" applyAlignment="1">
      <alignment vertical="center"/>
    </xf>
    <xf numFmtId="0" fontId="2" fillId="0" borderId="0" xfId="0" applyFont="1" applyAlignment="1">
      <alignment horizontal="right"/>
    </xf>
    <xf numFmtId="0" fontId="3" fillId="0" borderId="0" xfId="1" applyNumberFormat="1" applyFont="1"/>
    <xf numFmtId="44" fontId="3" fillId="0" borderId="0" xfId="1" applyFont="1" applyAlignment="1">
      <alignment horizontal="right"/>
    </xf>
    <xf numFmtId="0" fontId="3" fillId="0" borderId="0" xfId="0" applyFont="1" applyAlignment="1">
      <alignment horizontal="center"/>
    </xf>
    <xf numFmtId="44" fontId="3" fillId="0" borderId="1" xfId="1" applyFont="1" applyBorder="1" applyAlignment="1">
      <alignment horizontal="center"/>
    </xf>
    <xf numFmtId="44" fontId="3" fillId="0" borderId="0" xfId="1" applyFont="1" applyAlignment="1">
      <alignment horizontal="center"/>
    </xf>
    <xf numFmtId="0" fontId="0" fillId="0" borderId="0" xfId="0" applyAlignment="1">
      <alignment horizontal="right"/>
    </xf>
    <xf numFmtId="0" fontId="2" fillId="0" borderId="1" xfId="0" applyFont="1" applyBorder="1"/>
    <xf numFmtId="0" fontId="2" fillId="0" borderId="0" xfId="0" applyFont="1" applyAlignment="1">
      <alignment wrapText="1"/>
    </xf>
    <xf numFmtId="44" fontId="3" fillId="0" borderId="1" xfId="1" applyFont="1" applyBorder="1" applyAlignment="1">
      <alignment horizontal="right"/>
    </xf>
    <xf numFmtId="0" fontId="0" fillId="0" borderId="0" xfId="0" applyAlignment="1">
      <alignment wrapText="1"/>
    </xf>
    <xf numFmtId="0" fontId="0" fillId="0" borderId="0" xfId="0" applyAlignment="1">
      <alignment vertical="top" wrapText="1"/>
    </xf>
    <xf numFmtId="44" fontId="3" fillId="0" borderId="0" xfId="1" applyFont="1" applyAlignment="1">
      <alignment horizontal="center" vertical="center"/>
    </xf>
    <xf numFmtId="44" fontId="18" fillId="0" borderId="0" xfId="1" applyFont="1" applyAlignment="1">
      <alignment horizontal="right" vertical="center"/>
    </xf>
    <xf numFmtId="49" fontId="2" fillId="0" borderId="0" xfId="0" applyNumberFormat="1" applyFont="1" applyAlignment="1">
      <alignment horizontal="right" vertical="center"/>
    </xf>
    <xf numFmtId="0" fontId="17" fillId="0" borderId="0" xfId="0" applyFont="1"/>
    <xf numFmtId="44" fontId="3" fillId="0" borderId="0" xfId="1" applyFont="1" applyAlignment="1">
      <alignment horizontal="right" vertical="center"/>
    </xf>
    <xf numFmtId="0" fontId="3" fillId="0" borderId="1" xfId="0" applyFont="1" applyBorder="1"/>
    <xf numFmtId="44" fontId="3" fillId="0" borderId="1" xfId="1" applyFont="1" applyBorder="1" applyAlignment="1">
      <alignment horizontal="right" vertical="center"/>
    </xf>
    <xf numFmtId="0" fontId="0" fillId="0" borderId="0" xfId="0" applyAlignment="1">
      <alignment horizontal="left" vertical="top" wrapText="1"/>
    </xf>
    <xf numFmtId="0" fontId="0" fillId="0" borderId="0" xfId="0" applyAlignment="1">
      <alignment horizontal="left"/>
    </xf>
    <xf numFmtId="0" fontId="3" fillId="0" borderId="0" xfId="0" applyFont="1" applyAlignment="1">
      <alignment horizontal="left" vertical="center"/>
    </xf>
    <xf numFmtId="44" fontId="3" fillId="0" borderId="0" xfId="1" applyFont="1" applyAlignment="1">
      <alignment horizontal="left" vertical="center"/>
    </xf>
    <xf numFmtId="0" fontId="0" fillId="0" borderId="0" xfId="0" applyAlignment="1">
      <alignment horizontal="left" wrapText="1"/>
    </xf>
    <xf numFmtId="0" fontId="13" fillId="0" borderId="0" xfId="0" applyFont="1" applyAlignment="1">
      <alignment horizontal="left"/>
    </xf>
    <xf numFmtId="49" fontId="2" fillId="0" borderId="0" xfId="0" applyNumberFormat="1" applyFont="1"/>
    <xf numFmtId="0" fontId="8" fillId="0" borderId="0" xfId="0" applyFont="1" applyAlignment="1">
      <alignment vertical="center"/>
    </xf>
    <xf numFmtId="0" fontId="21" fillId="0" borderId="0" xfId="0" applyFont="1"/>
    <xf numFmtId="0" fontId="2" fillId="0" borderId="15" xfId="0" applyFont="1" applyBorder="1"/>
    <xf numFmtId="0" fontId="23" fillId="0" borderId="0" xfId="0" applyFont="1"/>
    <xf numFmtId="0" fontId="22" fillId="0" borderId="0" xfId="0" applyFont="1" applyAlignment="1">
      <alignment horizontal="center" vertical="center" wrapText="1"/>
    </xf>
    <xf numFmtId="0" fontId="3" fillId="0" borderId="0" xfId="1" applyNumberFormat="1" applyFont="1" applyAlignment="1">
      <alignment horizontal="center" vertical="center"/>
    </xf>
    <xf numFmtId="44" fontId="8" fillId="0" borderId="0" xfId="1" applyFont="1"/>
    <xf numFmtId="0" fontId="1" fillId="0" borderId="0" xfId="0" applyFont="1"/>
    <xf numFmtId="0" fontId="21" fillId="0" borderId="0" xfId="0" applyFont="1" applyProtection="1">
      <protection locked="0" hidden="1"/>
    </xf>
    <xf numFmtId="44" fontId="13" fillId="0" borderId="0" xfId="1" applyFont="1"/>
    <xf numFmtId="0" fontId="24" fillId="0" borderId="0" xfId="0" applyFont="1"/>
    <xf numFmtId="0" fontId="19" fillId="0" borderId="0" xfId="0" applyFont="1"/>
    <xf numFmtId="0" fontId="21" fillId="0" borderId="0" xfId="0" applyFont="1" applyProtection="1">
      <protection hidden="1"/>
    </xf>
    <xf numFmtId="44" fontId="3" fillId="2" borderId="0" xfId="1" applyFont="1" applyFill="1" applyProtection="1">
      <protection locked="0"/>
    </xf>
    <xf numFmtId="4" fontId="3" fillId="0" borderId="0" xfId="1" applyNumberFormat="1" applyFont="1" applyAlignment="1" applyProtection="1">
      <alignment horizontal="center"/>
      <protection locked="0"/>
    </xf>
    <xf numFmtId="165" fontId="18" fillId="0" borderId="0" xfId="0" applyNumberFormat="1" applyFont="1"/>
    <xf numFmtId="49" fontId="3" fillId="0" borderId="0" xfId="0" applyNumberFormat="1" applyFont="1" applyAlignment="1">
      <alignment horizontal="right"/>
    </xf>
    <xf numFmtId="0" fontId="25" fillId="0" borderId="0" xfId="1" applyNumberFormat="1" applyFont="1"/>
    <xf numFmtId="0" fontId="19" fillId="0" borderId="0" xfId="0" applyFont="1" applyProtection="1">
      <protection hidden="1"/>
    </xf>
    <xf numFmtId="44" fontId="28" fillId="0" borderId="0" xfId="1" applyFont="1"/>
    <xf numFmtId="0" fontId="18" fillId="0" borderId="0" xfId="0" applyFont="1" applyAlignment="1">
      <alignment vertical="center"/>
    </xf>
    <xf numFmtId="0" fontId="13" fillId="0" borderId="0" xfId="0" applyFont="1"/>
    <xf numFmtId="0" fontId="30" fillId="0" borderId="0" xfId="0" applyFont="1"/>
    <xf numFmtId="0" fontId="3" fillId="0" borderId="0" xfId="0" applyFont="1" applyAlignment="1">
      <alignment horizontal="right"/>
    </xf>
    <xf numFmtId="44" fontId="3" fillId="2" borderId="44" xfId="1" applyFont="1" applyFill="1" applyBorder="1" applyProtection="1">
      <protection locked="0"/>
    </xf>
    <xf numFmtId="44" fontId="3" fillId="2" borderId="23" xfId="1" applyFont="1" applyFill="1" applyBorder="1" applyProtection="1">
      <protection locked="0"/>
    </xf>
    <xf numFmtId="44" fontId="3" fillId="2" borderId="50" xfId="1" applyFont="1" applyFill="1" applyBorder="1" applyProtection="1">
      <protection locked="0"/>
    </xf>
    <xf numFmtId="44" fontId="3" fillId="2" borderId="30" xfId="1" applyFont="1" applyFill="1" applyBorder="1" applyProtection="1">
      <protection locked="0"/>
    </xf>
    <xf numFmtId="44" fontId="3" fillId="0" borderId="46" xfId="1" applyFont="1" applyBorder="1" applyAlignment="1">
      <alignment vertical="center"/>
    </xf>
    <xf numFmtId="44" fontId="3" fillId="0" borderId="35" xfId="1" applyFont="1" applyBorder="1" applyAlignment="1">
      <alignment vertical="center"/>
    </xf>
    <xf numFmtId="0" fontId="3" fillId="0" borderId="21" xfId="0" applyFont="1" applyBorder="1" applyAlignment="1">
      <alignment horizontal="center"/>
    </xf>
    <xf numFmtId="0" fontId="2" fillId="0" borderId="0" xfId="0" applyFont="1" applyAlignment="1">
      <alignment horizontal="left"/>
    </xf>
    <xf numFmtId="0" fontId="3" fillId="0" borderId="0" xfId="0" applyFont="1" applyAlignment="1">
      <alignment horizontal="center" vertical="center"/>
    </xf>
    <xf numFmtId="0" fontId="2" fillId="0" borderId="0" xfId="0" applyFont="1" applyAlignment="1">
      <alignment vertical="center"/>
    </xf>
    <xf numFmtId="44" fontId="2" fillId="0" borderId="0" xfId="0" applyNumberFormat="1" applyFont="1"/>
    <xf numFmtId="44" fontId="2" fillId="0" borderId="0" xfId="0" applyNumberFormat="1" applyFont="1" applyAlignment="1">
      <alignment horizontal="center"/>
    </xf>
    <xf numFmtId="44" fontId="2" fillId="0" borderId="15" xfId="1" applyFont="1" applyBorder="1" applyAlignment="1">
      <alignment horizontal="center"/>
    </xf>
    <xf numFmtId="44" fontId="19" fillId="0" borderId="0" xfId="0" applyNumberFormat="1" applyFont="1"/>
    <xf numFmtId="49" fontId="0" fillId="0" borderId="0" xfId="0" applyNumberFormat="1" applyAlignment="1">
      <alignment horizontal="right"/>
    </xf>
    <xf numFmtId="0" fontId="0" fillId="0" borderId="0" xfId="0" applyAlignment="1">
      <alignment vertical="center"/>
    </xf>
    <xf numFmtId="0" fontId="13" fillId="0" borderId="0" xfId="0" applyFont="1" applyAlignment="1">
      <alignment vertical="center"/>
    </xf>
    <xf numFmtId="44" fontId="13" fillId="0" borderId="0" xfId="1" applyFont="1" applyAlignment="1">
      <alignment horizontal="right"/>
    </xf>
    <xf numFmtId="44" fontId="0" fillId="0" borderId="0" xfId="1" applyFont="1" applyAlignment="1">
      <alignment vertical="center"/>
    </xf>
    <xf numFmtId="44" fontId="13" fillId="0" borderId="0" xfId="1" applyFont="1" applyAlignment="1">
      <alignment vertical="center"/>
    </xf>
    <xf numFmtId="44" fontId="0" fillId="0" borderId="0" xfId="0" applyNumberFormat="1"/>
    <xf numFmtId="44" fontId="13" fillId="0" borderId="0" xfId="1" applyFont="1" applyAlignment="1">
      <alignment horizontal="center" vertical="center"/>
    </xf>
    <xf numFmtId="44" fontId="13" fillId="0" borderId="0" xfId="1" applyFont="1" applyAlignment="1">
      <alignment horizontal="right" vertical="center"/>
    </xf>
    <xf numFmtId="44" fontId="0" fillId="0" borderId="0" xfId="1" applyFont="1" applyAlignment="1">
      <alignment horizontal="center"/>
    </xf>
    <xf numFmtId="44" fontId="13" fillId="0" borderId="0" xfId="1" applyFont="1" applyAlignment="1">
      <alignment horizontal="center"/>
    </xf>
    <xf numFmtId="49" fontId="17" fillId="0" borderId="0" xfId="0" applyNumberFormat="1" applyFont="1" applyAlignment="1">
      <alignment horizontal="left"/>
    </xf>
    <xf numFmtId="0" fontId="17" fillId="0" borderId="0" xfId="0" applyFont="1" applyAlignment="1">
      <alignment horizontal="left"/>
    </xf>
    <xf numFmtId="49" fontId="0" fillId="0" borderId="0" xfId="0" applyNumberFormat="1" applyAlignment="1">
      <alignment horizontal="left"/>
    </xf>
    <xf numFmtId="44" fontId="31" fillId="0" borderId="0" xfId="0" applyNumberFormat="1" applyFont="1" applyAlignment="1">
      <alignment horizontal="left"/>
    </xf>
    <xf numFmtId="0" fontId="31" fillId="0" borderId="0" xfId="0" applyFont="1" applyAlignment="1">
      <alignment horizontal="left"/>
    </xf>
    <xf numFmtId="44" fontId="21" fillId="0" borderId="0" xfId="0" applyNumberFormat="1" applyFont="1" applyAlignment="1">
      <alignment horizontal="left"/>
    </xf>
    <xf numFmtId="0" fontId="26" fillId="0" borderId="0" xfId="0" applyFont="1" applyAlignment="1">
      <alignment horizontal="left"/>
    </xf>
    <xf numFmtId="0" fontId="3" fillId="0" borderId="0" xfId="1" applyNumberFormat="1" applyFont="1" applyAlignment="1">
      <alignment horizontal="left"/>
    </xf>
    <xf numFmtId="0" fontId="3" fillId="0" borderId="0" xfId="0" applyFont="1" applyAlignment="1">
      <alignment horizontal="left"/>
    </xf>
    <xf numFmtId="44" fontId="17" fillId="0" borderId="0" xfId="1" applyFont="1" applyAlignment="1">
      <alignment horizontal="right"/>
    </xf>
    <xf numFmtId="44" fontId="17" fillId="0" borderId="0" xfId="1" applyFont="1" applyAlignment="1">
      <alignment vertical="center"/>
    </xf>
    <xf numFmtId="44" fontId="17" fillId="0" borderId="0" xfId="1" applyFont="1" applyAlignment="1">
      <alignment horizontal="center"/>
    </xf>
    <xf numFmtId="49" fontId="3" fillId="0" borderId="0" xfId="0" applyNumberFormat="1" applyFont="1" applyAlignment="1">
      <alignment horizontal="center" vertical="center"/>
    </xf>
    <xf numFmtId="9" fontId="21" fillId="0" borderId="0" xfId="0" applyNumberFormat="1" applyFont="1"/>
    <xf numFmtId="9" fontId="19" fillId="0" borderId="0" xfId="0" applyNumberFormat="1" applyFont="1"/>
    <xf numFmtId="49" fontId="2" fillId="0" borderId="0" xfId="0" applyNumberFormat="1" applyFont="1" applyAlignment="1">
      <alignment vertical="center"/>
    </xf>
    <xf numFmtId="0" fontId="25" fillId="0" borderId="0" xfId="1" applyNumberFormat="1" applyFont="1" applyAlignment="1">
      <alignment vertical="center"/>
    </xf>
    <xf numFmtId="44" fontId="34" fillId="0" borderId="0" xfId="1" applyFont="1" applyAlignment="1">
      <alignment vertical="center"/>
    </xf>
    <xf numFmtId="0" fontId="34" fillId="0" borderId="0" xfId="1" applyNumberFormat="1" applyFont="1" applyAlignment="1">
      <alignment vertical="center"/>
    </xf>
    <xf numFmtId="0" fontId="34" fillId="0" borderId="0" xfId="0" applyFont="1" applyAlignment="1">
      <alignment vertical="center"/>
    </xf>
    <xf numFmtId="0" fontId="19" fillId="0" borderId="0" xfId="0" applyFont="1" applyAlignment="1">
      <alignment vertical="center"/>
    </xf>
    <xf numFmtId="0" fontId="21" fillId="0" borderId="0" xfId="0" applyFont="1" applyAlignment="1">
      <alignment vertical="center"/>
    </xf>
    <xf numFmtId="0" fontId="3" fillId="0" borderId="5" xfId="1" applyNumberFormat="1" applyFont="1" applyBorder="1"/>
    <xf numFmtId="0" fontId="0" fillId="0" borderId="5" xfId="0" applyBorder="1"/>
    <xf numFmtId="0" fontId="2" fillId="0" borderId="13" xfId="0" applyFont="1" applyBorder="1"/>
    <xf numFmtId="0" fontId="15" fillId="0" borderId="0" xfId="0" applyFont="1" applyAlignment="1">
      <alignment horizontal="left" vertical="center"/>
    </xf>
    <xf numFmtId="44" fontId="30" fillId="0" borderId="0" xfId="1" applyFont="1" applyAlignment="1">
      <alignment horizontal="left" vertical="center"/>
    </xf>
    <xf numFmtId="0" fontId="30" fillId="0" borderId="0" xfId="0" applyFont="1" applyAlignment="1">
      <alignment vertical="center"/>
    </xf>
    <xf numFmtId="10" fontId="30" fillId="0" borderId="4" xfId="2" applyNumberFormat="1" applyFont="1" applyBorder="1" applyAlignment="1">
      <alignment horizontal="center" vertical="center"/>
    </xf>
    <xf numFmtId="0" fontId="23" fillId="0" borderId="0" xfId="0" applyFont="1" applyAlignment="1">
      <alignment vertical="top" wrapText="1"/>
    </xf>
    <xf numFmtId="0" fontId="18" fillId="0" borderId="0" xfId="1" applyNumberFormat="1" applyFont="1"/>
    <xf numFmtId="0" fontId="24" fillId="0" borderId="0" xfId="0" applyFont="1" applyAlignment="1">
      <alignment horizontal="left"/>
    </xf>
    <xf numFmtId="49" fontId="24" fillId="0" borderId="0" xfId="0" applyNumberFormat="1" applyFont="1" applyAlignment="1">
      <alignment horizontal="right"/>
    </xf>
    <xf numFmtId="49" fontId="24" fillId="0" borderId="0" xfId="0" applyNumberFormat="1" applyFont="1"/>
    <xf numFmtId="49" fontId="18" fillId="0" borderId="0" xfId="0" applyNumberFormat="1" applyFont="1" applyAlignment="1">
      <alignment horizontal="center" vertical="center"/>
    </xf>
    <xf numFmtId="0" fontId="18" fillId="0" borderId="0" xfId="1" applyNumberFormat="1" applyFont="1" applyAlignment="1">
      <alignment horizontal="center" vertical="center"/>
    </xf>
    <xf numFmtId="0" fontId="18" fillId="0" borderId="0" xfId="0" applyFont="1" applyAlignment="1">
      <alignment horizontal="center" vertical="center"/>
    </xf>
    <xf numFmtId="0" fontId="18" fillId="0" borderId="0" xfId="1" applyNumberFormat="1" applyFont="1" applyAlignment="1">
      <alignment vertical="center"/>
    </xf>
    <xf numFmtId="4" fontId="3" fillId="0" borderId="0" xfId="1" applyNumberFormat="1" applyFont="1" applyAlignment="1">
      <alignment horizontal="center"/>
    </xf>
    <xf numFmtId="44" fontId="3" fillId="0" borderId="12" xfId="1" applyFont="1" applyBorder="1"/>
    <xf numFmtId="4" fontId="3" fillId="0" borderId="5" xfId="1" applyNumberFormat="1" applyFont="1" applyBorder="1" applyAlignment="1">
      <alignment horizontal="left"/>
    </xf>
    <xf numFmtId="0" fontId="23" fillId="0" borderId="0" xfId="0" applyFont="1" applyAlignment="1">
      <alignment horizontal="left"/>
    </xf>
    <xf numFmtId="10" fontId="3" fillId="2" borderId="0" xfId="2" applyNumberFormat="1" applyFont="1" applyFill="1" applyAlignment="1" applyProtection="1">
      <alignment horizontal="center"/>
      <protection locked="0"/>
    </xf>
    <xf numFmtId="44" fontId="30" fillId="2" borderId="3" xfId="1" applyFont="1" applyFill="1" applyBorder="1" applyAlignment="1" applyProtection="1">
      <alignment horizontal="left" vertical="center"/>
      <protection locked="0"/>
    </xf>
    <xf numFmtId="0" fontId="21" fillId="0" borderId="0" xfId="0" applyFont="1" applyAlignment="1">
      <alignment horizontal="left"/>
    </xf>
    <xf numFmtId="0" fontId="21" fillId="0" borderId="0" xfId="0" applyFont="1" applyAlignment="1">
      <alignment vertical="top" wrapText="1"/>
    </xf>
    <xf numFmtId="0" fontId="25" fillId="0" borderId="0" xfId="0" applyFont="1" applyAlignment="1" applyProtection="1">
      <alignment horizontal="center" vertical="center"/>
      <protection hidden="1"/>
    </xf>
    <xf numFmtId="0" fontId="25" fillId="0" borderId="11" xfId="0" applyFont="1" applyBorder="1" applyAlignment="1" applyProtection="1">
      <alignment horizontal="center" vertical="center"/>
      <protection hidden="1"/>
    </xf>
    <xf numFmtId="0" fontId="6" fillId="0" borderId="0" xfId="0" applyFont="1" applyAlignment="1">
      <alignment horizontal="center"/>
    </xf>
    <xf numFmtId="44" fontId="3" fillId="0" borderId="0" xfId="0" applyNumberFormat="1" applyFont="1" applyAlignment="1">
      <alignment horizontal="center"/>
    </xf>
    <xf numFmtId="0" fontId="32" fillId="0" borderId="0" xfId="0" applyFont="1"/>
    <xf numFmtId="0" fontId="32" fillId="0" borderId="0" xfId="0" applyFont="1" applyAlignment="1">
      <alignment horizontal="left"/>
    </xf>
    <xf numFmtId="0" fontId="36" fillId="0" borderId="0" xfId="0" applyFont="1" applyAlignment="1">
      <alignment horizontal="right" vertical="top"/>
    </xf>
    <xf numFmtId="0" fontId="36" fillId="0" borderId="0" xfId="0" applyFont="1" applyAlignment="1">
      <alignment horizontal="center" vertical="top"/>
    </xf>
    <xf numFmtId="0" fontId="36" fillId="0" borderId="0" xfId="0" applyFont="1" applyAlignment="1">
      <alignment vertical="top"/>
    </xf>
    <xf numFmtId="49" fontId="36" fillId="0" borderId="0" xfId="0" applyNumberFormat="1" applyFont="1" applyAlignment="1">
      <alignment vertical="top"/>
    </xf>
    <xf numFmtId="0" fontId="36" fillId="0" borderId="0" xfId="0" applyFont="1" applyAlignment="1">
      <alignment horizontal="center"/>
    </xf>
    <xf numFmtId="44" fontId="32" fillId="0" borderId="0" xfId="1" applyFont="1" applyAlignment="1">
      <alignment horizontal="center"/>
    </xf>
    <xf numFmtId="0" fontId="32" fillId="0" borderId="0" xfId="0" applyFont="1" applyAlignment="1">
      <alignment horizontal="right"/>
    </xf>
    <xf numFmtId="0" fontId="32" fillId="2" borderId="0" xfId="0" applyFont="1" applyFill="1" applyAlignment="1" applyProtection="1">
      <alignment horizontal="center"/>
      <protection locked="0"/>
    </xf>
    <xf numFmtId="49" fontId="24" fillId="0" borderId="0" xfId="0" applyNumberFormat="1" applyFont="1" applyAlignment="1">
      <alignment horizontal="left"/>
    </xf>
    <xf numFmtId="0" fontId="18" fillId="0" borderId="0" xfId="1" applyNumberFormat="1" applyFont="1" applyAlignment="1">
      <alignment horizontal="left"/>
    </xf>
    <xf numFmtId="0" fontId="18" fillId="0" borderId="0" xfId="1" applyNumberFormat="1" applyFont="1" applyAlignment="1">
      <alignment horizontal="right"/>
    </xf>
    <xf numFmtId="0" fontId="18" fillId="0" borderId="0" xfId="1" applyNumberFormat="1" applyFont="1" applyAlignment="1">
      <alignment horizontal="center"/>
    </xf>
    <xf numFmtId="44" fontId="24" fillId="0" borderId="0" xfId="0" applyNumberFormat="1" applyFont="1"/>
    <xf numFmtId="49" fontId="18" fillId="0" borderId="0" xfId="0" applyNumberFormat="1" applyFont="1" applyAlignment="1">
      <alignment horizontal="left"/>
    </xf>
    <xf numFmtId="0" fontId="42" fillId="0" borderId="0" xfId="0" applyFont="1"/>
    <xf numFmtId="0" fontId="42" fillId="0" borderId="0" xfId="0" applyFont="1" applyAlignment="1">
      <alignment horizontal="center"/>
    </xf>
    <xf numFmtId="0" fontId="32" fillId="0" borderId="0" xfId="0" applyFont="1" applyAlignment="1">
      <alignment horizontal="left" vertical="top" wrapText="1"/>
    </xf>
    <xf numFmtId="49" fontId="23" fillId="0" borderId="0" xfId="0" applyNumberFormat="1" applyFont="1" applyAlignment="1">
      <alignment horizontal="left"/>
    </xf>
    <xf numFmtId="0" fontId="23" fillId="0" borderId="0" xfId="0" applyFont="1" applyAlignment="1">
      <alignment horizontal="center"/>
    </xf>
    <xf numFmtId="49" fontId="32" fillId="0" borderId="0" xfId="0" applyNumberFormat="1" applyFont="1" applyAlignment="1">
      <alignment horizontal="left"/>
    </xf>
    <xf numFmtId="0" fontId="28" fillId="0" borderId="0" xfId="0" applyFont="1"/>
    <xf numFmtId="0" fontId="28" fillId="0" borderId="0" xfId="0" applyFont="1" applyAlignment="1">
      <alignment horizontal="center"/>
    </xf>
    <xf numFmtId="0" fontId="28" fillId="0" borderId="0" xfId="0" applyFont="1" applyAlignment="1">
      <alignment horizontal="left"/>
    </xf>
    <xf numFmtId="44" fontId="23" fillId="0" borderId="0" xfId="0" applyNumberFormat="1" applyFont="1"/>
    <xf numFmtId="0" fontId="23" fillId="0" borderId="0" xfId="0" applyFont="1" applyAlignment="1">
      <alignment horizontal="left" vertical="top"/>
    </xf>
    <xf numFmtId="44" fontId="3" fillId="0" borderId="0" xfId="1" applyFont="1" applyAlignment="1">
      <alignment horizontal="left"/>
    </xf>
    <xf numFmtId="49" fontId="3" fillId="0" borderId="0" xfId="0" applyNumberFormat="1" applyFont="1" applyAlignment="1">
      <alignment horizontal="left" vertical="center"/>
    </xf>
    <xf numFmtId="0" fontId="3" fillId="0" borderId="16" xfId="0" applyFont="1" applyBorder="1" applyAlignment="1">
      <alignment horizontal="center" vertical="center"/>
    </xf>
    <xf numFmtId="0" fontId="3" fillId="0" borderId="16" xfId="0" applyFont="1" applyBorder="1" applyAlignment="1">
      <alignment horizontal="center"/>
    </xf>
    <xf numFmtId="0" fontId="36" fillId="0" borderId="0" xfId="1" applyNumberFormat="1" applyFont="1"/>
    <xf numFmtId="0" fontId="3" fillId="0" borderId="0" xfId="1" applyNumberFormat="1" applyFont="1" applyAlignment="1">
      <alignment horizontal="center"/>
    </xf>
    <xf numFmtId="49" fontId="15" fillId="0" borderId="0" xfId="0" applyNumberFormat="1" applyFont="1" applyAlignment="1">
      <alignment vertical="top"/>
    </xf>
    <xf numFmtId="49" fontId="2" fillId="0" borderId="0" xfId="0" applyNumberFormat="1" applyFont="1" applyAlignment="1">
      <alignment horizontal="left"/>
    </xf>
    <xf numFmtId="49" fontId="3" fillId="0" borderId="21" xfId="0" applyNumberFormat="1" applyFont="1" applyBorder="1"/>
    <xf numFmtId="49" fontId="3" fillId="0" borderId="0" xfId="0" applyNumberFormat="1" applyFont="1"/>
    <xf numFmtId="0" fontId="0" fillId="0" borderId="64" xfId="0" applyBorder="1"/>
    <xf numFmtId="0" fontId="0" fillId="0" borderId="22" xfId="0" applyBorder="1"/>
    <xf numFmtId="49" fontId="3" fillId="0" borderId="0" xfId="0" applyNumberFormat="1" applyFont="1" applyAlignment="1">
      <alignment vertical="center"/>
    </xf>
    <xf numFmtId="44" fontId="3" fillId="3" borderId="31" xfId="1" applyFont="1" applyFill="1" applyBorder="1"/>
    <xf numFmtId="44" fontId="3" fillId="3" borderId="26" xfId="1" applyFont="1" applyFill="1" applyBorder="1"/>
    <xf numFmtId="44" fontId="3" fillId="3" borderId="28" xfId="1" applyFont="1" applyFill="1" applyBorder="1"/>
    <xf numFmtId="44" fontId="3" fillId="3" borderId="63" xfId="1" applyFont="1" applyFill="1" applyBorder="1"/>
    <xf numFmtId="44" fontId="3" fillId="0" borderId="46" xfId="1" applyFont="1" applyBorder="1"/>
    <xf numFmtId="44" fontId="3" fillId="2" borderId="25" xfId="1" applyFont="1" applyFill="1" applyBorder="1" applyProtection="1">
      <protection locked="0"/>
    </xf>
    <xf numFmtId="44" fontId="13" fillId="2" borderId="66" xfId="1" applyFont="1" applyFill="1" applyBorder="1" applyProtection="1">
      <protection locked="0"/>
    </xf>
    <xf numFmtId="44" fontId="13" fillId="2" borderId="67" xfId="1" applyFont="1" applyFill="1" applyBorder="1" applyProtection="1">
      <protection locked="0"/>
    </xf>
    <xf numFmtId="44" fontId="13" fillId="0" borderId="62" xfId="1" applyFont="1" applyBorder="1" applyAlignment="1">
      <alignment vertical="center"/>
    </xf>
    <xf numFmtId="44" fontId="13" fillId="2" borderId="57" xfId="1" applyFont="1" applyFill="1" applyBorder="1" applyProtection="1">
      <protection locked="0"/>
    </xf>
    <xf numFmtId="0" fontId="25" fillId="0" borderId="2" xfId="0" applyFont="1" applyBorder="1"/>
    <xf numFmtId="1" fontId="25" fillId="0" borderId="2" xfId="0" applyNumberFormat="1" applyFont="1" applyBorder="1"/>
    <xf numFmtId="0" fontId="15" fillId="0" borderId="0" xfId="0" applyFont="1"/>
    <xf numFmtId="0" fontId="46" fillId="0" borderId="19" xfId="0" applyFont="1" applyBorder="1" applyAlignment="1">
      <alignment vertical="top" wrapText="1"/>
    </xf>
    <xf numFmtId="0" fontId="21" fillId="0" borderId="19" xfId="0" applyFont="1" applyBorder="1" applyAlignment="1">
      <alignment horizontal="right" vertical="center" wrapText="1"/>
    </xf>
    <xf numFmtId="44" fontId="3" fillId="2" borderId="46" xfId="1" applyFont="1" applyFill="1" applyBorder="1" applyProtection="1">
      <protection locked="0"/>
    </xf>
    <xf numFmtId="0" fontId="46" fillId="0" borderId="0" xfId="0" applyFont="1" applyAlignment="1">
      <alignment vertical="top" wrapText="1"/>
    </xf>
    <xf numFmtId="0" fontId="1" fillId="0" borderId="0" xfId="1" applyNumberFormat="1" applyAlignment="1">
      <alignment horizontal="center"/>
    </xf>
    <xf numFmtId="0" fontId="26" fillId="0" borderId="0" xfId="0" applyFont="1"/>
    <xf numFmtId="0" fontId="48" fillId="0" borderId="0" xfId="0" applyFont="1"/>
    <xf numFmtId="0" fontId="49" fillId="0" borderId="0" xfId="0" applyFont="1"/>
    <xf numFmtId="0" fontId="25" fillId="0" borderId="0" xfId="0" applyFont="1" applyAlignment="1">
      <alignment horizontal="center" vertical="center"/>
    </xf>
    <xf numFmtId="0" fontId="51" fillId="0" borderId="0" xfId="0" applyFont="1" applyAlignment="1">
      <alignment horizontal="left"/>
    </xf>
    <xf numFmtId="44" fontId="25" fillId="0" borderId="0" xfId="1" applyFont="1" applyAlignment="1">
      <alignment horizontal="center" vertical="center"/>
    </xf>
    <xf numFmtId="44" fontId="18" fillId="0" borderId="0" xfId="1" applyFont="1" applyAlignment="1">
      <alignment horizontal="center" vertical="center"/>
    </xf>
    <xf numFmtId="0" fontId="30" fillId="0" borderId="0" xfId="0" applyFont="1" applyAlignment="1">
      <alignment horizontal="center" vertical="center" wrapText="1"/>
    </xf>
    <xf numFmtId="0" fontId="51" fillId="0" borderId="0" xfId="0" applyFont="1" applyAlignment="1">
      <alignment wrapText="1"/>
    </xf>
    <xf numFmtId="0" fontId="14" fillId="0" borderId="0" xfId="0" applyFont="1" applyAlignment="1">
      <alignment horizontal="left"/>
    </xf>
    <xf numFmtId="44" fontId="25" fillId="0" borderId="0" xfId="1" applyFont="1" applyAlignment="1" applyProtection="1">
      <alignment vertical="center"/>
      <protection hidden="1"/>
    </xf>
    <xf numFmtId="0" fontId="44" fillId="0" borderId="0" xfId="0" applyFont="1"/>
    <xf numFmtId="0" fontId="52" fillId="0" borderId="0" xfId="0" applyFont="1"/>
    <xf numFmtId="44" fontId="3" fillId="0" borderId="0" xfId="1" applyFont="1" applyAlignment="1">
      <alignment vertical="center"/>
    </xf>
    <xf numFmtId="44" fontId="30" fillId="0" borderId="0" xfId="1" applyFont="1" applyAlignment="1">
      <alignment horizontal="center" vertical="center" wrapText="1"/>
    </xf>
    <xf numFmtId="44" fontId="19" fillId="0" borderId="0" xfId="0" applyNumberFormat="1" applyFont="1" applyAlignment="1">
      <alignment horizontal="center"/>
    </xf>
    <xf numFmtId="0" fontId="25" fillId="0" borderId="0" xfId="0" applyFont="1"/>
    <xf numFmtId="44" fontId="25" fillId="0" borderId="0" xfId="1" applyFont="1" applyAlignment="1">
      <alignment horizontal="center"/>
    </xf>
    <xf numFmtId="44" fontId="25" fillId="0" borderId="0" xfId="1" applyFont="1" applyAlignment="1" applyProtection="1">
      <alignment vertical="center"/>
      <protection locked="0"/>
    </xf>
    <xf numFmtId="44" fontId="19" fillId="0" borderId="0" xfId="0" applyNumberFormat="1" applyFont="1" applyProtection="1">
      <protection hidden="1"/>
    </xf>
    <xf numFmtId="0" fontId="55" fillId="0" borderId="0" xfId="0" applyFont="1"/>
    <xf numFmtId="0" fontId="55" fillId="0" borderId="0" xfId="0" applyFont="1" applyAlignment="1">
      <alignment horizontal="left"/>
    </xf>
    <xf numFmtId="0" fontId="7" fillId="0" borderId="0" xfId="0" applyFont="1" applyAlignment="1">
      <alignment vertical="center"/>
    </xf>
    <xf numFmtId="0" fontId="56" fillId="0" borderId="0" xfId="0" applyFont="1"/>
    <xf numFmtId="0" fontId="58" fillId="0" borderId="0" xfId="0" applyFont="1"/>
    <xf numFmtId="0" fontId="52" fillId="0" borderId="0" xfId="0" applyFont="1" applyAlignment="1">
      <alignment vertical="center" wrapText="1"/>
    </xf>
    <xf numFmtId="44" fontId="3" fillId="0" borderId="0" xfId="0" applyNumberFormat="1" applyFont="1" applyAlignment="1">
      <alignment horizontal="center" vertical="center"/>
    </xf>
    <xf numFmtId="0" fontId="19" fillId="0" borderId="0" xfId="0" applyFont="1" applyAlignment="1">
      <alignment wrapText="1"/>
    </xf>
    <xf numFmtId="168" fontId="44" fillId="0" borderId="0" xfId="1" applyNumberFormat="1" applyFont="1" applyAlignment="1">
      <alignment horizontal="center" vertical="center"/>
    </xf>
    <xf numFmtId="168" fontId="44" fillId="0" borderId="0" xfId="1" applyNumberFormat="1" applyFont="1" applyAlignment="1">
      <alignment vertical="center"/>
    </xf>
    <xf numFmtId="0" fontId="33" fillId="0" borderId="0" xfId="0" applyFont="1" applyAlignment="1">
      <alignment horizontal="left" vertical="center"/>
    </xf>
    <xf numFmtId="0" fontId="30" fillId="0" borderId="0" xfId="0" applyFont="1" applyAlignment="1">
      <alignment horizontal="left"/>
    </xf>
    <xf numFmtId="49" fontId="15" fillId="0" borderId="0" xfId="0" applyNumberFormat="1" applyFont="1" applyAlignment="1">
      <alignment horizontal="left"/>
    </xf>
    <xf numFmtId="0" fontId="15" fillId="0" borderId="0" xfId="0" applyFont="1" applyAlignment="1">
      <alignment horizontal="left"/>
    </xf>
    <xf numFmtId="0" fontId="0" fillId="0" borderId="0" xfId="0" applyAlignment="1">
      <alignment horizontal="left" vertical="center"/>
    </xf>
    <xf numFmtId="44" fontId="31" fillId="0" borderId="0" xfId="0" applyNumberFormat="1" applyFont="1" applyAlignment="1">
      <alignment horizontal="left" vertical="center"/>
    </xf>
    <xf numFmtId="0" fontId="0" fillId="0" borderId="0" xfId="0" applyAlignment="1">
      <alignment horizontal="right" vertical="center"/>
    </xf>
    <xf numFmtId="44" fontId="21" fillId="0" borderId="0" xfId="0" applyNumberFormat="1" applyFont="1" applyAlignment="1">
      <alignment vertical="center"/>
    </xf>
    <xf numFmtId="44" fontId="8" fillId="0" borderId="0" xfId="1" applyFont="1" applyAlignment="1">
      <alignment vertical="center"/>
    </xf>
    <xf numFmtId="44" fontId="21" fillId="0" borderId="0" xfId="0" applyNumberFormat="1" applyFont="1"/>
    <xf numFmtId="44" fontId="21" fillId="0" borderId="0" xfId="0" applyNumberFormat="1" applyFont="1" applyAlignment="1">
      <alignment wrapText="1"/>
    </xf>
    <xf numFmtId="44" fontId="30" fillId="0" borderId="0" xfId="0" applyNumberFormat="1" applyFont="1" applyAlignment="1">
      <alignment horizontal="left"/>
    </xf>
    <xf numFmtId="44" fontId="15" fillId="0" borderId="0" xfId="0" applyNumberFormat="1" applyFont="1"/>
    <xf numFmtId="44" fontId="15" fillId="0" borderId="0" xfId="0" applyNumberFormat="1" applyFont="1" applyAlignment="1">
      <alignment horizontal="left"/>
    </xf>
    <xf numFmtId="44" fontId="3" fillId="5" borderId="31" xfId="1" applyFont="1" applyFill="1" applyBorder="1"/>
    <xf numFmtId="44" fontId="3" fillId="5" borderId="28" xfId="1" applyFont="1" applyFill="1" applyBorder="1"/>
    <xf numFmtId="44" fontId="15" fillId="0" borderId="0" xfId="1" applyFont="1" applyAlignment="1">
      <alignment horizontal="left"/>
    </xf>
    <xf numFmtId="0" fontId="16" fillId="0" borderId="0" xfId="0" applyFont="1" applyAlignment="1">
      <alignment horizontal="left"/>
    </xf>
    <xf numFmtId="0" fontId="16" fillId="0" borderId="0" xfId="0" applyFont="1" applyAlignment="1">
      <alignment horizontal="left" vertical="center"/>
    </xf>
    <xf numFmtId="0" fontId="13" fillId="0" borderId="0" xfId="0" applyFont="1" applyAlignment="1">
      <alignment horizontal="left" vertical="center"/>
    </xf>
    <xf numFmtId="0" fontId="21" fillId="0" borderId="0" xfId="0" applyFont="1" applyAlignment="1">
      <alignment wrapText="1"/>
    </xf>
    <xf numFmtId="0" fontId="63" fillId="0" borderId="0" xfId="3"/>
    <xf numFmtId="0" fontId="15" fillId="0" borderId="0" xfId="0" applyFont="1" applyAlignment="1">
      <alignment horizontal="right"/>
    </xf>
    <xf numFmtId="0" fontId="15" fillId="0" borderId="74" xfId="0" applyFont="1" applyBorder="1" applyAlignment="1">
      <alignment horizontal="left"/>
    </xf>
    <xf numFmtId="44" fontId="15" fillId="0" borderId="74" xfId="0" applyNumberFormat="1" applyFont="1" applyBorder="1" applyAlignment="1">
      <alignment horizontal="left"/>
    </xf>
    <xf numFmtId="49" fontId="15" fillId="0" borderId="74" xfId="0" applyNumberFormat="1" applyFont="1" applyBorder="1" applyAlignment="1">
      <alignment horizontal="left"/>
    </xf>
    <xf numFmtId="0" fontId="0" fillId="0" borderId="74" xfId="0" applyBorder="1" applyAlignment="1">
      <alignment horizontal="left"/>
    </xf>
    <xf numFmtId="44" fontId="15" fillId="0" borderId="76" xfId="0" applyNumberFormat="1" applyFont="1" applyBorder="1" applyAlignment="1">
      <alignment horizontal="left"/>
    </xf>
    <xf numFmtId="44" fontId="30" fillId="0" borderId="75" xfId="0" applyNumberFormat="1" applyFont="1" applyBorder="1"/>
    <xf numFmtId="44" fontId="30" fillId="0" borderId="75" xfId="1" applyFont="1" applyBorder="1" applyAlignment="1">
      <alignment horizontal="left"/>
    </xf>
    <xf numFmtId="0" fontId="26" fillId="0" borderId="0" xfId="0" applyFont="1" applyAlignment="1">
      <alignment horizontal="right" vertical="center"/>
    </xf>
    <xf numFmtId="44" fontId="25" fillId="0" borderId="0" xfId="0" applyNumberFormat="1" applyFont="1"/>
    <xf numFmtId="44" fontId="34" fillId="0" borderId="0" xfId="0" applyNumberFormat="1" applyFont="1" applyAlignment="1">
      <alignment vertical="center" wrapText="1"/>
    </xf>
    <xf numFmtId="44" fontId="13" fillId="0" borderId="0" xfId="0" applyNumberFormat="1" applyFont="1" applyAlignment="1">
      <alignment horizontal="left"/>
    </xf>
    <xf numFmtId="44" fontId="0" fillId="0" borderId="0" xfId="0" applyNumberFormat="1" applyAlignment="1">
      <alignment horizontal="left"/>
    </xf>
    <xf numFmtId="0" fontId="26" fillId="0" borderId="0" xfId="0" applyFont="1" applyAlignment="1">
      <alignment horizontal="center"/>
    </xf>
    <xf numFmtId="0" fontId="26" fillId="0" borderId="0" xfId="0" applyFont="1" applyAlignment="1">
      <alignment horizontal="right"/>
    </xf>
    <xf numFmtId="14" fontId="26" fillId="0" borderId="0" xfId="0" applyNumberFormat="1" applyFont="1" applyAlignment="1">
      <alignment horizontal="left"/>
    </xf>
    <xf numFmtId="49" fontId="26" fillId="0" borderId="0" xfId="0" applyNumberFormat="1" applyFont="1" applyAlignment="1">
      <alignment horizontal="center"/>
    </xf>
    <xf numFmtId="0" fontId="26" fillId="4" borderId="0" xfId="0" applyFont="1" applyFill="1" applyAlignment="1">
      <alignment horizontal="right"/>
    </xf>
    <xf numFmtId="0" fontId="26" fillId="4" borderId="0" xfId="0" applyFont="1" applyFill="1" applyAlignment="1">
      <alignment horizontal="center"/>
    </xf>
    <xf numFmtId="0" fontId="26" fillId="4" borderId="0" xfId="0" applyFont="1" applyFill="1" applyAlignment="1">
      <alignment horizontal="right" wrapText="1"/>
    </xf>
    <xf numFmtId="0" fontId="52" fillId="0" borderId="0" xfId="0" applyFont="1" applyAlignment="1">
      <alignment horizontal="center"/>
    </xf>
    <xf numFmtId="0" fontId="66" fillId="0" borderId="0" xfId="0" applyFont="1" applyAlignment="1">
      <alignment horizontal="center"/>
    </xf>
    <xf numFmtId="0" fontId="26" fillId="0" borderId="0" xfId="0" applyFont="1" applyAlignment="1" applyProtection="1">
      <alignment horizontal="center"/>
      <protection locked="0"/>
    </xf>
    <xf numFmtId="0" fontId="26" fillId="4" borderId="0" xfId="0" applyFont="1" applyFill="1" applyAlignment="1">
      <alignment horizontal="center" wrapText="1"/>
    </xf>
    <xf numFmtId="169" fontId="26" fillId="0" borderId="0" xfId="0" applyNumberFormat="1" applyFont="1" applyAlignment="1">
      <alignment horizontal="center"/>
    </xf>
    <xf numFmtId="14" fontId="26" fillId="0" borderId="0" xfId="0" applyNumberFormat="1" applyFont="1" applyAlignment="1">
      <alignment horizontal="center"/>
    </xf>
    <xf numFmtId="49" fontId="26" fillId="0" borderId="0" xfId="0" applyNumberFormat="1" applyFont="1" applyAlignment="1" applyProtection="1">
      <alignment horizontal="center"/>
      <protection locked="0"/>
    </xf>
    <xf numFmtId="14" fontId="66" fillId="0" borderId="0" xfId="0" applyNumberFormat="1" applyFont="1" applyAlignment="1">
      <alignment horizontal="right"/>
    </xf>
    <xf numFmtId="166" fontId="52" fillId="0" borderId="0" xfId="0" applyNumberFormat="1" applyFont="1" applyAlignment="1" applyProtection="1">
      <alignment horizontal="center"/>
      <protection locked="0"/>
    </xf>
    <xf numFmtId="14" fontId="69" fillId="0" borderId="0" xfId="0" applyNumberFormat="1" applyFont="1" applyAlignment="1">
      <alignment horizontal="right"/>
    </xf>
    <xf numFmtId="0" fontId="65" fillId="0" borderId="0" xfId="0" applyFont="1" applyAlignment="1">
      <alignment horizontal="center"/>
    </xf>
    <xf numFmtId="166" fontId="52" fillId="0" borderId="0" xfId="0" applyNumberFormat="1" applyFont="1" applyAlignment="1">
      <alignment horizontal="center"/>
    </xf>
    <xf numFmtId="0" fontId="65" fillId="0" borderId="0" xfId="0" applyFont="1" applyAlignment="1">
      <alignment horizontal="right"/>
    </xf>
    <xf numFmtId="49" fontId="17" fillId="0" borderId="0" xfId="0" applyNumberFormat="1" applyFont="1" applyAlignment="1">
      <alignment horizontal="right"/>
    </xf>
    <xf numFmtId="0" fontId="68" fillId="0" borderId="0" xfId="0" applyFont="1" applyAlignment="1">
      <alignment horizontal="center" vertical="center"/>
    </xf>
    <xf numFmtId="170" fontId="26" fillId="2" borderId="0" xfId="0" applyNumberFormat="1" applyFont="1" applyFill="1" applyAlignment="1" applyProtection="1">
      <alignment horizontal="right"/>
      <protection locked="0"/>
    </xf>
    <xf numFmtId="170" fontId="26" fillId="2" borderId="0" xfId="2" applyNumberFormat="1" applyFont="1" applyFill="1" applyAlignment="1" applyProtection="1">
      <alignment horizontal="right"/>
      <protection locked="0"/>
    </xf>
    <xf numFmtId="170" fontId="26" fillId="0" borderId="0" xfId="0" applyNumberFormat="1" applyFont="1" applyAlignment="1">
      <alignment horizontal="right"/>
    </xf>
    <xf numFmtId="170" fontId="26" fillId="0" borderId="0" xfId="2" applyNumberFormat="1" applyFont="1" applyAlignment="1">
      <alignment horizontal="right"/>
    </xf>
    <xf numFmtId="0" fontId="66" fillId="4" borderId="0" xfId="0" applyFont="1" applyFill="1" applyAlignment="1">
      <alignment horizontal="center"/>
    </xf>
    <xf numFmtId="0" fontId="66" fillId="0" borderId="0" xfId="0" applyFont="1" applyAlignment="1">
      <alignment horizontal="right"/>
    </xf>
    <xf numFmtId="0" fontId="52" fillId="0" borderId="0" xfId="0" applyFont="1" applyAlignment="1" applyProtection="1">
      <alignment horizontal="center"/>
      <protection locked="0"/>
    </xf>
    <xf numFmtId="14" fontId="52" fillId="0" borderId="0" xfId="0" applyNumberFormat="1" applyFont="1" applyAlignment="1">
      <alignment horizontal="center"/>
    </xf>
    <xf numFmtId="0" fontId="3" fillId="0" borderId="0" xfId="0" applyFont="1" applyAlignment="1">
      <alignment horizontal="center" vertical="top"/>
    </xf>
    <xf numFmtId="0" fontId="3" fillId="0" borderId="0" xfId="0" applyFont="1" applyAlignment="1">
      <alignment horizontal="left" vertical="top"/>
    </xf>
    <xf numFmtId="49" fontId="3" fillId="0" borderId="0" xfId="0" applyNumberFormat="1" applyFont="1" applyAlignment="1">
      <alignment horizontal="left" vertical="top"/>
    </xf>
    <xf numFmtId="0" fontId="3" fillId="0" borderId="0" xfId="0" applyFont="1" applyAlignment="1">
      <alignment horizontal="left" vertical="top" wrapText="1"/>
    </xf>
    <xf numFmtId="0" fontId="13" fillId="0" borderId="0" xfId="0" applyFont="1" applyAlignment="1">
      <alignment horizontal="center" vertical="center"/>
    </xf>
    <xf numFmtId="0" fontId="37" fillId="0" borderId="0" xfId="0" applyFont="1" applyAlignment="1">
      <alignment horizontal="left" vertical="top" wrapText="1"/>
    </xf>
    <xf numFmtId="0" fontId="2" fillId="0" borderId="0" xfId="0" applyFont="1" applyAlignment="1">
      <alignment horizontal="left" vertical="top" wrapText="1"/>
    </xf>
    <xf numFmtId="0" fontId="70" fillId="0" borderId="0" xfId="0" applyFont="1" applyAlignment="1">
      <alignment horizontal="left" vertical="top" wrapText="1"/>
    </xf>
    <xf numFmtId="0" fontId="15" fillId="7" borderId="74" xfId="1" applyNumberFormat="1" applyFont="1" applyFill="1" applyBorder="1" applyAlignment="1">
      <alignment horizontal="left"/>
    </xf>
    <xf numFmtId="44" fontId="15" fillId="7" borderId="74" xfId="0" applyNumberFormat="1" applyFont="1" applyFill="1" applyBorder="1" applyAlignment="1">
      <alignment horizontal="left"/>
    </xf>
    <xf numFmtId="49" fontId="15" fillId="7" borderId="74" xfId="0" applyNumberFormat="1" applyFont="1" applyFill="1" applyBorder="1" applyAlignment="1">
      <alignment horizontal="left"/>
    </xf>
    <xf numFmtId="0" fontId="0" fillId="7" borderId="74" xfId="0" applyFill="1" applyBorder="1" applyAlignment="1">
      <alignment horizontal="left"/>
    </xf>
    <xf numFmtId="0" fontId="57" fillId="0" borderId="0" xfId="0" applyFont="1" applyAlignment="1">
      <alignment horizontal="left" vertical="top" wrapText="1" indent="7"/>
    </xf>
    <xf numFmtId="0" fontId="17" fillId="0" borderId="0" xfId="0" applyFont="1" applyAlignment="1">
      <alignment horizontal="center"/>
    </xf>
    <xf numFmtId="0" fontId="75" fillId="0" borderId="0" xfId="0" applyFont="1"/>
    <xf numFmtId="0" fontId="22" fillId="0" borderId="0" xfId="0" applyFont="1"/>
    <xf numFmtId="0" fontId="17" fillId="0" borderId="80" xfId="0" applyFont="1" applyBorder="1"/>
    <xf numFmtId="0" fontId="17" fillId="0" borderId="14" xfId="0" applyFont="1" applyBorder="1"/>
    <xf numFmtId="0" fontId="17" fillId="0" borderId="81" xfId="0" applyFont="1" applyBorder="1"/>
    <xf numFmtId="0" fontId="2" fillId="0" borderId="82" xfId="0" applyFont="1" applyBorder="1"/>
    <xf numFmtId="0" fontId="2" fillId="0" borderId="83" xfId="0" applyFont="1" applyBorder="1"/>
    <xf numFmtId="0" fontId="17" fillId="0" borderId="82" xfId="0" applyFont="1" applyBorder="1"/>
    <xf numFmtId="0" fontId="17" fillId="0" borderId="83" xfId="0" applyFont="1" applyBorder="1"/>
    <xf numFmtId="44" fontId="3" fillId="0" borderId="0" xfId="0" applyNumberFormat="1" applyFont="1" applyAlignment="1">
      <alignment shrinkToFit="1"/>
    </xf>
    <xf numFmtId="0" fontId="17" fillId="0" borderId="84" xfId="0" applyFont="1" applyBorder="1"/>
    <xf numFmtId="0" fontId="17" fillId="0" borderId="15" xfId="0" applyFont="1" applyBorder="1"/>
    <xf numFmtId="0" fontId="17" fillId="0" borderId="85" xfId="0" applyFont="1" applyBorder="1"/>
    <xf numFmtId="0" fontId="17" fillId="0" borderId="0" xfId="0" applyFont="1" applyAlignment="1">
      <alignment horizontal="right" vertical="center"/>
    </xf>
    <xf numFmtId="0" fontId="34" fillId="8" borderId="0" xfId="0" applyFont="1" applyFill="1"/>
    <xf numFmtId="0" fontId="17" fillId="0" borderId="0" xfId="0" applyFont="1" applyAlignment="1">
      <alignment horizontal="right"/>
    </xf>
    <xf numFmtId="2" fontId="34" fillId="0" borderId="0" xfId="0" applyNumberFormat="1" applyFont="1" applyAlignment="1" applyProtection="1">
      <alignment horizontal="center"/>
      <protection locked="0"/>
    </xf>
    <xf numFmtId="0" fontId="34" fillId="0" borderId="0" xfId="0" applyFont="1"/>
    <xf numFmtId="1" fontId="17" fillId="0" borderId="0" xfId="0" applyNumberFormat="1" applyFont="1" applyAlignment="1">
      <alignment horizontal="center"/>
    </xf>
    <xf numFmtId="0" fontId="17" fillId="2" borderId="0" xfId="0" applyFont="1" applyFill="1"/>
    <xf numFmtId="44" fontId="26" fillId="3" borderId="0" xfId="0" applyNumberFormat="1" applyFont="1" applyFill="1"/>
    <xf numFmtId="44" fontId="65" fillId="3" borderId="0" xfId="0" applyNumberFormat="1" applyFont="1" applyFill="1"/>
    <xf numFmtId="0" fontId="65" fillId="0" borderId="0" xfId="0" applyFont="1"/>
    <xf numFmtId="0" fontId="26" fillId="4" borderId="0" xfId="0" applyFont="1" applyFill="1"/>
    <xf numFmtId="0" fontId="66" fillId="0" borderId="0" xfId="0" applyFont="1"/>
    <xf numFmtId="44" fontId="26" fillId="0" borderId="0" xfId="0" applyNumberFormat="1" applyFont="1"/>
    <xf numFmtId="0" fontId="69" fillId="0" borderId="0" xfId="0" applyFont="1"/>
    <xf numFmtId="44" fontId="69" fillId="3" borderId="0" xfId="0" applyNumberFormat="1" applyFont="1" applyFill="1"/>
    <xf numFmtId="44" fontId="26" fillId="2" borderId="0" xfId="0" applyNumberFormat="1" applyFont="1" applyFill="1" applyProtection="1">
      <protection locked="0"/>
    </xf>
    <xf numFmtId="0" fontId="3" fillId="0" borderId="0" xfId="0" applyFont="1" applyAlignment="1" applyProtection="1">
      <alignment horizontal="left" vertical="top"/>
      <protection locked="0"/>
    </xf>
    <xf numFmtId="0" fontId="10" fillId="0" borderId="0" xfId="1" applyNumberFormat="1" applyFont="1" applyAlignment="1">
      <alignment vertical="center"/>
    </xf>
    <xf numFmtId="44" fontId="44" fillId="0" borderId="0" xfId="1" applyFont="1" applyAlignment="1">
      <alignment horizontal="center" vertical="center"/>
    </xf>
    <xf numFmtId="44" fontId="10" fillId="0" borderId="0" xfId="1" applyFont="1" applyAlignment="1">
      <alignment vertical="center"/>
    </xf>
    <xf numFmtId="0" fontId="10" fillId="0" borderId="0" xfId="0" applyFont="1" applyAlignment="1">
      <alignment horizontal="center" vertical="center"/>
    </xf>
    <xf numFmtId="0" fontId="15" fillId="0" borderId="0" xfId="0" applyFont="1" applyAlignment="1">
      <alignment vertical="top" wrapText="1"/>
    </xf>
    <xf numFmtId="0" fontId="17" fillId="0" borderId="0" xfId="0" applyFont="1" applyAlignment="1">
      <alignment horizontal="right" wrapText="1"/>
    </xf>
    <xf numFmtId="0" fontId="34" fillId="0" borderId="0" xfId="0" applyFont="1" applyAlignment="1">
      <alignment horizontal="right" wrapText="1"/>
    </xf>
    <xf numFmtId="0" fontId="29" fillId="0" borderId="0" xfId="0" applyFont="1" applyAlignment="1">
      <alignment vertical="center"/>
    </xf>
    <xf numFmtId="0" fontId="21" fillId="0" borderId="0" xfId="0" applyFont="1" applyAlignment="1">
      <alignment vertical="top"/>
    </xf>
    <xf numFmtId="0" fontId="19" fillId="0" borderId="0" xfId="0" applyFont="1" applyAlignment="1">
      <alignment vertical="top"/>
    </xf>
    <xf numFmtId="0" fontId="23" fillId="0" borderId="0" xfId="0" applyFont="1" applyAlignment="1">
      <alignment vertical="center"/>
    </xf>
    <xf numFmtId="0" fontId="13" fillId="0" borderId="0" xfId="0" applyFont="1" applyAlignment="1">
      <alignment horizontal="center"/>
    </xf>
    <xf numFmtId="0" fontId="22" fillId="0" borderId="0" xfId="0" applyFont="1" applyAlignment="1">
      <alignment vertical="center" wrapText="1"/>
    </xf>
    <xf numFmtId="0" fontId="13" fillId="0" borderId="16" xfId="0" applyFont="1" applyBorder="1" applyAlignment="1">
      <alignment horizontal="center"/>
    </xf>
    <xf numFmtId="0" fontId="13" fillId="0" borderId="32" xfId="0" applyFont="1" applyBorder="1" applyAlignment="1">
      <alignment horizontal="center"/>
    </xf>
    <xf numFmtId="0" fontId="31" fillId="0" borderId="0" xfId="0" applyFont="1" applyAlignment="1">
      <alignment horizontal="left" wrapText="1"/>
    </xf>
    <xf numFmtId="14" fontId="0" fillId="2" borderId="44" xfId="0" applyNumberFormat="1" applyFill="1" applyBorder="1" applyAlignment="1" applyProtection="1">
      <alignment horizontal="center"/>
      <protection locked="0"/>
    </xf>
    <xf numFmtId="14" fontId="0" fillId="2" borderId="79" xfId="0" applyNumberFormat="1" applyFill="1" applyBorder="1" applyAlignment="1" applyProtection="1">
      <alignment horizontal="center"/>
      <protection locked="0"/>
    </xf>
    <xf numFmtId="2" fontId="21" fillId="0" borderId="0" xfId="0" applyNumberFormat="1" applyFont="1" applyAlignment="1">
      <alignment horizontal="center"/>
    </xf>
    <xf numFmtId="171" fontId="21" fillId="0" borderId="0" xfId="0" applyNumberFormat="1" applyFont="1"/>
    <xf numFmtId="14" fontId="0" fillId="2" borderId="67" xfId="0" applyNumberFormat="1" applyFill="1" applyBorder="1" applyAlignment="1" applyProtection="1">
      <alignment horizontal="center"/>
      <protection locked="0"/>
    </xf>
    <xf numFmtId="14" fontId="0" fillId="2" borderId="45" xfId="0" applyNumberFormat="1" applyFill="1" applyBorder="1" applyAlignment="1" applyProtection="1">
      <alignment horizontal="center"/>
      <protection locked="0"/>
    </xf>
    <xf numFmtId="14" fontId="0" fillId="2" borderId="86" xfId="0" applyNumberFormat="1" applyFill="1" applyBorder="1" applyAlignment="1" applyProtection="1">
      <alignment horizontal="center"/>
      <protection locked="0"/>
    </xf>
    <xf numFmtId="0" fontId="4" fillId="0" borderId="0" xfId="0" applyFont="1"/>
    <xf numFmtId="0" fontId="6" fillId="0" borderId="0" xfId="0" applyFont="1"/>
    <xf numFmtId="49" fontId="19" fillId="0" borderId="0" xfId="0" applyNumberFormat="1" applyFont="1" applyAlignment="1">
      <alignment horizontal="right"/>
    </xf>
    <xf numFmtId="9" fontId="3" fillId="0" borderId="0" xfId="2" applyFont="1" applyAlignment="1">
      <alignment horizontal="center"/>
    </xf>
    <xf numFmtId="0" fontId="2" fillId="0" borderId="0" xfId="0" quotePrefix="1" applyFont="1" applyAlignment="1">
      <alignment horizontal="center"/>
    </xf>
    <xf numFmtId="0" fontId="15" fillId="0" borderId="0" xfId="0" applyFont="1" applyAlignment="1">
      <alignment vertical="center"/>
    </xf>
    <xf numFmtId="44" fontId="44" fillId="0" borderId="0" xfId="1" applyFont="1" applyAlignment="1">
      <alignment vertical="center"/>
    </xf>
    <xf numFmtId="0" fontId="60" fillId="0" borderId="0" xfId="0" applyFont="1" applyAlignment="1">
      <alignment vertical="center" wrapText="1"/>
    </xf>
    <xf numFmtId="0" fontId="34" fillId="0" borderId="0" xfId="0" applyFont="1" applyAlignment="1">
      <alignment horizontal="left" vertical="center" wrapText="1"/>
    </xf>
    <xf numFmtId="0" fontId="60" fillId="0" borderId="0" xfId="0" applyFont="1" applyAlignment="1">
      <alignment horizontal="center" vertical="center" wrapText="1"/>
    </xf>
    <xf numFmtId="0" fontId="86" fillId="0" borderId="0" xfId="0" applyFont="1" applyAlignment="1">
      <alignment vertical="center"/>
    </xf>
    <xf numFmtId="0" fontId="3" fillId="2" borderId="1" xfId="1" applyNumberFormat="1" applyFont="1" applyFill="1" applyBorder="1" applyAlignment="1" applyProtection="1">
      <alignment horizontal="center"/>
      <protection locked="0"/>
    </xf>
    <xf numFmtId="44" fontId="2" fillId="0" borderId="0" xfId="1" applyFont="1" applyAlignment="1">
      <alignment horizontal="center"/>
    </xf>
    <xf numFmtId="44" fontId="3" fillId="0" borderId="87" xfId="1" applyFont="1" applyBorder="1" applyAlignment="1">
      <alignment horizontal="center"/>
    </xf>
    <xf numFmtId="0" fontId="2" fillId="0" borderId="87" xfId="0" applyFont="1" applyBorder="1"/>
    <xf numFmtId="44" fontId="3" fillId="0" borderId="33" xfId="1" applyFont="1" applyBorder="1" applyAlignment="1">
      <alignment horizontal="center"/>
    </xf>
    <xf numFmtId="0" fontId="2" fillId="0" borderId="33" xfId="0" applyFont="1" applyBorder="1"/>
    <xf numFmtId="44" fontId="3" fillId="0" borderId="1" xfId="1" applyFont="1" applyBorder="1"/>
    <xf numFmtId="0" fontId="2" fillId="0" borderId="0" xfId="0" applyFont="1" applyAlignment="1">
      <alignment horizontal="center"/>
    </xf>
    <xf numFmtId="0" fontId="86" fillId="0" borderId="0" xfId="0" applyFont="1"/>
    <xf numFmtId="0" fontId="0" fillId="0" borderId="0" xfId="0" applyAlignment="1">
      <alignment horizontal="center" vertical="center"/>
    </xf>
    <xf numFmtId="44" fontId="25" fillId="0" borderId="0" xfId="1" applyFont="1" applyAlignment="1">
      <alignment horizontal="right"/>
    </xf>
    <xf numFmtId="0" fontId="47" fillId="0" borderId="0" xfId="0" applyFont="1"/>
    <xf numFmtId="44" fontId="25" fillId="0" borderId="0" xfId="1" applyFont="1" applyAlignment="1">
      <alignment vertical="center"/>
    </xf>
    <xf numFmtId="44" fontId="18" fillId="0" borderId="0" xfId="1" applyFont="1" applyAlignment="1">
      <alignment vertical="center"/>
    </xf>
    <xf numFmtId="0" fontId="93" fillId="0" borderId="0" xfId="0" applyFont="1"/>
    <xf numFmtId="0" fontId="83" fillId="0" borderId="0" xfId="1" applyNumberFormat="1" applyFont="1" applyAlignment="1">
      <alignment horizontal="left"/>
    </xf>
    <xf numFmtId="0" fontId="77" fillId="0" borderId="0" xfId="0" applyFont="1" applyAlignment="1">
      <alignment vertical="center"/>
    </xf>
    <xf numFmtId="0" fontId="9" fillId="0" borderId="73" xfId="0" applyFont="1" applyBorder="1" applyAlignment="1">
      <alignment horizontal="center" vertical="center"/>
    </xf>
    <xf numFmtId="0" fontId="45" fillId="0" borderId="73" xfId="0" applyFont="1" applyBorder="1" applyAlignment="1">
      <alignment horizontal="center" vertical="center"/>
    </xf>
    <xf numFmtId="2" fontId="3" fillId="2" borderId="1" xfId="0" applyNumberFormat="1" applyFont="1" applyFill="1" applyBorder="1" applyAlignment="1" applyProtection="1">
      <alignment horizontal="center"/>
      <protection locked="0"/>
    </xf>
    <xf numFmtId="0" fontId="95" fillId="0" borderId="0" xfId="0" applyFont="1" applyAlignment="1">
      <alignment horizontal="center" vertical="top"/>
    </xf>
    <xf numFmtId="49" fontId="2" fillId="0" borderId="0" xfId="0" applyNumberFormat="1" applyFont="1" applyAlignment="1">
      <alignment horizontal="right" vertical="top"/>
    </xf>
    <xf numFmtId="0" fontId="25" fillId="0" borderId="0" xfId="0" applyFont="1" applyAlignment="1">
      <alignment horizontal="left" vertical="center"/>
    </xf>
    <xf numFmtId="44" fontId="30" fillId="0" borderId="0" xfId="1" applyFont="1"/>
    <xf numFmtId="44" fontId="2" fillId="0" borderId="0" xfId="1" applyFont="1"/>
    <xf numFmtId="0" fontId="0" fillId="0" borderId="0" xfId="0" applyProtection="1">
      <protection locked="0" hidden="1"/>
    </xf>
    <xf numFmtId="0" fontId="2" fillId="0" borderId="0" xfId="0" applyFont="1" applyAlignment="1">
      <alignment horizontal="left" vertical="top"/>
    </xf>
    <xf numFmtId="0" fontId="70" fillId="0" borderId="0" xfId="1" applyNumberFormat="1" applyFont="1" applyAlignment="1">
      <alignment horizontal="left"/>
    </xf>
    <xf numFmtId="0" fontId="14" fillId="0" borderId="0" xfId="0" applyFont="1"/>
    <xf numFmtId="44" fontId="25" fillId="0" borderId="0" xfId="1" applyFont="1"/>
    <xf numFmtId="44" fontId="3" fillId="0" borderId="0" xfId="1" applyFont="1" applyAlignment="1">
      <alignment wrapText="1"/>
    </xf>
    <xf numFmtId="44" fontId="3" fillId="0" borderId="2" xfId="1" applyFont="1" applyBorder="1"/>
    <xf numFmtId="0" fontId="98" fillId="0" borderId="0" xfId="0" applyFont="1" applyAlignment="1">
      <alignment vertical="center"/>
    </xf>
    <xf numFmtId="0" fontId="100" fillId="0" borderId="0" xfId="0" applyFont="1" applyAlignment="1">
      <alignment horizontal="left" indent="1"/>
    </xf>
    <xf numFmtId="0" fontId="89" fillId="0" borderId="0" xfId="0" applyFont="1" applyAlignment="1">
      <alignment horizontal="left" vertical="center" indent="1"/>
    </xf>
    <xf numFmtId="0" fontId="83" fillId="0" borderId="0" xfId="0" applyFont="1" applyAlignment="1">
      <alignment vertical="top" wrapText="1"/>
    </xf>
    <xf numFmtId="0" fontId="7" fillId="0" borderId="0" xfId="1" applyNumberFormat="1" applyFont="1" applyAlignment="1">
      <alignment wrapText="1"/>
    </xf>
    <xf numFmtId="0" fontId="88" fillId="0" borderId="0" xfId="0" applyFont="1"/>
    <xf numFmtId="0" fontId="99" fillId="0" borderId="0" xfId="0" applyFont="1"/>
    <xf numFmtId="0" fontId="77" fillId="0" borderId="1" xfId="0" applyFont="1" applyBorder="1" applyAlignment="1">
      <alignment horizontal="left" vertical="center"/>
    </xf>
    <xf numFmtId="0" fontId="7" fillId="0" borderId="95" xfId="0" applyFont="1" applyBorder="1" applyAlignment="1">
      <alignment horizontal="center" vertical="center"/>
    </xf>
    <xf numFmtId="0" fontId="7" fillId="0" borderId="13" xfId="0" applyFont="1" applyBorder="1" applyAlignment="1">
      <alignment horizontal="center" vertical="center"/>
    </xf>
    <xf numFmtId="0" fontId="9" fillId="0" borderId="96" xfId="0" applyFont="1" applyBorder="1" applyAlignment="1">
      <alignment horizontal="center" vertical="center"/>
    </xf>
    <xf numFmtId="166" fontId="17" fillId="2" borderId="100" xfId="1" applyNumberFormat="1" applyFont="1" applyFill="1" applyBorder="1" applyAlignment="1" applyProtection="1">
      <alignment horizontal="center" vertical="center"/>
      <protection locked="0"/>
    </xf>
    <xf numFmtId="166" fontId="17" fillId="2" borderId="101" xfId="1" applyNumberFormat="1" applyFont="1" applyFill="1" applyBorder="1" applyAlignment="1" applyProtection="1">
      <alignment horizontal="center" vertical="center"/>
      <protection locked="0"/>
    </xf>
    <xf numFmtId="2" fontId="13" fillId="0" borderId="102" xfId="0" applyNumberFormat="1" applyFont="1" applyBorder="1" applyAlignment="1">
      <alignment horizontal="center" vertical="center"/>
    </xf>
    <xf numFmtId="0" fontId="52" fillId="0" borderId="0" xfId="0" applyFont="1" applyAlignment="1">
      <alignment wrapText="1"/>
    </xf>
    <xf numFmtId="2" fontId="44" fillId="0" borderId="0" xfId="1" applyNumberFormat="1" applyFont="1" applyAlignment="1">
      <alignment horizontal="center" vertical="center"/>
    </xf>
    <xf numFmtId="2" fontId="44" fillId="0" borderId="0" xfId="0" applyNumberFormat="1" applyFont="1" applyAlignment="1">
      <alignment horizontal="center"/>
    </xf>
    <xf numFmtId="2" fontId="44" fillId="0" borderId="104" xfId="1" applyNumberFormat="1" applyFont="1" applyBorder="1" applyAlignment="1">
      <alignment vertical="center"/>
    </xf>
    <xf numFmtId="169" fontId="7" fillId="0" borderId="0" xfId="0" applyNumberFormat="1" applyFont="1" applyAlignment="1">
      <alignment horizontal="center" vertical="center"/>
    </xf>
    <xf numFmtId="0" fontId="77" fillId="0" borderId="1" xfId="0" applyFont="1" applyBorder="1" applyAlignment="1">
      <alignment vertical="center"/>
    </xf>
    <xf numFmtId="0" fontId="0" fillId="0" borderId="0" xfId="0" applyAlignment="1">
      <alignment horizontal="center"/>
    </xf>
    <xf numFmtId="0" fontId="9" fillId="0" borderId="0" xfId="0" applyFont="1" applyAlignment="1">
      <alignment vertical="top"/>
    </xf>
    <xf numFmtId="0" fontId="104" fillId="0" borderId="0" xfId="1" applyNumberFormat="1" applyFont="1" applyAlignment="1">
      <alignment vertical="top" wrapText="1"/>
    </xf>
    <xf numFmtId="0" fontId="18" fillId="2" borderId="1" xfId="0" applyFont="1" applyFill="1" applyBorder="1" applyAlignment="1" applyProtection="1">
      <alignment horizontal="center"/>
      <protection locked="0"/>
    </xf>
    <xf numFmtId="0" fontId="0" fillId="0" borderId="0" xfId="0" applyAlignment="1">
      <alignment vertical="top"/>
    </xf>
    <xf numFmtId="0" fontId="102" fillId="0" borderId="0" xfId="0" applyFont="1" applyAlignment="1">
      <alignment vertical="top" wrapText="1"/>
    </xf>
    <xf numFmtId="0" fontId="53" fillId="0" borderId="0" xfId="0" applyFont="1" applyAlignment="1">
      <alignment vertical="center" wrapText="1"/>
    </xf>
    <xf numFmtId="0" fontId="100" fillId="0" borderId="0" xfId="0" applyFont="1" applyAlignment="1">
      <alignment horizontal="left"/>
    </xf>
    <xf numFmtId="0" fontId="0" fillId="0" borderId="0" xfId="0" applyAlignment="1" applyProtection="1">
      <alignment wrapText="1"/>
      <protection locked="0"/>
    </xf>
    <xf numFmtId="0" fontId="2" fillId="0" borderId="0" xfId="0" applyFont="1" applyAlignment="1">
      <alignment vertical="top"/>
    </xf>
    <xf numFmtId="44" fontId="25" fillId="0" borderId="0" xfId="0" applyNumberFormat="1" applyFont="1" applyAlignment="1">
      <alignment horizontal="left" vertical="center"/>
    </xf>
    <xf numFmtId="49" fontId="2" fillId="0" borderId="0" xfId="0" applyNumberFormat="1" applyFont="1" applyAlignment="1">
      <alignment vertical="top"/>
    </xf>
    <xf numFmtId="10" fontId="8" fillId="0" borderId="0" xfId="2" applyNumberFormat="1" applyFont="1" applyAlignment="1" applyProtection="1">
      <alignment vertical="center"/>
      <protection locked="0"/>
    </xf>
    <xf numFmtId="0" fontId="103" fillId="0" borderId="0" xfId="0" applyFont="1" applyAlignment="1">
      <alignment horizontal="center"/>
    </xf>
    <xf numFmtId="0" fontId="0" fillId="2" borderId="0" xfId="0" applyFill="1" applyAlignment="1" applyProtection="1">
      <alignment horizontal="left" wrapText="1"/>
      <protection locked="0"/>
    </xf>
    <xf numFmtId="44" fontId="32" fillId="0" borderId="0" xfId="0" applyNumberFormat="1" applyFont="1" applyAlignment="1">
      <alignment horizontal="center" vertical="center" wrapText="1"/>
    </xf>
    <xf numFmtId="0" fontId="23" fillId="0" borderId="0" xfId="0" applyFont="1" applyAlignment="1">
      <alignment horizontal="center" wrapText="1"/>
    </xf>
    <xf numFmtId="0" fontId="103" fillId="0" borderId="0" xfId="0" applyFont="1" applyAlignment="1">
      <alignment horizontal="center" wrapText="1"/>
    </xf>
    <xf numFmtId="0" fontId="102" fillId="0" borderId="0" xfId="0" applyFont="1" applyAlignment="1">
      <alignment vertical="center" wrapText="1"/>
    </xf>
    <xf numFmtId="0" fontId="8" fillId="0" borderId="1" xfId="0" applyFont="1" applyBorder="1" applyAlignment="1">
      <alignment horizontal="left" vertical="center"/>
    </xf>
    <xf numFmtId="0" fontId="71" fillId="0" borderId="1" xfId="0" applyFont="1" applyBorder="1" applyAlignment="1">
      <alignment vertical="center"/>
    </xf>
    <xf numFmtId="0" fontId="8" fillId="0" borderId="1" xfId="0" applyFont="1" applyBorder="1" applyAlignment="1">
      <alignment horizontal="left"/>
    </xf>
    <xf numFmtId="0" fontId="77" fillId="0" borderId="1" xfId="0" applyFont="1" applyBorder="1" applyAlignment="1">
      <alignment horizontal="left"/>
    </xf>
    <xf numFmtId="0" fontId="0" fillId="0" borderId="1" xfId="0" applyBorder="1"/>
    <xf numFmtId="44" fontId="30" fillId="0" borderId="0" xfId="1" applyFont="1" applyAlignment="1">
      <alignment vertical="center"/>
    </xf>
    <xf numFmtId="0" fontId="3" fillId="0" borderId="11" xfId="0" applyFont="1" applyBorder="1"/>
    <xf numFmtId="44" fontId="32" fillId="0" borderId="0" xfId="0" applyNumberFormat="1" applyFont="1" applyAlignment="1">
      <alignment vertical="center" wrapText="1"/>
    </xf>
    <xf numFmtId="0" fontId="18" fillId="0" borderId="0" xfId="0" applyFont="1" applyAlignment="1">
      <alignment vertical="center" wrapText="1"/>
    </xf>
    <xf numFmtId="44" fontId="24" fillId="0" borderId="0" xfId="0" applyNumberFormat="1" applyFont="1" applyAlignment="1">
      <alignment vertical="center" wrapText="1"/>
    </xf>
    <xf numFmtId="0" fontId="18" fillId="0" borderId="0" xfId="0" applyFont="1" applyAlignment="1">
      <alignment horizontal="center" wrapText="1"/>
    </xf>
    <xf numFmtId="0" fontId="24" fillId="0" borderId="0" xfId="0" applyFont="1" applyAlignment="1">
      <alignment vertical="center"/>
    </xf>
    <xf numFmtId="0" fontId="18" fillId="0" borderId="0" xfId="0" applyFont="1" applyAlignment="1">
      <alignment horizontal="center"/>
    </xf>
    <xf numFmtId="0" fontId="24" fillId="0" borderId="0" xfId="0" applyFont="1" applyAlignment="1">
      <alignment vertical="center" wrapText="1"/>
    </xf>
    <xf numFmtId="0" fontId="24" fillId="0" borderId="0" xfId="0" applyFont="1" applyAlignment="1">
      <alignment vertical="top" wrapText="1"/>
    </xf>
    <xf numFmtId="44" fontId="8" fillId="0" borderId="0" xfId="1" applyFont="1" applyAlignment="1">
      <alignment shrinkToFit="1"/>
    </xf>
    <xf numFmtId="0" fontId="2" fillId="0" borderId="0" xfId="0" applyFont="1" applyAlignment="1">
      <alignment vertical="top" wrapText="1"/>
    </xf>
    <xf numFmtId="44" fontId="24" fillId="0" borderId="0" xfId="0" applyNumberFormat="1" applyFont="1" applyAlignment="1">
      <alignment horizontal="center" vertical="center" wrapText="1"/>
    </xf>
    <xf numFmtId="0" fontId="2" fillId="0" borderId="19" xfId="0" applyFont="1" applyBorder="1" applyAlignment="1">
      <alignment vertical="top" wrapText="1"/>
    </xf>
    <xf numFmtId="0" fontId="2" fillId="0" borderId="64" xfId="0" applyFont="1" applyBorder="1" applyAlignment="1">
      <alignment vertical="top" wrapText="1"/>
    </xf>
    <xf numFmtId="0" fontId="3" fillId="0" borderId="20" xfId="0" applyFont="1" applyBorder="1"/>
    <xf numFmtId="0" fontId="3" fillId="0" borderId="0" xfId="0" applyFont="1" applyAlignment="1">
      <alignment horizontal="left" vertical="center" wrapText="1" indent="6"/>
    </xf>
    <xf numFmtId="169" fontId="45" fillId="0" borderId="0" xfId="0" applyNumberFormat="1" applyFont="1" applyAlignment="1">
      <alignment vertical="center" wrapText="1"/>
    </xf>
    <xf numFmtId="0" fontId="25" fillId="0" borderId="21" xfId="0" applyFont="1" applyBorder="1" applyAlignment="1">
      <alignment vertical="center" wrapText="1"/>
    </xf>
    <xf numFmtId="0" fontId="25" fillId="0" borderId="22" xfId="0" applyFont="1" applyBorder="1" applyAlignment="1">
      <alignment vertical="center" wrapText="1"/>
    </xf>
    <xf numFmtId="0" fontId="3" fillId="0" borderId="19" xfId="0" applyFont="1" applyBorder="1" applyAlignment="1">
      <alignment horizontal="left" vertical="center" wrapText="1" indent="1"/>
    </xf>
    <xf numFmtId="0" fontId="3" fillId="0" borderId="0" xfId="0" applyFont="1" applyAlignment="1">
      <alignment horizontal="left" vertical="center" wrapText="1" indent="1"/>
    </xf>
    <xf numFmtId="0" fontId="3" fillId="0" borderId="64" xfId="0" applyFont="1" applyBorder="1" applyAlignment="1">
      <alignment horizontal="left" vertical="center" wrapText="1" indent="1"/>
    </xf>
    <xf numFmtId="0" fontId="3" fillId="0" borderId="19" xfId="0" applyFont="1" applyBorder="1" applyAlignment="1">
      <alignment horizontal="left" vertical="center" wrapText="1" indent="2"/>
    </xf>
    <xf numFmtId="0" fontId="3" fillId="0" borderId="0" xfId="0" applyFont="1" applyAlignment="1">
      <alignment horizontal="left" vertical="center" wrapText="1" indent="2"/>
    </xf>
    <xf numFmtId="0" fontId="3" fillId="0" borderId="64" xfId="0" applyFont="1" applyBorder="1" applyAlignment="1">
      <alignment horizontal="left" vertical="center" wrapText="1" indent="2"/>
    </xf>
    <xf numFmtId="10" fontId="18" fillId="2" borderId="1" xfId="2" applyNumberFormat="1" applyFont="1" applyFill="1" applyBorder="1" applyAlignment="1" applyProtection="1">
      <alignment horizontal="center" vertical="center" wrapText="1"/>
      <protection locked="0"/>
    </xf>
    <xf numFmtId="49" fontId="15" fillId="0" borderId="0" xfId="0" applyNumberFormat="1" applyFont="1" applyAlignment="1">
      <alignment vertical="top" wrapText="1"/>
    </xf>
    <xf numFmtId="49" fontId="3" fillId="0" borderId="0" xfId="0" applyNumberFormat="1" applyFont="1" applyAlignment="1">
      <alignment vertical="top" wrapText="1"/>
    </xf>
    <xf numFmtId="0" fontId="2" fillId="0" borderId="0" xfId="0" applyFont="1" applyAlignment="1">
      <alignment horizontal="left" vertical="center"/>
    </xf>
    <xf numFmtId="0" fontId="23" fillId="0" borderId="0" xfId="0" applyFont="1" applyAlignment="1">
      <alignment horizontal="right"/>
    </xf>
    <xf numFmtId="0" fontId="24" fillId="0" borderId="0" xfId="0" applyFont="1" applyAlignment="1">
      <alignment wrapText="1"/>
    </xf>
    <xf numFmtId="0" fontId="21" fillId="0" borderId="0" xfId="0" applyFont="1" applyAlignment="1">
      <alignment horizontal="right"/>
    </xf>
    <xf numFmtId="0" fontId="21" fillId="0" borderId="0" xfId="0" applyFont="1" applyAlignment="1">
      <alignment horizontal="left" vertical="top" wrapText="1"/>
    </xf>
    <xf numFmtId="0" fontId="34" fillId="0" borderId="0" xfId="0" applyFont="1" applyProtection="1">
      <protection locked="0" hidden="1"/>
    </xf>
    <xf numFmtId="0" fontId="0" fillId="9" borderId="0" xfId="0" applyFill="1"/>
    <xf numFmtId="0" fontId="0" fillId="10" borderId="0" xfId="0" applyFill="1"/>
    <xf numFmtId="0" fontId="0" fillId="11" borderId="0" xfId="0" applyFill="1"/>
    <xf numFmtId="0" fontId="0" fillId="12" borderId="0" xfId="0" applyFill="1"/>
    <xf numFmtId="0" fontId="0" fillId="6" borderId="108" xfId="0" applyFill="1" applyBorder="1"/>
    <xf numFmtId="0" fontId="0" fillId="0" borderId="0" xfId="0" applyAlignment="1">
      <alignment horizontal="right" indent="1"/>
    </xf>
    <xf numFmtId="0" fontId="0" fillId="0" borderId="0" xfId="0" applyAlignment="1">
      <alignment horizontal="right" vertical="top" indent="1"/>
    </xf>
    <xf numFmtId="0" fontId="21" fillId="0" borderId="0" xfId="0" applyFont="1" applyAlignment="1" applyProtection="1">
      <alignment horizontal="left"/>
      <protection locked="0" hidden="1"/>
    </xf>
    <xf numFmtId="0" fontId="0" fillId="13" borderId="0" xfId="0" applyFill="1"/>
    <xf numFmtId="0" fontId="71" fillId="0" borderId="0" xfId="0" applyFont="1" applyAlignment="1">
      <alignment horizontal="center" vertical="center"/>
    </xf>
    <xf numFmtId="0" fontId="57" fillId="0" borderId="0" xfId="0" applyFont="1" applyAlignment="1">
      <alignment vertical="top" wrapText="1"/>
    </xf>
    <xf numFmtId="0" fontId="0" fillId="0" borderId="0" xfId="0" applyAlignment="1">
      <alignment horizontal="right" indent="2"/>
    </xf>
    <xf numFmtId="0" fontId="22" fillId="0" borderId="0" xfId="0" applyFont="1" applyAlignment="1">
      <alignment horizontal="center" vertical="center"/>
    </xf>
    <xf numFmtId="0" fontId="22" fillId="0" borderId="0" xfId="0" applyFont="1" applyAlignment="1">
      <alignment vertical="top" wrapText="1"/>
    </xf>
    <xf numFmtId="0" fontId="39" fillId="0" borderId="0" xfId="0" applyFont="1" applyAlignment="1">
      <alignment horizontal="left"/>
    </xf>
    <xf numFmtId="44" fontId="36" fillId="0" borderId="0" xfId="0" applyNumberFormat="1" applyFont="1" applyAlignment="1">
      <alignment horizontal="left"/>
    </xf>
    <xf numFmtId="0" fontId="45" fillId="0" borderId="0" xfId="0" applyFont="1" applyAlignment="1">
      <alignment horizontal="left"/>
    </xf>
    <xf numFmtId="44" fontId="45" fillId="0" borderId="0" xfId="0" applyNumberFormat="1" applyFont="1" applyAlignment="1">
      <alignment horizontal="left"/>
    </xf>
    <xf numFmtId="44" fontId="32" fillId="0" borderId="0" xfId="0" applyNumberFormat="1" applyFont="1" applyAlignment="1">
      <alignment horizontal="left"/>
    </xf>
    <xf numFmtId="0" fontId="45" fillId="0" borderId="0" xfId="0" applyFont="1"/>
    <xf numFmtId="0" fontId="44" fillId="0" borderId="0" xfId="0" applyFont="1" applyAlignment="1">
      <alignment wrapText="1"/>
    </xf>
    <xf numFmtId="1" fontId="36" fillId="2" borderId="0" xfId="0" applyNumberFormat="1" applyFont="1" applyFill="1" applyAlignment="1" applyProtection="1">
      <alignment horizontal="center" vertical="center"/>
      <protection locked="0"/>
    </xf>
    <xf numFmtId="0" fontId="7" fillId="0" borderId="0" xfId="0" applyFont="1" applyAlignment="1">
      <alignment horizontal="left" vertical="center" wrapText="1"/>
    </xf>
    <xf numFmtId="0" fontId="7" fillId="0" borderId="0" xfId="0" applyFont="1" applyAlignment="1">
      <alignment horizontal="left" vertical="center"/>
    </xf>
    <xf numFmtId="0" fontId="15" fillId="0" borderId="0" xfId="0" applyFont="1" applyAlignment="1">
      <alignment vertical="center" wrapText="1"/>
    </xf>
    <xf numFmtId="49" fontId="25" fillId="0" borderId="0" xfId="0" applyNumberFormat="1" applyFont="1" applyAlignment="1">
      <alignment horizontal="left"/>
    </xf>
    <xf numFmtId="0" fontId="3" fillId="0" borderId="0" xfId="0" applyFont="1" applyAlignment="1">
      <alignment vertical="top"/>
    </xf>
    <xf numFmtId="0" fontId="44" fillId="0" borderId="0" xfId="0" applyFont="1" applyAlignment="1">
      <alignment vertical="center" wrapText="1"/>
    </xf>
    <xf numFmtId="0" fontId="15" fillId="0" borderId="0" xfId="0" applyFont="1" applyAlignment="1">
      <alignment horizontal="center" vertical="center" wrapText="1"/>
    </xf>
    <xf numFmtId="0" fontId="17" fillId="0" borderId="0" xfId="0" applyFont="1" applyProtection="1">
      <protection hidden="1"/>
    </xf>
    <xf numFmtId="0" fontId="7" fillId="0" borderId="12" xfId="0" applyFont="1" applyBorder="1" applyAlignment="1">
      <alignment horizontal="center" vertical="center"/>
    </xf>
    <xf numFmtId="166" fontId="17" fillId="2" borderId="109" xfId="1" applyNumberFormat="1" applyFont="1" applyFill="1" applyBorder="1" applyAlignment="1" applyProtection="1">
      <alignment horizontal="center" vertical="center"/>
      <protection locked="0"/>
    </xf>
    <xf numFmtId="0" fontId="3" fillId="0" borderId="0" xfId="1" applyNumberFormat="1" applyFont="1" applyAlignment="1">
      <alignment vertical="center"/>
    </xf>
    <xf numFmtId="1" fontId="78" fillId="0" borderId="0" xfId="0" applyNumberFormat="1" applyFont="1"/>
    <xf numFmtId="0" fontId="36" fillId="0" borderId="0" xfId="1" applyNumberFormat="1" applyFont="1" applyAlignment="1">
      <alignment vertical="center"/>
    </xf>
    <xf numFmtId="166" fontId="32" fillId="0" borderId="0" xfId="1" applyNumberFormat="1" applyFont="1" applyAlignment="1">
      <alignment horizontal="center" vertical="center"/>
    </xf>
    <xf numFmtId="166" fontId="24" fillId="0" borderId="0" xfId="1" applyNumberFormat="1" applyFont="1" applyAlignment="1">
      <alignment horizontal="center" vertical="center"/>
    </xf>
    <xf numFmtId="168" fontId="45" fillId="0" borderId="0" xfId="1" applyNumberFormat="1" applyFont="1" applyAlignment="1">
      <alignment horizontal="center" vertical="center"/>
    </xf>
    <xf numFmtId="167" fontId="18" fillId="0" borderId="0" xfId="1" applyNumberFormat="1" applyFont="1"/>
    <xf numFmtId="2" fontId="28" fillId="0" borderId="0" xfId="0" applyNumberFormat="1" applyFont="1" applyAlignment="1">
      <alignment vertical="center"/>
    </xf>
    <xf numFmtId="0" fontId="111" fillId="0" borderId="0" xfId="1" applyNumberFormat="1" applyFont="1"/>
    <xf numFmtId="168" fontId="45" fillId="0" borderId="0" xfId="1" applyNumberFormat="1" applyFont="1" applyAlignment="1">
      <alignment vertical="center"/>
    </xf>
    <xf numFmtId="49" fontId="19" fillId="0" borderId="0" xfId="0" applyNumberFormat="1" applyFont="1" applyAlignment="1">
      <alignment vertical="top"/>
    </xf>
    <xf numFmtId="0" fontId="97" fillId="0" borderId="104" xfId="0" applyFont="1" applyBorder="1"/>
    <xf numFmtId="0" fontId="3" fillId="0" borderId="104" xfId="0" applyFont="1" applyBorder="1"/>
    <xf numFmtId="169" fontId="9" fillId="0" borderId="120" xfId="0" applyNumberFormat="1" applyFont="1" applyBorder="1" applyAlignment="1">
      <alignment vertical="center"/>
    </xf>
    <xf numFmtId="169" fontId="3" fillId="0" borderId="120" xfId="0" applyNumberFormat="1" applyFont="1" applyBorder="1"/>
    <xf numFmtId="0" fontId="88" fillId="0" borderId="0" xfId="0" applyFont="1" applyAlignment="1">
      <alignment vertical="center"/>
    </xf>
    <xf numFmtId="0" fontId="99" fillId="0" borderId="0" xfId="0" applyFont="1" applyAlignment="1">
      <alignment vertical="center"/>
    </xf>
    <xf numFmtId="0" fontId="31" fillId="0" borderId="0" xfId="0" applyFont="1"/>
    <xf numFmtId="171" fontId="30" fillId="2" borderId="0" xfId="1" applyNumberFormat="1" applyFont="1" applyFill="1" applyAlignment="1" applyProtection="1">
      <alignment horizontal="center" shrinkToFit="1"/>
      <protection locked="0"/>
    </xf>
    <xf numFmtId="0" fontId="112" fillId="0" borderId="0" xfId="0" applyFont="1" applyAlignment="1">
      <alignment vertical="center" wrapText="1"/>
    </xf>
    <xf numFmtId="0" fontId="2" fillId="0" borderId="0" xfId="0" quotePrefix="1" applyFont="1" applyAlignment="1">
      <alignment horizontal="right"/>
    </xf>
    <xf numFmtId="0" fontId="18" fillId="0" borderId="0" xfId="0" applyFont="1"/>
    <xf numFmtId="0" fontId="0" fillId="0" borderId="0" xfId="0" applyAlignment="1">
      <alignment horizontal="right" vertical="top"/>
    </xf>
    <xf numFmtId="49" fontId="0" fillId="0" borderId="0" xfId="0" applyNumberFormat="1"/>
    <xf numFmtId="0" fontId="13" fillId="0" borderId="0" xfId="0" applyFont="1" applyAlignment="1">
      <alignment horizontal="right"/>
    </xf>
    <xf numFmtId="0" fontId="3" fillId="0" borderId="0" xfId="0" quotePrefix="1" applyFont="1" applyAlignment="1">
      <alignment vertical="center"/>
    </xf>
    <xf numFmtId="0" fontId="114" fillId="0" borderId="0" xfId="0" applyFont="1" applyAlignment="1">
      <alignment vertical="center"/>
    </xf>
    <xf numFmtId="0" fontId="7" fillId="0" borderId="0" xfId="0" applyFont="1"/>
    <xf numFmtId="0" fontId="7" fillId="0" borderId="0" xfId="0" quotePrefix="1" applyFont="1" applyAlignment="1">
      <alignment vertical="top"/>
    </xf>
    <xf numFmtId="0" fontId="7" fillId="0" borderId="0" xfId="0" applyFont="1" applyAlignment="1">
      <alignment vertical="top"/>
    </xf>
    <xf numFmtId="49" fontId="3" fillId="0" borderId="0" xfId="0" applyNumberFormat="1" applyFont="1" applyAlignment="1">
      <alignment horizontal="left"/>
    </xf>
    <xf numFmtId="49" fontId="17" fillId="0" borderId="0" xfId="0" applyNumberFormat="1" applyFont="1" applyAlignment="1">
      <alignment vertical="center"/>
    </xf>
    <xf numFmtId="0" fontId="17" fillId="0" borderId="0" xfId="0" applyFont="1" applyAlignment="1">
      <alignment vertical="center"/>
    </xf>
    <xf numFmtId="0" fontId="15" fillId="7" borderId="74" xfId="0" applyFont="1" applyFill="1" applyBorder="1" applyAlignment="1">
      <alignment horizontal="left"/>
    </xf>
    <xf numFmtId="44" fontId="30" fillId="0" borderId="0" xfId="1" applyFont="1" applyAlignment="1">
      <alignment horizontal="left"/>
    </xf>
    <xf numFmtId="44" fontId="30" fillId="0" borderId="0" xfId="0" applyNumberFormat="1" applyFont="1"/>
    <xf numFmtId="0" fontId="108" fillId="0" borderId="0" xfId="0" applyFont="1"/>
    <xf numFmtId="44" fontId="3" fillId="0" borderId="5" xfId="1" applyFont="1" applyBorder="1" applyAlignment="1">
      <alignment horizontal="center"/>
    </xf>
    <xf numFmtId="44" fontId="3" fillId="0" borderId="5" xfId="1" applyFont="1" applyBorder="1"/>
    <xf numFmtId="0" fontId="23" fillId="0" borderId="0" xfId="0" applyFont="1" applyAlignment="1">
      <alignment horizontal="right" indent="1"/>
    </xf>
    <xf numFmtId="44" fontId="3" fillId="0" borderId="2" xfId="1" applyFont="1" applyBorder="1" applyAlignment="1">
      <alignment vertical="top"/>
    </xf>
    <xf numFmtId="44" fontId="3" fillId="0" borderId="0" xfId="1" applyFont="1" applyAlignment="1">
      <alignment vertical="top"/>
    </xf>
    <xf numFmtId="0" fontId="25" fillId="0" borderId="1" xfId="0" applyFont="1" applyBorder="1" applyAlignment="1">
      <alignment vertical="top" wrapText="1"/>
    </xf>
    <xf numFmtId="0" fontId="77" fillId="0" borderId="0" xfId="0" applyFont="1" applyAlignment="1">
      <alignment horizontal="center" vertical="center"/>
    </xf>
    <xf numFmtId="44" fontId="3" fillId="0" borderId="0" xfId="0" applyNumberFormat="1" applyFont="1" applyAlignment="1">
      <alignment horizontal="center" vertical="center" shrinkToFit="1"/>
    </xf>
    <xf numFmtId="0" fontId="24" fillId="0" borderId="0" xfId="0" applyFont="1" applyAlignment="1">
      <alignment horizontal="center"/>
    </xf>
    <xf numFmtId="0" fontId="83" fillId="0" borderId="0" xfId="0" applyFont="1" applyAlignment="1">
      <alignment vertical="center"/>
    </xf>
    <xf numFmtId="0" fontId="7" fillId="0" borderId="0" xfId="0" applyFont="1" applyAlignment="1">
      <alignment horizontal="center" vertical="center"/>
    </xf>
    <xf numFmtId="0" fontId="0" fillId="0" borderId="0" xfId="0" applyProtection="1">
      <protection hidden="1"/>
    </xf>
    <xf numFmtId="0" fontId="8" fillId="0" borderId="0" xfId="0" applyFont="1"/>
    <xf numFmtId="0" fontId="77" fillId="0" borderId="0" xfId="0" applyFont="1" applyAlignment="1">
      <alignment vertical="top"/>
    </xf>
    <xf numFmtId="0" fontId="7" fillId="0" borderId="0" xfId="0" applyFont="1" applyAlignment="1">
      <alignment horizontal="center"/>
    </xf>
    <xf numFmtId="2" fontId="18" fillId="0" borderId="0" xfId="0" applyNumberFormat="1" applyFont="1" applyAlignment="1">
      <alignment horizontal="center"/>
    </xf>
    <xf numFmtId="14" fontId="2" fillId="0" borderId="0" xfId="1" applyNumberFormat="1" applyFont="1" applyAlignment="1">
      <alignment horizontal="right" shrinkToFit="1"/>
    </xf>
    <xf numFmtId="174" fontId="3" fillId="0" borderId="0" xfId="1" applyNumberFormat="1" applyFont="1" applyAlignment="1">
      <alignment horizontal="center" shrinkToFit="1"/>
    </xf>
    <xf numFmtId="174" fontId="44" fillId="0" borderId="0" xfId="0" applyNumberFormat="1" applyFont="1" applyAlignment="1">
      <alignment vertical="center"/>
    </xf>
    <xf numFmtId="0" fontId="45" fillId="0" borderId="0" xfId="0" applyFont="1" applyAlignment="1">
      <alignment vertical="center"/>
    </xf>
    <xf numFmtId="166" fontId="45" fillId="0" borderId="0" xfId="0" applyNumberFormat="1" applyFont="1" applyAlignment="1">
      <alignment vertical="center"/>
    </xf>
    <xf numFmtId="2" fontId="44" fillId="0" borderId="0" xfId="0" applyNumberFormat="1" applyFont="1" applyAlignment="1">
      <alignment vertical="center"/>
    </xf>
    <xf numFmtId="14" fontId="45" fillId="0" borderId="0" xfId="0" applyNumberFormat="1" applyFont="1" applyAlignment="1">
      <alignment vertical="center"/>
    </xf>
    <xf numFmtId="0" fontId="101" fillId="0" borderId="0" xfId="0" applyFont="1" applyAlignment="1">
      <alignment horizontal="center" vertical="top"/>
    </xf>
    <xf numFmtId="44" fontId="112" fillId="0" borderId="0" xfId="1" applyFont="1" applyAlignment="1">
      <alignment vertical="center" wrapText="1"/>
    </xf>
    <xf numFmtId="0" fontId="83" fillId="0" borderId="0" xfId="0" applyFont="1" applyAlignment="1">
      <alignment wrapText="1"/>
    </xf>
    <xf numFmtId="0" fontId="44" fillId="0" borderId="0" xfId="0" applyFont="1" applyAlignment="1" applyProtection="1">
      <alignment vertical="center" wrapText="1"/>
      <protection hidden="1"/>
    </xf>
    <xf numFmtId="0" fontId="0" fillId="0" borderId="0" xfId="0" applyAlignment="1" applyProtection="1">
      <alignment vertical="center"/>
      <protection hidden="1"/>
    </xf>
    <xf numFmtId="44" fontId="32" fillId="0" borderId="0" xfId="0" applyNumberFormat="1" applyFont="1"/>
    <xf numFmtId="44" fontId="44" fillId="0" borderId="0" xfId="1" applyFont="1" applyAlignment="1" applyProtection="1">
      <alignment vertical="center" wrapText="1"/>
      <protection hidden="1"/>
    </xf>
    <xf numFmtId="44" fontId="24" fillId="0" borderId="0" xfId="0" applyNumberFormat="1" applyFont="1" applyAlignment="1">
      <alignment horizontal="center"/>
    </xf>
    <xf numFmtId="44" fontId="44" fillId="0" borderId="0" xfId="1" applyFont="1" applyAlignment="1">
      <alignment vertical="center" wrapText="1"/>
    </xf>
    <xf numFmtId="0" fontId="121" fillId="0" borderId="0" xfId="0" applyFont="1" applyAlignment="1" applyProtection="1">
      <alignment horizontal="center" vertical="center"/>
      <protection hidden="1"/>
    </xf>
    <xf numFmtId="0" fontId="121" fillId="0" borderId="0" xfId="0" applyFont="1" applyAlignment="1">
      <alignment vertical="center"/>
    </xf>
    <xf numFmtId="0" fontId="44" fillId="0" borderId="0" xfId="0" applyFont="1" applyAlignment="1">
      <alignment horizontal="center" vertical="center"/>
    </xf>
    <xf numFmtId="0" fontId="122" fillId="0" borderId="0" xfId="0" applyFont="1" applyAlignment="1">
      <alignment horizontal="left" vertical="center" indent="2"/>
    </xf>
    <xf numFmtId="0" fontId="16" fillId="0" borderId="0" xfId="0" applyFont="1" applyAlignment="1">
      <alignment vertical="center"/>
    </xf>
    <xf numFmtId="0" fontId="101" fillId="0" borderId="0" xfId="0" applyFont="1" applyAlignment="1" applyProtection="1">
      <alignment horizontal="center"/>
      <protection hidden="1"/>
    </xf>
    <xf numFmtId="0" fontId="124" fillId="0" borderId="0" xfId="0" applyFont="1" applyAlignment="1">
      <alignment vertical="top" wrapText="1"/>
    </xf>
    <xf numFmtId="44" fontId="53" fillId="0" borderId="0" xfId="1" applyFont="1" applyAlignment="1">
      <alignment vertical="center"/>
    </xf>
    <xf numFmtId="0" fontId="123" fillId="0" borderId="0" xfId="0" applyFont="1" applyAlignment="1" applyProtection="1">
      <alignment horizontal="center"/>
      <protection hidden="1"/>
    </xf>
    <xf numFmtId="0" fontId="123" fillId="0" borderId="0" xfId="0" applyFont="1"/>
    <xf numFmtId="0" fontId="126" fillId="0" borderId="0" xfId="0" applyFont="1" applyProtection="1">
      <protection hidden="1"/>
    </xf>
    <xf numFmtId="0" fontId="101" fillId="0" borderId="0" xfId="0" applyFont="1"/>
    <xf numFmtId="0" fontId="34" fillId="0" borderId="0" xfId="0" applyFont="1" applyAlignment="1">
      <alignment vertical="top" wrapText="1"/>
    </xf>
    <xf numFmtId="0" fontId="121" fillId="0" borderId="0" xfId="0" applyFont="1"/>
    <xf numFmtId="0" fontId="110" fillId="0" borderId="0" xfId="0" applyFont="1" applyAlignment="1">
      <alignment horizontal="center" vertical="top" wrapText="1"/>
    </xf>
    <xf numFmtId="0" fontId="36" fillId="0" borderId="0" xfId="0" applyFont="1"/>
    <xf numFmtId="0" fontId="36" fillId="0" borderId="0" xfId="0" applyFont="1" applyAlignment="1">
      <alignment vertical="center"/>
    </xf>
    <xf numFmtId="44" fontId="45" fillId="0" borderId="0" xfId="0" quotePrefix="1" applyNumberFormat="1" applyFont="1" applyAlignment="1">
      <alignment wrapText="1"/>
    </xf>
    <xf numFmtId="0" fontId="95" fillId="0" borderId="0" xfId="0" applyFont="1" applyAlignment="1">
      <alignment vertical="center"/>
    </xf>
    <xf numFmtId="0" fontId="95" fillId="0" borderId="0" xfId="0" applyFont="1" applyAlignment="1">
      <alignment horizontal="left" vertical="center"/>
    </xf>
    <xf numFmtId="49" fontId="39" fillId="0" borderId="0" xfId="0" applyNumberFormat="1" applyFont="1" applyAlignment="1">
      <alignment vertical="center"/>
    </xf>
    <xf numFmtId="49" fontId="77" fillId="0" borderId="0" xfId="0" applyNumberFormat="1" applyFont="1" applyAlignment="1">
      <alignment horizontal="left" vertical="center" indent="3"/>
    </xf>
    <xf numFmtId="0" fontId="127" fillId="0" borderId="0" xfId="0" applyFont="1" applyAlignment="1">
      <alignment horizontal="center" vertical="center"/>
    </xf>
    <xf numFmtId="0" fontId="128" fillId="0" borderId="0" xfId="0" applyFont="1" applyAlignment="1">
      <alignment horizontal="left" vertical="center" wrapText="1" indent="1"/>
    </xf>
    <xf numFmtId="0" fontId="25" fillId="0" borderId="0" xfId="0" applyFont="1" applyAlignment="1">
      <alignment vertical="center" wrapText="1"/>
    </xf>
    <xf numFmtId="4" fontId="34" fillId="0" borderId="0" xfId="0" applyNumberFormat="1" applyFont="1" applyAlignment="1">
      <alignment horizontal="center" shrinkToFit="1"/>
    </xf>
    <xf numFmtId="44" fontId="53" fillId="0" borderId="0" xfId="1" applyFont="1" applyAlignment="1" applyProtection="1">
      <alignment vertical="center"/>
      <protection hidden="1"/>
    </xf>
    <xf numFmtId="44" fontId="2" fillId="0" borderId="0" xfId="1" applyFont="1" applyAlignment="1">
      <alignment horizontal="center" vertical="center"/>
    </xf>
    <xf numFmtId="0" fontId="2" fillId="0" borderId="0" xfId="0" quotePrefix="1" applyFont="1"/>
    <xf numFmtId="0" fontId="3" fillId="0" borderId="0" xfId="0" quotePrefix="1" applyFont="1" applyAlignment="1">
      <alignment horizontal="right"/>
    </xf>
    <xf numFmtId="0" fontId="70" fillId="0" borderId="0" xfId="0" applyFont="1" applyAlignment="1">
      <alignment vertical="center"/>
    </xf>
    <xf numFmtId="0" fontId="3" fillId="0" borderId="0" xfId="0" applyFont="1" applyAlignment="1">
      <alignment vertical="top" wrapText="1"/>
    </xf>
    <xf numFmtId="0" fontId="21" fillId="0" borderId="0" xfId="0" applyFont="1" applyAlignment="1" applyProtection="1">
      <alignment horizontal="left" vertical="top" wrapText="1"/>
      <protection hidden="1"/>
    </xf>
    <xf numFmtId="0" fontId="112" fillId="0" borderId="0" xfId="0" applyFont="1" applyAlignment="1">
      <alignment horizontal="center" wrapText="1"/>
    </xf>
    <xf numFmtId="49" fontId="53" fillId="0" borderId="0" xfId="0" applyNumberFormat="1" applyFont="1" applyAlignment="1">
      <alignment horizontal="center" vertical="center" wrapText="1"/>
    </xf>
    <xf numFmtId="49" fontId="3" fillId="0" borderId="0" xfId="0" applyNumberFormat="1" applyFont="1" applyAlignment="1">
      <alignment vertical="center" wrapText="1"/>
    </xf>
    <xf numFmtId="49" fontId="3" fillId="0" borderId="0" xfId="0" applyNumberFormat="1" applyFont="1" applyAlignment="1">
      <alignment horizontal="left" vertical="center" wrapText="1" indent="1"/>
    </xf>
    <xf numFmtId="49" fontId="3" fillId="0" borderId="0" xfId="0" applyNumberFormat="1" applyFont="1" applyAlignment="1">
      <alignment horizontal="left" vertical="center" wrapText="1" indent="2"/>
    </xf>
    <xf numFmtId="166" fontId="32" fillId="0" borderId="0" xfId="1" applyNumberFormat="1" applyFont="1" applyAlignment="1">
      <alignment vertical="top"/>
    </xf>
    <xf numFmtId="49" fontId="17" fillId="0" borderId="0" xfId="0" applyNumberFormat="1" applyFont="1" applyAlignment="1">
      <alignment horizontal="left" vertical="top"/>
    </xf>
    <xf numFmtId="49" fontId="0" fillId="0" borderId="0" xfId="0" applyNumberFormat="1" applyAlignment="1">
      <alignment vertical="center"/>
    </xf>
    <xf numFmtId="49" fontId="2" fillId="0" borderId="0" xfId="0" applyNumberFormat="1" applyFont="1" applyAlignment="1">
      <alignment horizontal="center" vertical="center"/>
    </xf>
    <xf numFmtId="49" fontId="19" fillId="0" borderId="0" xfId="0" applyNumberFormat="1" applyFont="1" applyAlignment="1">
      <alignment horizontal="right" vertical="center"/>
    </xf>
    <xf numFmtId="49" fontId="0" fillId="2" borderId="0" xfId="0" applyNumberFormat="1" applyFill="1"/>
    <xf numFmtId="164" fontId="113" fillId="0" borderId="0" xfId="0" applyNumberFormat="1" applyFont="1" applyAlignment="1">
      <alignment horizontal="center"/>
    </xf>
    <xf numFmtId="0" fontId="36" fillId="0" borderId="0" xfId="1" quotePrefix="1" applyNumberFormat="1" applyFont="1" applyAlignment="1">
      <alignment vertical="top" wrapText="1"/>
    </xf>
    <xf numFmtId="44" fontId="31" fillId="0" borderId="0" xfId="1" applyFont="1" applyAlignment="1" applyProtection="1">
      <alignment vertical="center"/>
      <protection locked="0"/>
    </xf>
    <xf numFmtId="49" fontId="0" fillId="0" borderId="0" xfId="0" applyNumberFormat="1" applyAlignment="1">
      <alignment horizontal="center"/>
    </xf>
    <xf numFmtId="0" fontId="21" fillId="0" borderId="0" xfId="0" applyFont="1" applyAlignment="1" applyProtection="1">
      <alignment wrapText="1"/>
      <protection hidden="1"/>
    </xf>
    <xf numFmtId="0" fontId="2" fillId="0" borderId="0" xfId="0" applyFont="1" applyAlignment="1">
      <alignment horizontal="center" vertical="center"/>
    </xf>
    <xf numFmtId="44" fontId="2" fillId="0" borderId="0" xfId="1" applyFont="1" applyAlignment="1">
      <alignment vertical="center" wrapText="1"/>
    </xf>
    <xf numFmtId="0" fontId="129" fillId="0" borderId="0" xfId="0" applyFont="1" applyAlignment="1">
      <alignment vertical="center" shrinkToFit="1"/>
    </xf>
    <xf numFmtId="0" fontId="6" fillId="0" borderId="0" xfId="0" applyFont="1" applyAlignment="1">
      <alignment vertical="center"/>
    </xf>
    <xf numFmtId="49" fontId="3" fillId="0" borderId="0" xfId="0" applyNumberFormat="1" applyFont="1" applyAlignment="1">
      <alignment horizontal="left" vertical="top" wrapText="1"/>
    </xf>
    <xf numFmtId="1" fontId="77" fillId="0" borderId="0" xfId="0" applyNumberFormat="1" applyFont="1" applyAlignment="1">
      <alignment horizontal="center" vertical="center"/>
    </xf>
    <xf numFmtId="0" fontId="25" fillId="0" borderId="0" xfId="1" applyNumberFormat="1" applyFont="1" applyFill="1"/>
    <xf numFmtId="0" fontId="44" fillId="0" borderId="0" xfId="0" applyFont="1" applyAlignment="1">
      <alignment vertical="top"/>
    </xf>
    <xf numFmtId="0" fontId="17" fillId="0" borderId="0" xfId="0" applyFont="1" applyAlignment="1">
      <alignment horizontal="center" vertical="center"/>
    </xf>
    <xf numFmtId="169" fontId="39" fillId="0" borderId="0" xfId="0" applyNumberFormat="1" applyFont="1" applyAlignment="1">
      <alignment vertical="center"/>
    </xf>
    <xf numFmtId="166" fontId="24" fillId="0" borderId="0" xfId="1" applyNumberFormat="1" applyFont="1" applyFill="1" applyBorder="1" applyAlignment="1">
      <alignment horizontal="center" vertical="center"/>
    </xf>
    <xf numFmtId="0" fontId="3" fillId="0" borderId="0" xfId="1" applyNumberFormat="1" applyFont="1" applyBorder="1"/>
    <xf numFmtId="1" fontId="121" fillId="0" borderId="0" xfId="0" applyNumberFormat="1" applyFont="1"/>
    <xf numFmtId="0" fontId="34" fillId="0" borderId="0" xfId="0" applyFont="1" applyAlignment="1">
      <alignment horizontal="center" vertical="center"/>
    </xf>
    <xf numFmtId="44" fontId="31" fillId="0" borderId="0" xfId="1" applyFont="1" applyAlignment="1" applyProtection="1">
      <alignment vertical="center"/>
    </xf>
    <xf numFmtId="0" fontId="2" fillId="0" borderId="14" xfId="0" applyFont="1" applyBorder="1" applyAlignment="1">
      <alignment horizontal="left" vertical="center" shrinkToFit="1"/>
    </xf>
    <xf numFmtId="0" fontId="3" fillId="0" borderId="0" xfId="0" applyFont="1" applyAlignment="1">
      <alignment horizontal="left" vertical="center" shrinkToFit="1"/>
    </xf>
    <xf numFmtId="0" fontId="2" fillId="0" borderId="1" xfId="0" applyFont="1" applyBorder="1" applyAlignment="1">
      <alignment horizontal="left" vertical="center" shrinkToFit="1"/>
    </xf>
    <xf numFmtId="0" fontId="23" fillId="0" borderId="0" xfId="0" applyFont="1" applyProtection="1">
      <protection hidden="1"/>
    </xf>
    <xf numFmtId="0" fontId="18" fillId="0" borderId="0" xfId="1" applyNumberFormat="1" applyFont="1" applyProtection="1"/>
    <xf numFmtId="49" fontId="18" fillId="0" borderId="0" xfId="0" applyNumberFormat="1" applyFont="1"/>
    <xf numFmtId="1" fontId="77" fillId="0" borderId="0" xfId="0" applyNumberFormat="1" applyFont="1" applyAlignment="1">
      <alignment vertical="center"/>
    </xf>
    <xf numFmtId="0" fontId="18" fillId="0" borderId="0" xfId="1" applyNumberFormat="1" applyFont="1" applyFill="1" applyBorder="1" applyProtection="1"/>
    <xf numFmtId="49" fontId="24" fillId="0" borderId="0" xfId="0" applyNumberFormat="1" applyFont="1" applyAlignment="1">
      <alignment vertical="top"/>
    </xf>
    <xf numFmtId="169" fontId="45" fillId="0" borderId="0" xfId="1" applyNumberFormat="1" applyFont="1" applyFill="1" applyBorder="1" applyAlignment="1" applyProtection="1">
      <alignment vertical="top"/>
    </xf>
    <xf numFmtId="49" fontId="32" fillId="0" borderId="0" xfId="0" applyNumberFormat="1" applyFont="1" applyAlignment="1">
      <alignment vertical="center"/>
    </xf>
    <xf numFmtId="0" fontId="18" fillId="0" borderId="0" xfId="1" applyNumberFormat="1" applyFont="1" applyAlignment="1" applyProtection="1">
      <alignment vertical="center" wrapText="1"/>
    </xf>
    <xf numFmtId="0" fontId="23" fillId="0" borderId="0" xfId="0" applyFont="1" applyAlignment="1">
      <alignment wrapText="1"/>
    </xf>
    <xf numFmtId="49" fontId="23" fillId="0" borderId="0" xfId="0" applyNumberFormat="1" applyFont="1" applyAlignment="1">
      <alignment horizontal="center" vertical="center"/>
    </xf>
    <xf numFmtId="44" fontId="36" fillId="0" borderId="0" xfId="1" applyFont="1" applyFill="1" applyBorder="1" applyAlignment="1" applyProtection="1">
      <alignment horizontal="center" vertical="center"/>
    </xf>
    <xf numFmtId="44" fontId="18" fillId="0" borderId="0" xfId="1" applyFont="1" applyFill="1" applyBorder="1" applyAlignment="1" applyProtection="1">
      <alignment horizontal="center" vertical="center"/>
    </xf>
    <xf numFmtId="0" fontId="24" fillId="0" borderId="0" xfId="0" applyFont="1" applyAlignment="1">
      <alignment horizontal="center" vertical="center"/>
    </xf>
    <xf numFmtId="0" fontId="23" fillId="0" borderId="0" xfId="0" applyFont="1" applyAlignment="1">
      <alignment horizontal="center" vertical="center"/>
    </xf>
    <xf numFmtId="0" fontId="18" fillId="0" borderId="0" xfId="1" applyNumberFormat="1" applyFont="1" applyFill="1" applyBorder="1" applyAlignment="1" applyProtection="1">
      <alignment horizontal="center" vertical="center"/>
    </xf>
    <xf numFmtId="171" fontId="28" fillId="2" borderId="23" xfId="0" applyNumberFormat="1" applyFont="1" applyFill="1" applyBorder="1" applyAlignment="1" applyProtection="1">
      <alignment horizontal="center" vertical="center"/>
      <protection locked="0"/>
    </xf>
    <xf numFmtId="0" fontId="24" fillId="0" borderId="0" xfId="0" applyFont="1" applyAlignment="1">
      <alignment horizontal="right"/>
    </xf>
    <xf numFmtId="49" fontId="45" fillId="0" borderId="0" xfId="0" applyNumberFormat="1" applyFont="1"/>
    <xf numFmtId="49" fontId="18" fillId="0" borderId="0" xfId="0" applyNumberFormat="1" applyFont="1" applyAlignment="1">
      <alignment vertical="center"/>
    </xf>
    <xf numFmtId="49" fontId="36" fillId="0" borderId="0" xfId="0" applyNumberFormat="1" applyFont="1" applyAlignment="1">
      <alignment horizontal="center" vertical="center"/>
    </xf>
    <xf numFmtId="0" fontId="18" fillId="0" borderId="0" xfId="1" applyNumberFormat="1" applyFont="1" applyBorder="1" applyProtection="1"/>
    <xf numFmtId="0" fontId="28" fillId="0" borderId="0" xfId="0" applyFont="1" applyAlignment="1">
      <alignment horizontal="center" vertical="center"/>
    </xf>
    <xf numFmtId="0" fontId="18" fillId="0" borderId="0" xfId="1" applyNumberFormat="1" applyFont="1" applyBorder="1" applyAlignment="1" applyProtection="1">
      <alignment horizontal="center" vertical="center"/>
    </xf>
    <xf numFmtId="0" fontId="18" fillId="0" borderId="0" xfId="1" applyNumberFormat="1" applyFont="1" applyFill="1" applyBorder="1" applyAlignment="1" applyProtection="1">
      <alignment horizontal="left"/>
    </xf>
    <xf numFmtId="0" fontId="18" fillId="0" borderId="0" xfId="1" applyNumberFormat="1" applyFont="1" applyBorder="1" applyAlignment="1" applyProtection="1">
      <alignment horizontal="center"/>
    </xf>
    <xf numFmtId="0" fontId="18" fillId="0" borderId="0" xfId="1" applyNumberFormat="1" applyFont="1" applyFill="1" applyBorder="1" applyAlignment="1" applyProtection="1">
      <alignment horizontal="center"/>
    </xf>
    <xf numFmtId="49" fontId="24" fillId="0" borderId="0" xfId="0" applyNumberFormat="1" applyFont="1" applyAlignment="1">
      <alignment horizontal="center"/>
    </xf>
    <xf numFmtId="49" fontId="78" fillId="0" borderId="70" xfId="0" applyNumberFormat="1" applyFont="1" applyBorder="1"/>
    <xf numFmtId="49" fontId="11" fillId="0" borderId="70" xfId="0" applyNumberFormat="1" applyFont="1" applyBorder="1" applyAlignment="1">
      <alignment vertical="center" wrapText="1"/>
    </xf>
    <xf numFmtId="0" fontId="18" fillId="0" borderId="71" xfId="0" applyFont="1" applyBorder="1" applyAlignment="1">
      <alignment vertical="center"/>
    </xf>
    <xf numFmtId="44" fontId="45" fillId="0" borderId="70" xfId="0" applyNumberFormat="1" applyFont="1" applyBorder="1" applyAlignment="1">
      <alignment vertical="center" wrapText="1"/>
    </xf>
    <xf numFmtId="0" fontId="28" fillId="0" borderId="71" xfId="0" applyFont="1" applyBorder="1" applyAlignment="1">
      <alignment horizontal="right" vertical="center"/>
    </xf>
    <xf numFmtId="44" fontId="36" fillId="0" borderId="70" xfId="1" applyFont="1" applyFill="1" applyBorder="1" applyAlignment="1" applyProtection="1">
      <alignment horizontal="center" vertical="center"/>
    </xf>
    <xf numFmtId="0" fontId="18" fillId="0" borderId="70" xfId="1" applyNumberFormat="1" applyFont="1" applyFill="1" applyBorder="1" applyAlignment="1" applyProtection="1">
      <alignment horizontal="center" vertical="center"/>
    </xf>
    <xf numFmtId="0" fontId="28" fillId="0" borderId="71" xfId="0" applyFont="1" applyBorder="1" applyAlignment="1">
      <alignment horizontal="right"/>
    </xf>
    <xf numFmtId="0" fontId="18" fillId="0" borderId="70" xfId="1" applyNumberFormat="1" applyFont="1" applyFill="1" applyBorder="1" applyProtection="1"/>
    <xf numFmtId="49" fontId="18" fillId="0" borderId="0" xfId="0" applyNumberFormat="1" applyFont="1" applyAlignment="1">
      <alignment horizontal="right" vertical="center"/>
    </xf>
    <xf numFmtId="0" fontId="16" fillId="0" borderId="0" xfId="0" applyFont="1" applyAlignment="1">
      <alignment vertical="top" wrapText="1"/>
    </xf>
    <xf numFmtId="49" fontId="13" fillId="0" borderId="0" xfId="0" applyNumberFormat="1" applyFont="1" applyAlignment="1">
      <alignment horizontal="right"/>
    </xf>
    <xf numFmtId="1" fontId="18" fillId="0" borderId="0" xfId="0" applyNumberFormat="1" applyFont="1" applyAlignment="1">
      <alignment vertical="top" wrapText="1"/>
    </xf>
    <xf numFmtId="0" fontId="34" fillId="0" borderId="71" xfId="0" applyFont="1" applyBorder="1" applyAlignment="1">
      <alignment horizontal="center" vertical="center"/>
    </xf>
    <xf numFmtId="49" fontId="45" fillId="0" borderId="0" xfId="0" applyNumberFormat="1" applyFont="1" applyAlignment="1">
      <alignment horizontal="center" vertical="center"/>
    </xf>
    <xf numFmtId="0" fontId="24" fillId="0" borderId="83" xfId="0" applyFont="1" applyBorder="1"/>
    <xf numFmtId="0" fontId="16" fillId="0" borderId="82" xfId="0" applyFont="1" applyBorder="1" applyAlignment="1">
      <alignment vertical="top" wrapText="1"/>
    </xf>
    <xf numFmtId="0" fontId="24" fillId="0" borderId="83" xfId="0" applyFont="1" applyBorder="1" applyAlignment="1">
      <alignment horizontal="center" vertical="center"/>
    </xf>
    <xf numFmtId="49" fontId="3" fillId="0" borderId="0" xfId="0" applyNumberFormat="1" applyFont="1" applyAlignment="1">
      <alignment horizontal="right" vertical="center"/>
    </xf>
    <xf numFmtId="0" fontId="71" fillId="0" borderId="0" xfId="0" applyFont="1" applyAlignment="1">
      <alignment vertical="center"/>
    </xf>
    <xf numFmtId="1" fontId="77" fillId="0" borderId="83" xfId="0" applyNumberFormat="1" applyFont="1" applyBorder="1" applyAlignment="1">
      <alignment horizontal="center" vertical="center"/>
    </xf>
    <xf numFmtId="171" fontId="39" fillId="0" borderId="83" xfId="1" applyNumberFormat="1" applyFont="1" applyFill="1" applyBorder="1" applyAlignment="1" applyProtection="1">
      <alignment horizontal="center" shrinkToFit="1"/>
    </xf>
    <xf numFmtId="0" fontId="45" fillId="0" borderId="83" xfId="0" applyFont="1" applyBorder="1" applyAlignment="1">
      <alignment vertical="center" wrapText="1"/>
    </xf>
    <xf numFmtId="44" fontId="36" fillId="0" borderId="83" xfId="1" applyFont="1" applyFill="1" applyBorder="1" applyAlignment="1" applyProtection="1">
      <alignment horizontal="center" vertical="center"/>
    </xf>
    <xf numFmtId="0" fontId="24" fillId="0" borderId="84" xfId="0" applyFont="1" applyBorder="1"/>
    <xf numFmtId="0" fontId="24" fillId="0" borderId="15" xfId="0" applyFont="1" applyBorder="1"/>
    <xf numFmtId="0" fontId="24" fillId="0" borderId="85" xfId="0" applyFont="1" applyBorder="1"/>
    <xf numFmtId="0" fontId="24" fillId="0" borderId="79" xfId="0" applyFont="1" applyBorder="1" applyAlignment="1">
      <alignment vertical="top"/>
    </xf>
    <xf numFmtId="49" fontId="24" fillId="0" borderId="1" xfId="0" applyNumberFormat="1" applyFont="1" applyBorder="1" applyAlignment="1">
      <alignment vertical="top"/>
    </xf>
    <xf numFmtId="169" fontId="45" fillId="0" borderId="1" xfId="1" applyNumberFormat="1" applyFont="1" applyFill="1" applyBorder="1" applyAlignment="1" applyProtection="1">
      <alignment vertical="top"/>
    </xf>
    <xf numFmtId="169" fontId="45" fillId="0" borderId="53" xfId="1" applyNumberFormat="1" applyFont="1" applyFill="1" applyBorder="1" applyAlignment="1" applyProtection="1">
      <alignment vertical="top"/>
    </xf>
    <xf numFmtId="0" fontId="34" fillId="0" borderId="0" xfId="0" applyFont="1" applyAlignment="1">
      <alignment vertical="center" wrapText="1"/>
    </xf>
    <xf numFmtId="171" fontId="28" fillId="0" borderId="23" xfId="0" applyNumberFormat="1" applyFont="1" applyBorder="1" applyAlignment="1">
      <alignment horizontal="center" vertical="center"/>
    </xf>
    <xf numFmtId="0" fontId="28" fillId="0" borderId="2" xfId="0" applyFont="1" applyBorder="1" applyAlignment="1">
      <alignment horizontal="center" vertical="center"/>
    </xf>
    <xf numFmtId="0" fontId="31" fillId="0" borderId="0" xfId="0" applyFont="1" applyAlignment="1">
      <alignment vertical="center" wrapText="1"/>
    </xf>
    <xf numFmtId="0" fontId="31" fillId="0" borderId="0" xfId="0" applyFont="1" applyAlignment="1" applyProtection="1">
      <alignment horizontal="center" vertical="center"/>
      <protection locked="0"/>
    </xf>
    <xf numFmtId="0" fontId="3" fillId="0" borderId="0" xfId="0" applyFont="1" applyAlignment="1">
      <alignment horizontal="right" vertical="top"/>
    </xf>
    <xf numFmtId="0" fontId="13" fillId="0" borderId="0" xfId="0" applyFont="1" applyAlignment="1">
      <alignment horizontal="center" vertical="center" shrinkToFit="1"/>
    </xf>
    <xf numFmtId="0" fontId="53" fillId="0" borderId="0" xfId="0" applyFont="1" applyAlignment="1">
      <alignment vertical="center"/>
    </xf>
    <xf numFmtId="0" fontId="13" fillId="0" borderId="0" xfId="0" applyFont="1" applyAlignment="1">
      <alignment vertical="top" shrinkToFit="1"/>
    </xf>
    <xf numFmtId="0" fontId="0" fillId="0" borderId="2" xfId="0" applyBorder="1"/>
    <xf numFmtId="0" fontId="110" fillId="0" borderId="0" xfId="0" applyFont="1" applyAlignment="1">
      <alignment vertical="center"/>
    </xf>
    <xf numFmtId="44" fontId="24" fillId="0" borderId="0" xfId="1" applyFont="1" applyAlignment="1">
      <alignment shrinkToFit="1"/>
    </xf>
    <xf numFmtId="0" fontId="108" fillId="0" borderId="0" xfId="0" applyFont="1" applyProtection="1">
      <protection locked="0" hidden="1"/>
    </xf>
    <xf numFmtId="0" fontId="31" fillId="0" borderId="0" xfId="0" applyFont="1" applyAlignment="1" applyProtection="1">
      <alignment horizontal="center" vertical="center"/>
      <protection hidden="1"/>
    </xf>
    <xf numFmtId="44" fontId="44" fillId="0" borderId="0" xfId="1" applyFont="1" applyAlignment="1" applyProtection="1">
      <alignment vertical="center" shrinkToFit="1"/>
      <protection hidden="1"/>
    </xf>
    <xf numFmtId="44" fontId="21" fillId="0" borderId="0" xfId="1" applyFont="1" applyAlignment="1" applyProtection="1">
      <alignment shrinkToFit="1"/>
      <protection hidden="1"/>
    </xf>
    <xf numFmtId="44" fontId="19" fillId="0" borderId="0" xfId="1" applyFont="1" applyAlignment="1" applyProtection="1">
      <alignment shrinkToFit="1"/>
      <protection hidden="1"/>
    </xf>
    <xf numFmtId="0" fontId="3" fillId="0" borderId="0" xfId="0" applyFont="1" applyAlignment="1">
      <alignment horizontal="left" vertical="center" indent="6"/>
    </xf>
    <xf numFmtId="173" fontId="45" fillId="0" borderId="0" xfId="1" applyNumberFormat="1" applyFont="1" applyAlignment="1">
      <alignment horizontal="center" vertical="center"/>
    </xf>
    <xf numFmtId="0" fontId="44" fillId="0" borderId="0" xfId="0" applyFont="1" applyAlignment="1">
      <alignment horizontal="left" vertical="center" wrapText="1"/>
    </xf>
    <xf numFmtId="44" fontId="18" fillId="0" borderId="0" xfId="1" applyFont="1" applyBorder="1" applyAlignment="1">
      <alignment horizontal="center"/>
    </xf>
    <xf numFmtId="169" fontId="44" fillId="0" borderId="0" xfId="1" applyNumberFormat="1" applyFont="1" applyBorder="1" applyAlignment="1">
      <alignment horizontal="right" vertical="center"/>
    </xf>
    <xf numFmtId="44" fontId="3" fillId="0" borderId="0" xfId="1" applyFont="1" applyFill="1" applyBorder="1" applyAlignment="1" applyProtection="1">
      <alignment horizontal="right"/>
    </xf>
    <xf numFmtId="0" fontId="3" fillId="0" borderId="0" xfId="0" applyFont="1" applyAlignment="1">
      <alignment horizontal="left" indent="1"/>
    </xf>
    <xf numFmtId="44" fontId="3" fillId="0" borderId="0" xfId="1" applyFont="1" applyBorder="1" applyAlignment="1">
      <alignment horizontal="right" vertical="center"/>
    </xf>
    <xf numFmtId="44" fontId="109" fillId="0" borderId="0" xfId="0" applyNumberFormat="1" applyFont="1" applyAlignment="1" applyProtection="1">
      <alignment shrinkToFit="1"/>
      <protection hidden="1"/>
    </xf>
    <xf numFmtId="44" fontId="108" fillId="0" borderId="0" xfId="0" applyNumberFormat="1" applyFont="1" applyAlignment="1" applyProtection="1">
      <alignment vertical="center" shrinkToFit="1"/>
      <protection hidden="1"/>
    </xf>
    <xf numFmtId="0" fontId="0" fillId="0" borderId="21" xfId="0" applyBorder="1"/>
    <xf numFmtId="0" fontId="108" fillId="0" borderId="0" xfId="0" applyFont="1" applyProtection="1">
      <protection hidden="1"/>
    </xf>
    <xf numFmtId="0" fontId="34" fillId="0" borderId="0" xfId="0" applyFont="1" applyProtection="1">
      <protection hidden="1"/>
    </xf>
    <xf numFmtId="44" fontId="44" fillId="0" borderId="0" xfId="1" applyFont="1" applyBorder="1" applyAlignment="1" applyProtection="1">
      <alignment vertical="center" shrinkToFit="1"/>
      <protection hidden="1"/>
    </xf>
    <xf numFmtId="44" fontId="21" fillId="0" borderId="0" xfId="1" applyFont="1" applyBorder="1" applyAlignment="1" applyProtection="1">
      <alignment shrinkToFit="1"/>
      <protection hidden="1"/>
    </xf>
    <xf numFmtId="49" fontId="25" fillId="0" borderId="21" xfId="0" applyNumberFormat="1" applyFont="1" applyBorder="1"/>
    <xf numFmtId="44" fontId="31" fillId="0" borderId="0" xfId="2" applyNumberFormat="1" applyFont="1" applyBorder="1" applyAlignment="1" applyProtection="1">
      <alignment horizontal="center"/>
    </xf>
    <xf numFmtId="10" fontId="31" fillId="0" borderId="0" xfId="2" applyNumberFormat="1" applyFont="1" applyBorder="1" applyAlignment="1" applyProtection="1">
      <alignment horizontal="center"/>
      <protection hidden="1"/>
    </xf>
    <xf numFmtId="44" fontId="25" fillId="0" borderId="21" xfId="0" applyNumberFormat="1" applyFont="1" applyBorder="1" applyAlignment="1" applyProtection="1">
      <alignment vertical="center"/>
      <protection hidden="1"/>
    </xf>
    <xf numFmtId="44" fontId="25" fillId="0" borderId="21" xfId="0" applyNumberFormat="1" applyFont="1" applyBorder="1" applyAlignment="1" applyProtection="1">
      <alignment horizontal="center" vertical="center"/>
      <protection hidden="1"/>
    </xf>
    <xf numFmtId="0" fontId="3" fillId="0" borderId="122" xfId="0" applyFont="1" applyBorder="1" applyAlignment="1">
      <alignment vertical="center"/>
    </xf>
    <xf numFmtId="0" fontId="3" fillId="0" borderId="123" xfId="0" applyFont="1" applyBorder="1" applyAlignment="1">
      <alignment horizontal="left"/>
    </xf>
    <xf numFmtId="0" fontId="3" fillId="0" borderId="123" xfId="0" applyFont="1" applyBorder="1" applyAlignment="1">
      <alignment horizontal="center"/>
    </xf>
    <xf numFmtId="0" fontId="25" fillId="0" borderId="123" xfId="0" applyFont="1" applyBorder="1"/>
    <xf numFmtId="0" fontId="3" fillId="0" borderId="123" xfId="0" applyFont="1" applyBorder="1" applyAlignment="1">
      <alignment horizontal="left" vertical="center"/>
    </xf>
    <xf numFmtId="0" fontId="2" fillId="0" borderId="123" xfId="0" applyFont="1" applyBorder="1"/>
    <xf numFmtId="0" fontId="8" fillId="0" borderId="123" xfId="0" applyFont="1" applyBorder="1" applyAlignment="1">
      <alignment horizontal="center" vertical="center"/>
    </xf>
    <xf numFmtId="0" fontId="0" fillId="0" borderId="123" xfId="0" applyBorder="1"/>
    <xf numFmtId="0" fontId="44" fillId="0" borderId="124" xfId="0" applyFont="1" applyBorder="1" applyAlignment="1">
      <alignment wrapText="1"/>
    </xf>
    <xf numFmtId="0" fontId="44" fillId="0" borderId="126" xfId="0" applyFont="1" applyBorder="1" applyAlignment="1">
      <alignment wrapText="1"/>
    </xf>
    <xf numFmtId="0" fontId="52" fillId="0" borderId="129" xfId="0" applyFont="1" applyBorder="1" applyAlignment="1">
      <alignment wrapText="1"/>
    </xf>
    <xf numFmtId="0" fontId="3" fillId="2" borderId="1" xfId="0" applyFont="1" applyFill="1" applyBorder="1" applyAlignment="1" applyProtection="1">
      <alignment horizontal="center" vertical="center" shrinkToFit="1"/>
      <protection locked="0"/>
    </xf>
    <xf numFmtId="49" fontId="19" fillId="0" borderId="0" xfId="0" applyNumberFormat="1" applyFont="1" applyProtection="1">
      <protection hidden="1"/>
    </xf>
    <xf numFmtId="0" fontId="34" fillId="0" borderId="71" xfId="0" applyFont="1" applyBorder="1" applyProtection="1">
      <protection hidden="1"/>
    </xf>
    <xf numFmtId="0" fontId="0" fillId="0" borderId="0" xfId="0" applyAlignment="1">
      <alignment horizontal="right" shrinkToFit="1"/>
    </xf>
    <xf numFmtId="2" fontId="21" fillId="0" borderId="0" xfId="0" applyNumberFormat="1" applyFont="1" applyProtection="1">
      <protection hidden="1"/>
    </xf>
    <xf numFmtId="44" fontId="19" fillId="0" borderId="0" xfId="0" applyNumberFormat="1" applyFont="1" applyAlignment="1" applyProtection="1">
      <alignment shrinkToFit="1"/>
      <protection hidden="1"/>
    </xf>
    <xf numFmtId="0" fontId="26" fillId="0" borderId="0" xfId="0" applyFont="1" applyAlignment="1">
      <alignment horizontal="right" vertical="top"/>
    </xf>
    <xf numFmtId="0" fontId="134" fillId="0" borderId="134" xfId="0" applyFont="1" applyBorder="1" applyAlignment="1">
      <alignment vertical="center"/>
    </xf>
    <xf numFmtId="1" fontId="98" fillId="0" borderId="134" xfId="0" applyNumberFormat="1" applyFont="1" applyBorder="1" applyAlignment="1">
      <alignment horizontal="center" vertical="center"/>
    </xf>
    <xf numFmtId="171" fontId="132" fillId="0" borderId="134" xfId="1" applyNumberFormat="1" applyFont="1" applyFill="1" applyBorder="1" applyAlignment="1" applyProtection="1">
      <alignment horizontal="center" shrinkToFit="1"/>
    </xf>
    <xf numFmtId="0" fontId="126" fillId="0" borderId="0" xfId="0" applyFont="1"/>
    <xf numFmtId="44" fontId="119" fillId="0" borderId="0" xfId="0" applyNumberFormat="1" applyFont="1" applyAlignment="1">
      <alignment vertical="center"/>
    </xf>
    <xf numFmtId="0" fontId="101" fillId="0" borderId="134" xfId="0" applyFont="1" applyBorder="1" applyAlignment="1">
      <alignment vertical="center" wrapText="1"/>
    </xf>
    <xf numFmtId="44" fontId="124" fillId="0" borderId="134" xfId="1" applyFont="1" applyFill="1" applyBorder="1" applyAlignment="1" applyProtection="1">
      <alignment horizontal="center" vertical="center"/>
    </xf>
    <xf numFmtId="0" fontId="136" fillId="0" borderId="134" xfId="0" applyFont="1" applyBorder="1" applyAlignment="1">
      <alignment horizontal="center" vertical="center"/>
    </xf>
    <xf numFmtId="0" fontId="136" fillId="0" borderId="134" xfId="0" applyFont="1" applyBorder="1"/>
    <xf numFmtId="44" fontId="36" fillId="0" borderId="134" xfId="1" applyFont="1" applyFill="1" applyBorder="1" applyAlignment="1" applyProtection="1">
      <alignment horizontal="center" vertical="center"/>
    </xf>
    <xf numFmtId="0" fontId="28" fillId="0" borderId="2" xfId="0" applyFont="1" applyBorder="1" applyAlignment="1">
      <alignment vertical="center"/>
    </xf>
    <xf numFmtId="2" fontId="137" fillId="0" borderId="2" xfId="0" applyNumberFormat="1" applyFont="1" applyBorder="1" applyAlignment="1">
      <alignment horizontal="center" vertical="center"/>
    </xf>
    <xf numFmtId="0" fontId="6" fillId="0" borderId="0" xfId="0" applyFont="1" applyAlignment="1">
      <alignment horizontal="left" vertical="top"/>
    </xf>
    <xf numFmtId="0" fontId="15" fillId="0" borderId="0" xfId="0" applyFont="1" applyAlignment="1">
      <alignment horizontal="left" vertical="center" indent="2"/>
    </xf>
    <xf numFmtId="0" fontId="24" fillId="0" borderId="15" xfId="0" applyFont="1" applyBorder="1" applyAlignment="1">
      <alignment vertical="center"/>
    </xf>
    <xf numFmtId="1" fontId="77" fillId="0" borderId="1" xfId="0" applyNumberFormat="1" applyFont="1" applyBorder="1" applyAlignment="1">
      <alignment horizontal="center" vertical="center"/>
    </xf>
    <xf numFmtId="0" fontId="50" fillId="0" borderId="0" xfId="0" applyFont="1" applyAlignment="1">
      <alignment shrinkToFit="1"/>
    </xf>
    <xf numFmtId="0" fontId="49" fillId="0" borderId="0" xfId="0" applyFont="1" applyAlignment="1">
      <alignment shrinkToFit="1"/>
    </xf>
    <xf numFmtId="0" fontId="2" fillId="0" borderId="0" xfId="0" applyFont="1" applyAlignment="1">
      <alignment shrinkToFit="1"/>
    </xf>
    <xf numFmtId="0" fontId="0" fillId="0" borderId="0" xfId="0" applyAlignment="1">
      <alignment shrinkToFit="1"/>
    </xf>
    <xf numFmtId="0" fontId="21" fillId="0" borderId="0" xfId="0" applyFont="1" applyAlignment="1" applyProtection="1">
      <alignment horizontal="right"/>
      <protection hidden="1"/>
    </xf>
    <xf numFmtId="49" fontId="19" fillId="0" borderId="0" xfId="0" applyNumberFormat="1" applyFont="1"/>
    <xf numFmtId="0" fontId="25" fillId="0" borderId="0" xfId="1" applyNumberFormat="1" applyFont="1" applyProtection="1"/>
    <xf numFmtId="0" fontId="3" fillId="0" borderId="0" xfId="1" applyNumberFormat="1" applyFont="1" applyProtection="1"/>
    <xf numFmtId="0" fontId="3" fillId="0" borderId="0" xfId="1" applyNumberFormat="1" applyFont="1" applyAlignment="1" applyProtection="1"/>
    <xf numFmtId="0" fontId="8" fillId="0" borderId="0" xfId="1" applyNumberFormat="1" applyFont="1" applyAlignment="1" applyProtection="1"/>
    <xf numFmtId="44" fontId="22" fillId="0" borderId="0" xfId="1" applyFont="1" applyFill="1" applyBorder="1" applyAlignment="1" applyProtection="1"/>
    <xf numFmtId="49" fontId="2" fillId="0" borderId="0" xfId="1" applyNumberFormat="1" applyFont="1" applyAlignment="1" applyProtection="1">
      <alignment horizontal="right"/>
    </xf>
    <xf numFmtId="0" fontId="3" fillId="0" borderId="0" xfId="1" applyNumberFormat="1" applyFont="1" applyFill="1" applyBorder="1" applyProtection="1"/>
    <xf numFmtId="44" fontId="22" fillId="0" borderId="0" xfId="1" applyFont="1" applyFill="1" applyBorder="1" applyAlignment="1" applyProtection="1">
      <alignment horizontal="center"/>
    </xf>
    <xf numFmtId="44" fontId="3" fillId="0" borderId="0" xfId="1" applyFont="1" applyFill="1" applyBorder="1" applyProtection="1"/>
    <xf numFmtId="44" fontId="22" fillId="0" borderId="0" xfId="1" applyFont="1" applyFill="1" applyBorder="1" applyAlignment="1" applyProtection="1">
      <alignment vertical="center"/>
    </xf>
    <xf numFmtId="0" fontId="0" fillId="0" borderId="0" xfId="1" applyNumberFormat="1" applyFont="1" applyFill="1" applyBorder="1" applyAlignment="1" applyProtection="1">
      <alignment horizontal="left" indent="3"/>
    </xf>
    <xf numFmtId="0" fontId="71" fillId="0" borderId="0" xfId="1" applyNumberFormat="1" applyFont="1" applyAlignment="1" applyProtection="1">
      <alignment vertical="center"/>
    </xf>
    <xf numFmtId="0" fontId="140" fillId="0" borderId="0" xfId="1" applyNumberFormat="1" applyFont="1" applyAlignment="1" applyProtection="1">
      <protection hidden="1"/>
    </xf>
    <xf numFmtId="49" fontId="2" fillId="0" borderId="0" xfId="1" applyNumberFormat="1" applyFont="1" applyAlignment="1" applyProtection="1">
      <alignment horizontal="right" vertical="center"/>
    </xf>
    <xf numFmtId="2" fontId="45" fillId="0" borderId="0" xfId="0" applyNumberFormat="1" applyFont="1" applyAlignment="1">
      <alignment horizontal="left"/>
    </xf>
    <xf numFmtId="0" fontId="25" fillId="0" borderId="0" xfId="0" applyFont="1" applyAlignment="1" applyProtection="1">
      <alignment horizontal="left" wrapText="1"/>
      <protection hidden="1"/>
    </xf>
    <xf numFmtId="0" fontId="3" fillId="0" borderId="1" xfId="1" applyNumberFormat="1" applyFont="1" applyBorder="1" applyAlignment="1"/>
    <xf numFmtId="49" fontId="3" fillId="0" borderId="0" xfId="0" applyNumberFormat="1" applyFont="1" applyAlignment="1">
      <alignment horizontal="left" vertical="top" wrapText="1" indent="1"/>
    </xf>
    <xf numFmtId="49" fontId="3" fillId="0" borderId="0" xfId="0" applyNumberFormat="1" applyFont="1" applyAlignment="1">
      <alignment horizontal="left" vertical="top" wrapText="1" indent="2"/>
    </xf>
    <xf numFmtId="0" fontId="31" fillId="0" borderId="0" xfId="0" applyFont="1" applyAlignment="1">
      <alignment vertical="top"/>
    </xf>
    <xf numFmtId="0" fontId="31" fillId="0" borderId="0" xfId="0" applyFont="1" applyAlignment="1" applyProtection="1">
      <alignment vertical="top"/>
      <protection hidden="1"/>
    </xf>
    <xf numFmtId="14" fontId="15" fillId="0" borderId="0" xfId="0" applyNumberFormat="1" applyFont="1" applyAlignment="1">
      <alignment vertical="center" wrapText="1"/>
    </xf>
    <xf numFmtId="14" fontId="17" fillId="0" borderId="0" xfId="0" applyNumberFormat="1" applyFont="1"/>
    <xf numFmtId="0" fontId="34" fillId="0" borderId="0" xfId="2" applyNumberFormat="1" applyFont="1" applyProtection="1">
      <protection hidden="1"/>
    </xf>
    <xf numFmtId="0" fontId="34" fillId="0" borderId="0" xfId="0" applyFont="1" applyAlignment="1" applyProtection="1">
      <alignment vertical="center"/>
      <protection hidden="1"/>
    </xf>
    <xf numFmtId="2" fontId="34" fillId="0" borderId="0" xfId="0" applyNumberFormat="1" applyFont="1" applyProtection="1">
      <protection hidden="1"/>
    </xf>
    <xf numFmtId="0" fontId="25" fillId="0" borderId="0" xfId="1" applyNumberFormat="1" applyFont="1" applyProtection="1">
      <protection hidden="1"/>
    </xf>
    <xf numFmtId="0" fontId="3" fillId="0" borderId="0" xfId="1" applyNumberFormat="1" applyFont="1" applyFill="1" applyBorder="1" applyAlignment="1" applyProtection="1"/>
    <xf numFmtId="44" fontId="112" fillId="0" borderId="0" xfId="0" applyNumberFormat="1" applyFont="1" applyAlignment="1">
      <alignment vertical="top"/>
    </xf>
    <xf numFmtId="176" fontId="112" fillId="0" borderId="2" xfId="0" applyNumberFormat="1" applyFont="1" applyBorder="1" applyAlignment="1">
      <alignment vertical="top"/>
    </xf>
    <xf numFmtId="44" fontId="3" fillId="0" borderId="16" xfId="1" applyFont="1" applyBorder="1" applyAlignment="1">
      <alignment vertical="center"/>
    </xf>
    <xf numFmtId="44" fontId="25" fillId="0" borderId="139" xfId="1" applyFont="1" applyBorder="1" applyAlignment="1">
      <alignment vertical="center"/>
    </xf>
    <xf numFmtId="44" fontId="44" fillId="0" borderId="0" xfId="1" applyFont="1" applyAlignment="1" applyProtection="1">
      <protection hidden="1"/>
    </xf>
    <xf numFmtId="44" fontId="25" fillId="0" borderId="21" xfId="0" applyNumberFormat="1" applyFont="1" applyBorder="1" applyProtection="1">
      <protection hidden="1"/>
    </xf>
    <xf numFmtId="0" fontId="95" fillId="0" borderId="0" xfId="0" applyFont="1" applyAlignment="1">
      <alignment horizontal="center" vertical="center" wrapText="1"/>
    </xf>
    <xf numFmtId="0" fontId="31" fillId="0" borderId="0" xfId="0" applyFont="1" applyAlignment="1" applyProtection="1">
      <alignment vertical="center" wrapText="1"/>
      <protection hidden="1"/>
    </xf>
    <xf numFmtId="44" fontId="112" fillId="0" borderId="0" xfId="0" applyNumberFormat="1" applyFont="1" applyAlignment="1">
      <alignment horizontal="center" vertical="top"/>
    </xf>
    <xf numFmtId="44" fontId="112" fillId="0" borderId="0" xfId="0" quotePrefix="1" applyNumberFormat="1" applyFont="1" applyAlignment="1">
      <alignment vertical="top"/>
    </xf>
    <xf numFmtId="0" fontId="112" fillId="0" borderId="0" xfId="0" applyFont="1"/>
    <xf numFmtId="44" fontId="112" fillId="0" borderId="0" xfId="0" applyNumberFormat="1" applyFont="1" applyAlignment="1">
      <alignment horizontal="center"/>
    </xf>
    <xf numFmtId="0" fontId="112" fillId="0" borderId="0" xfId="0" applyFont="1" applyAlignment="1">
      <alignment horizontal="center"/>
    </xf>
    <xf numFmtId="44" fontId="112" fillId="0" borderId="0" xfId="0" quotePrefix="1" applyNumberFormat="1" applyFont="1" applyAlignment="1">
      <alignment horizontal="center" vertical="top"/>
    </xf>
    <xf numFmtId="0" fontId="112" fillId="0" borderId="0" xfId="0" applyFont="1" applyAlignment="1">
      <alignment vertical="top"/>
    </xf>
    <xf numFmtId="0" fontId="112" fillId="0" borderId="0" xfId="0" quotePrefix="1" applyFont="1" applyAlignment="1">
      <alignment horizontal="center" vertical="top"/>
    </xf>
    <xf numFmtId="44" fontId="112" fillId="0" borderId="140" xfId="0" applyNumberFormat="1" applyFont="1" applyBorder="1" applyAlignment="1">
      <alignment vertical="top"/>
    </xf>
    <xf numFmtId="0" fontId="142" fillId="0" borderId="0" xfId="0" applyFont="1" applyAlignment="1">
      <alignment vertical="center"/>
    </xf>
    <xf numFmtId="44" fontId="112" fillId="0" borderId="0" xfId="0" applyNumberFormat="1" applyFont="1" applyAlignment="1">
      <alignment horizontal="left" vertical="top"/>
    </xf>
    <xf numFmtId="44" fontId="112" fillId="0" borderId="0" xfId="0" applyNumberFormat="1" applyFont="1" applyAlignment="1">
      <alignment horizontal="right" vertical="top"/>
    </xf>
    <xf numFmtId="0" fontId="108" fillId="0" borderId="0" xfId="0" applyFont="1" applyAlignment="1">
      <alignment vertical="top" wrapText="1"/>
    </xf>
    <xf numFmtId="44" fontId="143" fillId="0" borderId="0" xfId="1" applyFont="1" applyBorder="1" applyAlignment="1" applyProtection="1">
      <alignment vertical="center"/>
    </xf>
    <xf numFmtId="44" fontId="3" fillId="0" borderId="0" xfId="1" applyFont="1" applyFill="1" applyBorder="1" applyAlignment="1" applyProtection="1">
      <alignment horizontal="left"/>
    </xf>
    <xf numFmtId="49" fontId="26" fillId="0" borderId="0" xfId="0" applyNumberFormat="1" applyFont="1"/>
    <xf numFmtId="0" fontId="23" fillId="0" borderId="0" xfId="0" applyFont="1" applyAlignment="1">
      <alignment vertical="center" wrapText="1"/>
    </xf>
    <xf numFmtId="0" fontId="3" fillId="0" borderId="0" xfId="0" applyFont="1" applyAlignment="1">
      <alignment horizontal="right" indent="1"/>
    </xf>
    <xf numFmtId="0" fontId="30" fillId="0" borderId="0" xfId="0" applyFont="1" applyAlignment="1">
      <alignment shrinkToFit="1"/>
    </xf>
    <xf numFmtId="177" fontId="31" fillId="0" borderId="0" xfId="1" applyNumberFormat="1" applyFont="1" applyAlignment="1">
      <alignment horizontal="center" vertical="center" shrinkToFit="1"/>
    </xf>
    <xf numFmtId="0" fontId="65" fillId="0" borderId="0" xfId="0" applyFont="1" applyAlignment="1">
      <alignment vertical="top" wrapText="1" shrinkToFit="1"/>
    </xf>
    <xf numFmtId="0" fontId="65" fillId="0" borderId="0" xfId="0" applyFont="1" applyAlignment="1">
      <alignment horizontal="center" vertical="center" wrapText="1" shrinkToFit="1"/>
    </xf>
    <xf numFmtId="178" fontId="31" fillId="0" borderId="0" xfId="1" applyNumberFormat="1" applyFont="1" applyAlignment="1">
      <alignment horizontal="center" vertical="center" shrinkToFit="1"/>
    </xf>
    <xf numFmtId="0" fontId="4" fillId="0" borderId="0" xfId="0" applyFont="1" applyAlignment="1">
      <alignment horizontal="center"/>
    </xf>
    <xf numFmtId="0" fontId="53" fillId="0" borderId="0" xfId="0" applyFont="1" applyAlignment="1">
      <alignment horizontal="center" vertical="center" wrapText="1"/>
    </xf>
    <xf numFmtId="0" fontId="13" fillId="0" borderId="0" xfId="0" applyFont="1" applyAlignment="1">
      <alignment shrinkToFit="1"/>
    </xf>
    <xf numFmtId="44" fontId="131" fillId="0" borderId="0" xfId="1" applyFont="1" applyAlignment="1">
      <alignment horizontal="center" vertical="center" wrapText="1"/>
    </xf>
    <xf numFmtId="44" fontId="15" fillId="0" borderId="0" xfId="0" applyNumberFormat="1" applyFont="1" applyAlignment="1">
      <alignment horizontal="left" vertical="top"/>
    </xf>
    <xf numFmtId="0" fontId="104" fillId="0" borderId="0" xfId="0" applyFont="1" applyAlignment="1">
      <alignment horizontal="center" vertical="center" wrapText="1"/>
    </xf>
    <xf numFmtId="0" fontId="15" fillId="0" borderId="0" xfId="0" applyFont="1" applyAlignment="1">
      <alignment horizontal="left" vertical="top" wrapText="1"/>
    </xf>
    <xf numFmtId="0" fontId="104" fillId="0" borderId="0" xfId="0" applyFont="1" applyAlignment="1">
      <alignment vertical="top" wrapText="1"/>
    </xf>
    <xf numFmtId="0" fontId="131" fillId="0" borderId="0" xfId="0" applyFont="1" applyAlignment="1">
      <alignment horizontal="center" vertical="top" wrapText="1"/>
    </xf>
    <xf numFmtId="0" fontId="31" fillId="0" borderId="0" xfId="0" applyFont="1" applyAlignment="1" applyProtection="1">
      <alignment horizontal="center" vertical="center" shrinkToFit="1"/>
      <protection locked="0"/>
    </xf>
    <xf numFmtId="169" fontId="31" fillId="0" borderId="0" xfId="0" applyNumberFormat="1" applyFont="1" applyAlignment="1" applyProtection="1">
      <alignment horizontal="center" vertical="center" shrinkToFit="1"/>
      <protection locked="0" hidden="1"/>
    </xf>
    <xf numFmtId="0" fontId="31" fillId="0" borderId="0" xfId="0" applyFont="1" applyAlignment="1">
      <alignment horizontal="center" vertical="center"/>
    </xf>
    <xf numFmtId="0" fontId="95" fillId="0" borderId="18" xfId="0" applyFont="1" applyBorder="1" applyAlignment="1">
      <alignment horizontal="center" vertical="center" shrinkToFit="1"/>
    </xf>
    <xf numFmtId="44" fontId="15" fillId="0" borderId="0" xfId="0" applyNumberFormat="1" applyFont="1" applyAlignment="1">
      <alignment horizontal="right"/>
    </xf>
    <xf numFmtId="0" fontId="148" fillId="0" borderId="0" xfId="0" applyFont="1" applyAlignment="1">
      <alignment horizontal="right" vertical="top" shrinkToFit="1"/>
    </xf>
    <xf numFmtId="44" fontId="18" fillId="3" borderId="28" xfId="1" applyFont="1" applyFill="1" applyBorder="1"/>
    <xf numFmtId="49" fontId="15" fillId="7" borderId="142" xfId="0" applyNumberFormat="1" applyFont="1" applyFill="1" applyBorder="1" applyAlignment="1">
      <alignment horizontal="left"/>
    </xf>
    <xf numFmtId="49" fontId="149" fillId="7" borderId="74" xfId="0" applyNumberFormat="1" applyFont="1" applyFill="1" applyBorder="1" applyAlignment="1">
      <alignment horizontal="left"/>
    </xf>
    <xf numFmtId="44" fontId="149" fillId="7" borderId="74" xfId="0" applyNumberFormat="1" applyFont="1" applyFill="1" applyBorder="1" applyAlignment="1">
      <alignment horizontal="left"/>
    </xf>
    <xf numFmtId="49" fontId="149" fillId="0" borderId="74" xfId="0" applyNumberFormat="1" applyFont="1" applyBorder="1" applyAlignment="1">
      <alignment horizontal="left"/>
    </xf>
    <xf numFmtId="44" fontId="149" fillId="0" borderId="74" xfId="0" applyNumberFormat="1" applyFont="1" applyBorder="1" applyAlignment="1">
      <alignment horizontal="left"/>
    </xf>
    <xf numFmtId="44" fontId="149" fillId="0" borderId="76" xfId="0" applyNumberFormat="1" applyFont="1" applyBorder="1" applyAlignment="1">
      <alignment horizontal="left"/>
    </xf>
    <xf numFmtId="0" fontId="149" fillId="7" borderId="74" xfId="0" applyFont="1" applyFill="1" applyBorder="1" applyAlignment="1">
      <alignment horizontal="left"/>
    </xf>
    <xf numFmtId="0" fontId="149" fillId="0" borderId="74" xfId="0" applyFont="1" applyBorder="1" applyAlignment="1">
      <alignment horizontal="left"/>
    </xf>
    <xf numFmtId="0" fontId="2" fillId="0" borderId="0" xfId="0" applyFont="1" applyAlignment="1">
      <alignment horizontal="right" vertical="center"/>
    </xf>
    <xf numFmtId="0" fontId="2" fillId="0" borderId="93" xfId="0" applyFont="1" applyBorder="1" applyAlignment="1">
      <alignment horizontal="right"/>
    </xf>
    <xf numFmtId="44" fontId="15" fillId="7" borderId="141" xfId="0" applyNumberFormat="1" applyFont="1" applyFill="1" applyBorder="1" applyAlignment="1">
      <alignment horizontal="left"/>
    </xf>
    <xf numFmtId="0" fontId="2" fillId="0" borderId="0" xfId="0" applyFont="1" applyAlignment="1">
      <alignment horizontal="right" vertical="top"/>
    </xf>
    <xf numFmtId="0" fontId="30" fillId="0" borderId="0" xfId="0" applyFont="1" applyAlignment="1">
      <alignment vertical="center" wrapText="1"/>
    </xf>
    <xf numFmtId="0" fontId="3" fillId="0" borderId="0" xfId="1" applyNumberFormat="1" applyFont="1" applyFill="1" applyBorder="1" applyAlignment="1" applyProtection="1">
      <protection locked="0"/>
    </xf>
    <xf numFmtId="0" fontId="140" fillId="0" borderId="0" xfId="0" applyFont="1" applyAlignment="1" applyProtection="1">
      <alignment horizontal="center" vertical="center"/>
      <protection hidden="1"/>
    </xf>
    <xf numFmtId="44" fontId="25" fillId="0" borderId="0" xfId="0" applyNumberFormat="1" applyFont="1" applyProtection="1">
      <protection hidden="1"/>
    </xf>
    <xf numFmtId="44" fontId="25" fillId="0" borderId="0" xfId="0" applyNumberFormat="1" applyFont="1" applyAlignment="1" applyProtection="1">
      <alignment vertical="center" shrinkToFit="1"/>
      <protection hidden="1"/>
    </xf>
    <xf numFmtId="0" fontId="3" fillId="0" borderId="0" xfId="0" applyFont="1" applyAlignment="1">
      <alignment horizontal="left" vertical="center" indent="3"/>
    </xf>
    <xf numFmtId="0" fontId="148" fillId="0" borderId="0" xfId="0" applyFont="1" applyAlignment="1">
      <alignment horizontal="right" vertical="center"/>
    </xf>
    <xf numFmtId="44" fontId="3" fillId="0" borderId="0" xfId="1" applyFont="1" applyAlignment="1">
      <alignment shrinkToFit="1"/>
    </xf>
    <xf numFmtId="0" fontId="30" fillId="0" borderId="16" xfId="0" applyFont="1" applyBorder="1" applyAlignment="1">
      <alignment horizontal="center" vertical="center"/>
    </xf>
    <xf numFmtId="0" fontId="30" fillId="0" borderId="145" xfId="0" applyFont="1" applyBorder="1" applyAlignment="1">
      <alignment horizontal="center" vertical="center"/>
    </xf>
    <xf numFmtId="0" fontId="30" fillId="0" borderId="144" xfId="0" quotePrefix="1" applyFont="1" applyBorder="1" applyAlignment="1">
      <alignment horizontal="center" vertical="center"/>
    </xf>
    <xf numFmtId="0" fontId="30" fillId="0" borderId="146" xfId="0" quotePrefix="1" applyFont="1" applyBorder="1" applyAlignment="1">
      <alignment horizontal="center" vertical="center"/>
    </xf>
    <xf numFmtId="0" fontId="30" fillId="0" borderId="147" xfId="0" quotePrefix="1" applyFont="1" applyBorder="1" applyAlignment="1">
      <alignment horizontal="center" vertical="center"/>
    </xf>
    <xf numFmtId="0" fontId="13" fillId="0" borderId="149" xfId="0" applyFont="1" applyBorder="1" applyAlignment="1">
      <alignment horizontal="center"/>
    </xf>
    <xf numFmtId="0" fontId="13" fillId="0" borderId="150" xfId="0" applyFont="1" applyBorder="1" applyAlignment="1">
      <alignment horizontal="center"/>
    </xf>
    <xf numFmtId="0" fontId="30" fillId="0" borderId="0" xfId="0" applyFont="1" applyAlignment="1">
      <alignment horizontal="center" vertical="center" shrinkToFit="1"/>
    </xf>
    <xf numFmtId="0" fontId="30" fillId="0" borderId="0" xfId="0" applyFont="1" applyAlignment="1">
      <alignment horizontal="center" vertical="center"/>
    </xf>
    <xf numFmtId="0" fontId="30" fillId="0" borderId="0" xfId="0" quotePrefix="1" applyFont="1" applyAlignment="1">
      <alignment horizontal="center" vertical="center"/>
    </xf>
    <xf numFmtId="0" fontId="13" fillId="0" borderId="151" xfId="0" applyFont="1" applyBorder="1" applyAlignment="1">
      <alignment horizontal="center"/>
    </xf>
    <xf numFmtId="0" fontId="30" fillId="0" borderId="152" xfId="0" applyFont="1" applyBorder="1" applyAlignment="1">
      <alignment horizontal="center" vertical="center" shrinkToFit="1"/>
    </xf>
    <xf numFmtId="4" fontId="17" fillId="0" borderId="148" xfId="1" applyNumberFormat="1" applyFont="1" applyBorder="1" applyAlignment="1">
      <alignment shrinkToFit="1"/>
    </xf>
    <xf numFmtId="0" fontId="30" fillId="0" borderId="144" xfId="0" applyFont="1" applyBorder="1" applyAlignment="1">
      <alignment horizontal="center" vertical="center" shrinkToFit="1"/>
    </xf>
    <xf numFmtId="0" fontId="7" fillId="0" borderId="0" xfId="0" applyFont="1" applyAlignment="1">
      <alignment vertical="center" wrapText="1" shrinkToFit="1"/>
    </xf>
    <xf numFmtId="44" fontId="25" fillId="0" borderId="83" xfId="1" applyFont="1" applyBorder="1" applyAlignment="1" applyProtection="1">
      <alignment horizontal="center" vertical="center"/>
      <protection hidden="1"/>
    </xf>
    <xf numFmtId="0" fontId="83" fillId="0" borderId="0" xfId="0" applyFont="1" applyAlignment="1">
      <alignment horizontal="center" vertical="center" wrapText="1"/>
    </xf>
    <xf numFmtId="0" fontId="7" fillId="0" borderId="0" xfId="0" applyFont="1" applyAlignment="1">
      <alignment horizontal="left" vertical="top"/>
    </xf>
    <xf numFmtId="169" fontId="2" fillId="0" borderId="0" xfId="0" applyNumberFormat="1" applyFont="1" applyAlignment="1">
      <alignment shrinkToFit="1"/>
    </xf>
    <xf numFmtId="169" fontId="83" fillId="0" borderId="0" xfId="0" applyNumberFormat="1" applyFont="1" applyAlignment="1">
      <alignment shrinkToFit="1"/>
    </xf>
    <xf numFmtId="0" fontId="83" fillId="0" borderId="0" xfId="0" applyFont="1" applyAlignment="1">
      <alignment vertical="center" wrapText="1"/>
    </xf>
    <xf numFmtId="0" fontId="109" fillId="0" borderId="0" xfId="0" applyFont="1"/>
    <xf numFmtId="0" fontId="2" fillId="0" borderId="80" xfId="0" applyFont="1" applyBorder="1"/>
    <xf numFmtId="0" fontId="2" fillId="0" borderId="14" xfId="0" applyFont="1" applyBorder="1"/>
    <xf numFmtId="0" fontId="2" fillId="0" borderId="81" xfId="0" applyFont="1" applyBorder="1"/>
    <xf numFmtId="0" fontId="3" fillId="0" borderId="0" xfId="0" applyFont="1" applyAlignment="1">
      <alignment horizontal="right" vertical="center"/>
    </xf>
    <xf numFmtId="0" fontId="7" fillId="0" borderId="82" xfId="0" applyFont="1" applyBorder="1" applyAlignment="1">
      <alignment vertical="top"/>
    </xf>
    <xf numFmtId="0" fontId="2" fillId="0" borderId="83" xfId="0" applyFont="1" applyBorder="1" applyAlignment="1">
      <alignment shrinkToFit="1"/>
    </xf>
    <xf numFmtId="169" fontId="19" fillId="0" borderId="0" xfId="0" applyNumberFormat="1" applyFont="1"/>
    <xf numFmtId="0" fontId="25" fillId="0" borderId="0" xfId="0" applyFont="1" applyAlignment="1" applyProtection="1">
      <alignment horizontal="center"/>
      <protection hidden="1"/>
    </xf>
    <xf numFmtId="0" fontId="151" fillId="0" borderId="0" xfId="4" applyFont="1" applyAlignment="1" applyProtection="1">
      <alignment vertical="top"/>
    </xf>
    <xf numFmtId="0" fontId="31" fillId="0" borderId="0" xfId="0" applyFont="1" applyProtection="1">
      <protection hidden="1"/>
    </xf>
    <xf numFmtId="0" fontId="21" fillId="0" borderId="0" xfId="0" applyFont="1" applyAlignment="1" applyProtection="1">
      <alignment horizontal="left"/>
      <protection hidden="1"/>
    </xf>
    <xf numFmtId="0" fontId="35" fillId="0" borderId="0" xfId="0" applyFont="1" applyAlignment="1">
      <alignment horizontal="left"/>
    </xf>
    <xf numFmtId="0" fontId="83" fillId="0" borderId="0" xfId="0" applyFont="1" applyAlignment="1">
      <alignment horizontal="center" vertical="center"/>
    </xf>
    <xf numFmtId="49" fontId="83" fillId="0" borderId="0" xfId="0" applyNumberFormat="1" applyFont="1" applyAlignment="1">
      <alignment horizontal="center" vertical="center"/>
    </xf>
    <xf numFmtId="0" fontId="83" fillId="0" borderId="74" xfId="0" applyFont="1" applyBorder="1" applyAlignment="1">
      <alignment horizontal="center" vertical="center"/>
    </xf>
    <xf numFmtId="0" fontId="153" fillId="0" borderId="0" xfId="0" applyFont="1" applyAlignment="1">
      <alignment horizontal="center" vertical="center"/>
    </xf>
    <xf numFmtId="0" fontId="35" fillId="0" borderId="0" xfId="0" applyFont="1"/>
    <xf numFmtId="0" fontId="0" fillId="7" borderId="74" xfId="0" quotePrefix="1" applyFill="1" applyBorder="1" applyAlignment="1">
      <alignment horizontal="left"/>
    </xf>
    <xf numFmtId="0" fontId="15" fillId="7" borderId="74" xfId="0" quotePrefix="1" applyFont="1" applyFill="1" applyBorder="1" applyAlignment="1">
      <alignment horizontal="left"/>
    </xf>
    <xf numFmtId="0" fontId="15" fillId="0" borderId="74" xfId="0" quotePrefix="1" applyFont="1" applyBorder="1" applyAlignment="1">
      <alignment horizontal="left"/>
    </xf>
    <xf numFmtId="0" fontId="0" fillId="0" borderId="74" xfId="0" quotePrefix="1" applyBorder="1" applyAlignment="1">
      <alignment horizontal="left"/>
    </xf>
    <xf numFmtId="0" fontId="15" fillId="0" borderId="0" xfId="0" quotePrefix="1" applyFont="1" applyAlignment="1">
      <alignment horizontal="left"/>
    </xf>
    <xf numFmtId="14" fontId="44" fillId="8" borderId="0" xfId="0" applyNumberFormat="1" applyFont="1" applyFill="1" applyAlignment="1" applyProtection="1">
      <alignment shrinkToFit="1"/>
      <protection hidden="1"/>
    </xf>
    <xf numFmtId="9" fontId="3" fillId="0" borderId="0" xfId="2" applyFont="1" applyAlignment="1" applyProtection="1">
      <alignment horizontal="center"/>
      <protection locked="0"/>
    </xf>
    <xf numFmtId="0" fontId="133" fillId="0" borderId="0" xfId="0" applyFont="1" applyAlignment="1" applyProtection="1">
      <alignment vertical="center"/>
      <protection hidden="1"/>
    </xf>
    <xf numFmtId="0" fontId="25" fillId="0" borderId="0" xfId="0" applyFont="1" applyAlignment="1" applyProtection="1">
      <alignment horizontal="center" vertical="center"/>
      <protection locked="0"/>
    </xf>
    <xf numFmtId="0" fontId="21" fillId="0" borderId="0" xfId="0" applyFont="1" applyAlignment="1">
      <alignment horizontal="center"/>
    </xf>
    <xf numFmtId="0" fontId="25" fillId="0" borderId="0" xfId="0" applyFont="1" applyAlignment="1" applyProtection="1">
      <alignment horizontal="center" shrinkToFit="1"/>
      <protection locked="0"/>
    </xf>
    <xf numFmtId="0" fontId="6" fillId="0" borderId="0" xfId="0" applyFont="1" applyAlignment="1">
      <alignment horizontal="center" vertical="top"/>
    </xf>
    <xf numFmtId="0" fontId="75" fillId="0" borderId="0" xfId="0" applyFont="1" applyAlignment="1">
      <alignment horizontal="right" vertical="center"/>
    </xf>
    <xf numFmtId="0" fontId="22" fillId="0" borderId="0" xfId="0" applyFont="1" applyAlignment="1">
      <alignment horizontal="left"/>
    </xf>
    <xf numFmtId="44" fontId="3" fillId="0" borderId="0" xfId="1" applyFont="1" applyBorder="1" applyAlignment="1">
      <alignment horizontal="center"/>
    </xf>
    <xf numFmtId="0" fontId="60" fillId="0" borderId="0" xfId="0" applyFont="1" applyAlignment="1">
      <alignment wrapText="1"/>
    </xf>
    <xf numFmtId="0" fontId="44" fillId="0" borderId="70" xfId="0" applyFont="1" applyBorder="1" applyAlignment="1">
      <alignment vertical="center" wrapText="1"/>
    </xf>
    <xf numFmtId="0" fontId="25" fillId="0" borderId="0" xfId="0" applyFont="1" applyAlignment="1">
      <alignment shrinkToFit="1"/>
    </xf>
    <xf numFmtId="0" fontId="0" fillId="0" borderId="80" xfId="0" applyBorder="1"/>
    <xf numFmtId="0" fontId="0" fillId="0" borderId="14" xfId="0" applyBorder="1"/>
    <xf numFmtId="0" fontId="53" fillId="0" borderId="14" xfId="0" applyFont="1" applyBorder="1" applyAlignment="1">
      <alignment horizontal="center" vertical="center" wrapText="1"/>
    </xf>
    <xf numFmtId="0" fontId="53" fillId="0" borderId="81" xfId="0" applyFont="1" applyBorder="1" applyAlignment="1">
      <alignment horizontal="center" vertical="center" wrapText="1"/>
    </xf>
    <xf numFmtId="0" fontId="28" fillId="0" borderId="83" xfId="0" applyFont="1" applyBorder="1" applyAlignment="1">
      <alignment horizontal="center"/>
    </xf>
    <xf numFmtId="0" fontId="43" fillId="0" borderId="82" xfId="0" applyFont="1" applyBorder="1"/>
    <xf numFmtId="0" fontId="43" fillId="0" borderId="0" xfId="0" applyFont="1"/>
    <xf numFmtId="0" fontId="28" fillId="0" borderId="83" xfId="0" applyFont="1" applyBorder="1"/>
    <xf numFmtId="0" fontId="53" fillId="0" borderId="83" xfId="0" applyFont="1" applyBorder="1" applyAlignment="1">
      <alignment vertical="center" wrapText="1"/>
    </xf>
    <xf numFmtId="0" fontId="13" fillId="0" borderId="82" xfId="0" applyFont="1" applyBorder="1" applyAlignment="1">
      <alignment horizontal="left" vertical="center" indent="1"/>
    </xf>
    <xf numFmtId="0" fontId="13" fillId="0" borderId="0" xfId="0" applyFont="1" applyAlignment="1">
      <alignment horizontal="center" shrinkToFit="1"/>
    </xf>
    <xf numFmtId="0" fontId="13" fillId="0" borderId="82" xfId="0" applyFont="1" applyBorder="1" applyAlignment="1">
      <alignment horizontal="left" indent="1"/>
    </xf>
    <xf numFmtId="44" fontId="3" fillId="0" borderId="0" xfId="1" applyFont="1" applyAlignment="1"/>
    <xf numFmtId="0" fontId="85" fillId="0" borderId="0" xfId="0" applyFont="1" applyAlignment="1">
      <alignment horizontal="center" vertical="top" wrapText="1"/>
    </xf>
    <xf numFmtId="0" fontId="76" fillId="0" borderId="0" xfId="0" applyFont="1"/>
    <xf numFmtId="0" fontId="28" fillId="0" borderId="2" xfId="0" applyFont="1" applyBorder="1" applyAlignment="1">
      <alignment horizontal="left" vertical="center" indent="1"/>
    </xf>
    <xf numFmtId="49" fontId="12" fillId="0" borderId="0" xfId="0" applyNumberFormat="1" applyFont="1" applyAlignment="1">
      <alignment horizontal="left" wrapText="1"/>
    </xf>
    <xf numFmtId="0" fontId="28" fillId="0" borderId="0" xfId="0" applyFont="1" applyAlignment="1">
      <alignment horizontal="right"/>
    </xf>
    <xf numFmtId="49" fontId="18" fillId="0" borderId="0" xfId="0" applyNumberFormat="1" applyFont="1" applyAlignment="1">
      <alignment horizontal="right"/>
    </xf>
    <xf numFmtId="169" fontId="18" fillId="0" borderId="0" xfId="1" applyNumberFormat="1" applyFont="1" applyFill="1" applyBorder="1" applyAlignment="1" applyProtection="1">
      <alignment horizontal="center" vertical="center" shrinkToFit="1"/>
    </xf>
    <xf numFmtId="49" fontId="39" fillId="0" borderId="0" xfId="0" applyNumberFormat="1" applyFont="1" applyAlignment="1">
      <alignment vertical="center" wrapText="1"/>
    </xf>
    <xf numFmtId="0" fontId="83" fillId="0" borderId="0" xfId="0" applyFont="1" applyAlignment="1">
      <alignment horizontal="center" vertical="top"/>
    </xf>
    <xf numFmtId="49" fontId="83" fillId="0" borderId="0" xfId="0" applyNumberFormat="1" applyFont="1" applyAlignment="1">
      <alignment horizontal="right" vertical="center"/>
    </xf>
    <xf numFmtId="49" fontId="109" fillId="0" borderId="0" xfId="0" applyNumberFormat="1" applyFont="1" applyAlignment="1">
      <alignment horizontal="right"/>
    </xf>
    <xf numFmtId="1" fontId="95" fillId="0" borderId="0" xfId="0" applyNumberFormat="1" applyFont="1" applyAlignment="1">
      <alignment vertical="center"/>
    </xf>
    <xf numFmtId="0" fontId="83" fillId="0" borderId="77" xfId="0" applyFont="1" applyBorder="1" applyAlignment="1">
      <alignment horizontal="center" vertical="top"/>
    </xf>
    <xf numFmtId="1" fontId="77" fillId="0" borderId="78" xfId="0" applyNumberFormat="1" applyFont="1" applyBorder="1" applyAlignment="1">
      <alignment horizontal="center" vertical="center"/>
    </xf>
    <xf numFmtId="0" fontId="9" fillId="0" borderId="80" xfId="0" applyFont="1" applyBorder="1" applyAlignment="1">
      <alignment horizontal="center" vertical="top"/>
    </xf>
    <xf numFmtId="0" fontId="9" fillId="0" borderId="14" xfId="0" applyFont="1" applyBorder="1" applyAlignment="1">
      <alignment horizontal="center" vertical="top"/>
    </xf>
    <xf numFmtId="2" fontId="110" fillId="0" borderId="14" xfId="1" applyNumberFormat="1" applyFont="1" applyFill="1" applyBorder="1" applyAlignment="1" applyProtection="1">
      <alignment horizontal="center" shrinkToFit="1"/>
      <protection hidden="1"/>
    </xf>
    <xf numFmtId="0" fontId="24" fillId="0" borderId="14" xfId="0" applyFont="1" applyBorder="1" applyAlignment="1">
      <alignment vertical="center"/>
    </xf>
    <xf numFmtId="0" fontId="109" fillId="0" borderId="81" xfId="0" applyFont="1" applyBorder="1" applyProtection="1">
      <protection hidden="1"/>
    </xf>
    <xf numFmtId="44" fontId="60" fillId="0" borderId="83" xfId="1" applyFont="1" applyFill="1" applyBorder="1" applyAlignment="1" applyProtection="1">
      <alignment horizontal="center" vertical="center"/>
      <protection hidden="1"/>
    </xf>
    <xf numFmtId="0" fontId="5" fillId="0" borderId="0" xfId="0" applyFont="1" applyAlignment="1">
      <alignment vertical="center"/>
    </xf>
    <xf numFmtId="0" fontId="5" fillId="0" borderId="83" xfId="0" applyFont="1" applyBorder="1" applyAlignment="1">
      <alignment vertical="center"/>
    </xf>
    <xf numFmtId="0" fontId="108" fillId="0" borderId="0" xfId="0" applyFont="1" applyAlignment="1">
      <alignment horizontal="right"/>
    </xf>
    <xf numFmtId="0" fontId="108" fillId="0" borderId="0" xfId="0" applyFont="1" applyAlignment="1" applyProtection="1">
      <alignment horizontal="right"/>
      <protection locked="0" hidden="1"/>
    </xf>
    <xf numFmtId="0" fontId="108" fillId="0" borderId="0" xfId="0" applyFont="1" applyAlignment="1">
      <alignment horizontal="center" vertical="center"/>
    </xf>
    <xf numFmtId="0" fontId="0" fillId="0" borderId="159" xfId="0" applyBorder="1"/>
    <xf numFmtId="49" fontId="13" fillId="0" borderId="165" xfId="0" applyNumberFormat="1" applyFont="1" applyBorder="1" applyAlignment="1">
      <alignment horizontal="right"/>
    </xf>
    <xf numFmtId="44" fontId="36" fillId="0" borderId="69" xfId="1" applyFont="1" applyFill="1" applyBorder="1" applyAlignment="1" applyProtection="1">
      <alignment horizontal="center" vertical="center"/>
    </xf>
    <xf numFmtId="44" fontId="36" fillId="0" borderId="71" xfId="1" applyFont="1" applyFill="1" applyBorder="1" applyAlignment="1" applyProtection="1">
      <alignment horizontal="center" vertical="center"/>
    </xf>
    <xf numFmtId="0" fontId="126" fillId="0" borderId="0" xfId="0" applyFont="1" applyAlignment="1">
      <alignment horizontal="left" vertical="center"/>
    </xf>
    <xf numFmtId="0" fontId="23" fillId="0" borderId="0" xfId="0" applyFont="1" applyAlignment="1">
      <alignment horizontal="center" vertical="top"/>
    </xf>
    <xf numFmtId="0" fontId="21" fillId="0" borderId="0" xfId="0" applyFont="1" applyAlignment="1">
      <alignment horizontal="center" vertical="center"/>
    </xf>
    <xf numFmtId="0" fontId="0" fillId="0" borderId="0" xfId="0" applyAlignment="1" applyProtection="1">
      <alignment horizontal="left"/>
      <protection hidden="1"/>
    </xf>
    <xf numFmtId="0" fontId="0" fillId="0" borderId="163" xfId="0" applyBorder="1" applyProtection="1">
      <protection hidden="1"/>
    </xf>
    <xf numFmtId="0" fontId="0" fillId="0" borderId="140" xfId="0" applyBorder="1" applyProtection="1">
      <protection hidden="1"/>
    </xf>
    <xf numFmtId="0" fontId="0" fillId="0" borderId="162" xfId="0" applyBorder="1" applyProtection="1">
      <protection hidden="1"/>
    </xf>
    <xf numFmtId="0" fontId="0" fillId="0" borderId="163" xfId="0" applyBorder="1" applyAlignment="1" applyProtection="1">
      <alignment horizontal="left"/>
      <protection hidden="1"/>
    </xf>
    <xf numFmtId="0" fontId="0" fillId="0" borderId="160" xfId="0" applyBorder="1" applyProtection="1">
      <protection hidden="1"/>
    </xf>
    <xf numFmtId="0" fontId="0" fillId="0" borderId="159" xfId="0" applyBorder="1" applyProtection="1">
      <protection hidden="1"/>
    </xf>
    <xf numFmtId="2" fontId="95" fillId="0" borderId="0" xfId="0" applyNumberFormat="1" applyFont="1" applyAlignment="1" applyProtection="1">
      <alignment horizontal="center"/>
      <protection hidden="1"/>
    </xf>
    <xf numFmtId="2" fontId="95" fillId="0" borderId="161" xfId="0" applyNumberFormat="1" applyFont="1" applyBorder="1" applyProtection="1">
      <protection hidden="1"/>
    </xf>
    <xf numFmtId="0" fontId="110" fillId="0" borderId="0" xfId="0" applyFont="1" applyAlignment="1" applyProtection="1">
      <alignment horizontal="right"/>
      <protection hidden="1"/>
    </xf>
    <xf numFmtId="2" fontId="95" fillId="0" borderId="161" xfId="1" applyNumberFormat="1" applyFont="1" applyBorder="1" applyAlignment="1" applyProtection="1">
      <protection hidden="1"/>
    </xf>
    <xf numFmtId="44" fontId="95" fillId="0" borderId="0" xfId="1" applyFont="1" applyBorder="1" applyAlignment="1" applyProtection="1">
      <alignment horizontal="center"/>
      <protection hidden="1"/>
    </xf>
    <xf numFmtId="0" fontId="108" fillId="0" borderId="0" xfId="0" applyFont="1" applyAlignment="1" applyProtection="1">
      <alignment horizontal="center"/>
      <protection hidden="1"/>
    </xf>
    <xf numFmtId="170" fontId="108" fillId="0" borderId="159" xfId="0" applyNumberFormat="1" applyFont="1" applyBorder="1" applyAlignment="1" applyProtection="1">
      <alignment horizontal="center" vertical="center"/>
      <protection hidden="1"/>
    </xf>
    <xf numFmtId="179" fontId="108" fillId="0" borderId="159" xfId="0" applyNumberFormat="1" applyFont="1" applyBorder="1" applyAlignment="1" applyProtection="1">
      <alignment horizontal="center" vertical="center"/>
      <protection hidden="1"/>
    </xf>
    <xf numFmtId="10" fontId="112" fillId="0" borderId="160" xfId="2" applyNumberFormat="1" applyFont="1" applyBorder="1" applyAlignment="1" applyProtection="1">
      <protection hidden="1"/>
    </xf>
    <xf numFmtId="0" fontId="112" fillId="0" borderId="0" xfId="0" applyFont="1" applyAlignment="1" applyProtection="1">
      <alignment horizontal="right"/>
      <protection hidden="1"/>
    </xf>
    <xf numFmtId="0" fontId="108" fillId="0" borderId="159" xfId="0" applyFont="1" applyBorder="1" applyAlignment="1" applyProtection="1">
      <alignment horizontal="center"/>
      <protection hidden="1"/>
    </xf>
    <xf numFmtId="10" fontId="108" fillId="0" borderId="160" xfId="2" applyNumberFormat="1" applyFont="1" applyBorder="1" applyAlignment="1" applyProtection="1">
      <protection hidden="1"/>
    </xf>
    <xf numFmtId="10" fontId="108" fillId="0" borderId="0" xfId="2" applyNumberFormat="1" applyFont="1" applyBorder="1" applyAlignment="1" applyProtection="1">
      <alignment horizontal="center"/>
      <protection hidden="1"/>
    </xf>
    <xf numFmtId="10" fontId="108" fillId="0" borderId="0" xfId="2" applyNumberFormat="1" applyFont="1" applyBorder="1" applyAlignment="1" applyProtection="1">
      <protection hidden="1"/>
    </xf>
    <xf numFmtId="0" fontId="0" fillId="0" borderId="160" xfId="0" applyBorder="1" applyAlignment="1" applyProtection="1">
      <alignment horizontal="left"/>
      <protection hidden="1"/>
    </xf>
    <xf numFmtId="0" fontId="0" fillId="0" borderId="0" xfId="0" applyAlignment="1" applyProtection="1">
      <alignment horizontal="center"/>
      <protection hidden="1"/>
    </xf>
    <xf numFmtId="14" fontId="0" fillId="0" borderId="0" xfId="0" applyNumberFormat="1" applyProtection="1">
      <protection hidden="1"/>
    </xf>
    <xf numFmtId="0" fontId="95" fillId="0" borderId="0" xfId="0" applyFont="1" applyAlignment="1" applyProtection="1">
      <alignment horizontal="center" vertical="center"/>
      <protection hidden="1"/>
    </xf>
    <xf numFmtId="0" fontId="95" fillId="0" borderId="0" xfId="0" applyFont="1" applyProtection="1">
      <protection hidden="1"/>
    </xf>
    <xf numFmtId="0" fontId="108" fillId="0" borderId="160" xfId="0" applyFont="1" applyBorder="1" applyProtection="1">
      <protection hidden="1"/>
    </xf>
    <xf numFmtId="0" fontId="108" fillId="0" borderId="159" xfId="0" applyFont="1" applyBorder="1" applyProtection="1">
      <protection hidden="1"/>
    </xf>
    <xf numFmtId="0" fontId="95" fillId="0" borderId="0" xfId="0" applyFont="1" applyAlignment="1" applyProtection="1">
      <alignment horizontal="right"/>
      <protection hidden="1"/>
    </xf>
    <xf numFmtId="0" fontId="108" fillId="0" borderId="0" xfId="0" applyFont="1" applyAlignment="1" applyProtection="1">
      <alignment horizontal="left"/>
      <protection hidden="1"/>
    </xf>
    <xf numFmtId="0" fontId="108" fillId="0" borderId="160" xfId="0" applyFont="1" applyBorder="1" applyAlignment="1" applyProtection="1">
      <alignment horizontal="left"/>
      <protection hidden="1"/>
    </xf>
    <xf numFmtId="2" fontId="108" fillId="0" borderId="159" xfId="0" applyNumberFormat="1" applyFont="1" applyBorder="1" applyAlignment="1" applyProtection="1">
      <alignment horizontal="center"/>
      <protection hidden="1"/>
    </xf>
    <xf numFmtId="170" fontId="108" fillId="0" borderId="159" xfId="0" applyNumberFormat="1" applyFont="1" applyBorder="1" applyAlignment="1" applyProtection="1">
      <alignment horizontal="center"/>
      <protection hidden="1"/>
    </xf>
    <xf numFmtId="181" fontId="0" fillId="0" borderId="159" xfId="0" applyNumberFormat="1" applyBorder="1" applyProtection="1">
      <protection hidden="1"/>
    </xf>
    <xf numFmtId="0" fontId="0" fillId="0" borderId="158" xfId="0" applyBorder="1" applyProtection="1">
      <protection hidden="1"/>
    </xf>
    <xf numFmtId="14" fontId="128" fillId="0" borderId="157" xfId="0" applyNumberFormat="1" applyFont="1" applyBorder="1" applyProtection="1">
      <protection hidden="1"/>
    </xf>
    <xf numFmtId="14" fontId="128" fillId="0" borderId="156" xfId="0" applyNumberFormat="1" applyFont="1" applyBorder="1" applyProtection="1">
      <protection hidden="1"/>
    </xf>
    <xf numFmtId="0" fontId="95" fillId="0" borderId="158" xfId="0" applyFont="1" applyBorder="1" applyAlignment="1" applyProtection="1">
      <alignment horizontal="left"/>
      <protection hidden="1"/>
    </xf>
    <xf numFmtId="0" fontId="108" fillId="0" borderId="157" xfId="0" applyFont="1" applyBorder="1" applyProtection="1">
      <protection hidden="1"/>
    </xf>
    <xf numFmtId="0" fontId="0" fillId="0" borderId="157" xfId="0" applyBorder="1" applyProtection="1">
      <protection hidden="1"/>
    </xf>
    <xf numFmtId="0" fontId="0" fillId="0" borderId="156" xfId="0" applyBorder="1" applyProtection="1">
      <protection hidden="1"/>
    </xf>
    <xf numFmtId="0" fontId="15" fillId="0" borderId="154" xfId="0" applyFont="1" applyBorder="1" applyProtection="1">
      <protection hidden="1"/>
    </xf>
    <xf numFmtId="14" fontId="15" fillId="0" borderId="154" xfId="0" applyNumberFormat="1" applyFont="1" applyBorder="1" applyProtection="1">
      <protection hidden="1"/>
    </xf>
    <xf numFmtId="0" fontId="15" fillId="0" borderId="0" xfId="0" applyFont="1" applyProtection="1">
      <protection hidden="1"/>
    </xf>
    <xf numFmtId="0" fontId="15" fillId="0" borderId="0" xfId="0" applyFont="1" applyAlignment="1" applyProtection="1">
      <alignment horizontal="left"/>
      <protection hidden="1"/>
    </xf>
    <xf numFmtId="0" fontId="15" fillId="0" borderId="159" xfId="0" applyFont="1" applyBorder="1" applyAlignment="1" applyProtection="1">
      <alignment horizontal="left"/>
      <protection hidden="1"/>
    </xf>
    <xf numFmtId="0" fontId="15" fillId="0" borderId="164" xfId="0" applyFont="1" applyBorder="1" applyAlignment="1" applyProtection="1">
      <alignment horizontal="center"/>
      <protection hidden="1"/>
    </xf>
    <xf numFmtId="14" fontId="15" fillId="0" borderId="164" xfId="0" applyNumberFormat="1" applyFont="1" applyBorder="1" applyProtection="1">
      <protection hidden="1"/>
    </xf>
    <xf numFmtId="0" fontId="15" fillId="0" borderId="154" xfId="0" applyFont="1" applyBorder="1" applyAlignment="1" applyProtection="1">
      <alignment horizontal="center"/>
      <protection hidden="1"/>
    </xf>
    <xf numFmtId="0" fontId="17" fillId="0" borderId="0" xfId="0" applyFont="1" applyAlignment="1" applyProtection="1">
      <alignment horizontal="left"/>
      <protection hidden="1"/>
    </xf>
    <xf numFmtId="2" fontId="11" fillId="0" borderId="2" xfId="0" applyNumberFormat="1" applyFont="1" applyBorder="1" applyAlignment="1">
      <alignment horizontal="center" vertical="center"/>
    </xf>
    <xf numFmtId="0" fontId="0" fillId="0" borderId="0" xfId="0" applyAlignment="1" applyProtection="1">
      <alignment vertical="top"/>
      <protection hidden="1"/>
    </xf>
    <xf numFmtId="0" fontId="0" fillId="0" borderId="0" xfId="0" applyAlignment="1" applyProtection="1">
      <alignment horizontal="left" vertical="top"/>
      <protection hidden="1"/>
    </xf>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49" fontId="21" fillId="0" borderId="0" xfId="0" applyNumberFormat="1" applyFont="1" applyAlignment="1">
      <alignment horizontal="center" vertical="center"/>
    </xf>
    <xf numFmtId="0" fontId="154" fillId="0" borderId="0" xfId="0" applyFont="1" applyAlignment="1" applyProtection="1">
      <alignment horizontal="left" vertical="center"/>
      <protection hidden="1"/>
    </xf>
    <xf numFmtId="0" fontId="154" fillId="0" borderId="0" xfId="0" applyFont="1" applyAlignment="1" applyProtection="1">
      <alignment horizontal="center" vertical="center"/>
      <protection hidden="1"/>
    </xf>
    <xf numFmtId="0" fontId="154" fillId="0" borderId="0" xfId="0" applyFont="1" applyProtection="1">
      <protection hidden="1"/>
    </xf>
    <xf numFmtId="0" fontId="108" fillId="0" borderId="0" xfId="0" applyFont="1" applyAlignment="1" applyProtection="1">
      <alignment horizontal="center" vertical="center"/>
      <protection hidden="1"/>
    </xf>
    <xf numFmtId="49" fontId="19" fillId="0" borderId="0" xfId="0" applyNumberFormat="1" applyFont="1" applyAlignment="1">
      <alignment horizontal="center" vertical="center"/>
    </xf>
    <xf numFmtId="0" fontId="19" fillId="0" borderId="15" xfId="0" applyFont="1" applyBorder="1" applyProtection="1">
      <protection hidden="1"/>
    </xf>
    <xf numFmtId="2" fontId="60" fillId="0" borderId="15" xfId="1" applyNumberFormat="1" applyFont="1" applyFill="1" applyBorder="1" applyAlignment="1" applyProtection="1">
      <alignment horizontal="center" shrinkToFit="1"/>
      <protection hidden="1"/>
    </xf>
    <xf numFmtId="1" fontId="31" fillId="0" borderId="0" xfId="0" applyNumberFormat="1" applyFont="1" applyAlignment="1">
      <alignment horizontal="center" vertical="center"/>
    </xf>
    <xf numFmtId="169" fontId="18" fillId="0" borderId="0" xfId="1" applyNumberFormat="1" applyFont="1" applyFill="1" applyBorder="1" applyAlignment="1" applyProtection="1">
      <alignment vertical="center" shrinkToFit="1"/>
    </xf>
    <xf numFmtId="0" fontId="31" fillId="0" borderId="0" xfId="0" applyFont="1" applyAlignment="1">
      <alignment vertical="center"/>
    </xf>
    <xf numFmtId="0" fontId="108" fillId="6" borderId="0" xfId="0" applyFont="1" applyFill="1" applyProtection="1">
      <protection locked="0"/>
    </xf>
    <xf numFmtId="0" fontId="128" fillId="6" borderId="0" xfId="0" applyFont="1" applyFill="1" applyProtection="1">
      <protection locked="0" hidden="1"/>
    </xf>
    <xf numFmtId="0" fontId="128" fillId="6" borderId="0" xfId="0" applyFont="1" applyFill="1" applyProtection="1">
      <protection locked="0"/>
    </xf>
    <xf numFmtId="0" fontId="108" fillId="6" borderId="0" xfId="0" applyFont="1" applyFill="1" applyProtection="1">
      <protection locked="0" hidden="1"/>
    </xf>
    <xf numFmtId="0" fontId="109" fillId="6" borderId="0" xfId="0" applyFont="1" applyFill="1" applyProtection="1">
      <protection locked="0" hidden="1"/>
    </xf>
    <xf numFmtId="0" fontId="95" fillId="6" borderId="0" xfId="0" applyFont="1" applyFill="1" applyAlignment="1" applyProtection="1">
      <alignment horizontal="right" vertical="center"/>
      <protection locked="0" hidden="1"/>
    </xf>
    <xf numFmtId="0" fontId="108" fillId="6" borderId="0" xfId="0" applyFont="1" applyFill="1" applyAlignment="1" applyProtection="1">
      <alignment horizontal="right"/>
      <protection locked="0" hidden="1"/>
    </xf>
    <xf numFmtId="0" fontId="95" fillId="6" borderId="0" xfId="0" applyFont="1" applyFill="1" applyProtection="1">
      <protection locked="0" hidden="1"/>
    </xf>
    <xf numFmtId="0" fontId="83" fillId="0" borderId="0" xfId="0" applyFont="1" applyAlignment="1">
      <alignment horizontal="center" vertical="top" wrapText="1"/>
    </xf>
    <xf numFmtId="0" fontId="88" fillId="0" borderId="0" xfId="0" applyFont="1" applyAlignment="1">
      <alignment horizontal="right" vertical="top"/>
    </xf>
    <xf numFmtId="0" fontId="99" fillId="0" borderId="0" xfId="0" applyFont="1" applyAlignment="1">
      <alignment horizontal="left" vertical="top" wrapText="1" indent="1"/>
    </xf>
    <xf numFmtId="0" fontId="12" fillId="0" borderId="0" xfId="0" applyFont="1" applyAlignment="1">
      <alignment horizontal="right" vertical="center"/>
    </xf>
    <xf numFmtId="0" fontId="64" fillId="0" borderId="0" xfId="0" applyFont="1" applyAlignment="1">
      <alignment horizontal="right"/>
    </xf>
    <xf numFmtId="0" fontId="84" fillId="0" borderId="0" xfId="0" applyFont="1" applyAlignment="1">
      <alignment horizontal="right"/>
    </xf>
    <xf numFmtId="0" fontId="160" fillId="0" borderId="0" xfId="0" applyFont="1"/>
    <xf numFmtId="0" fontId="9" fillId="0" borderId="0" xfId="0" applyFont="1" applyAlignment="1">
      <alignment horizontal="left" vertical="center"/>
    </xf>
    <xf numFmtId="44" fontId="11" fillId="0" borderId="0" xfId="1" applyFont="1" applyBorder="1" applyAlignment="1">
      <alignment horizontal="center" vertical="center" wrapText="1"/>
    </xf>
    <xf numFmtId="0" fontId="161" fillId="0" borderId="0" xfId="0" applyFont="1" applyAlignment="1">
      <alignment horizontal="center" vertical="center" wrapText="1"/>
    </xf>
    <xf numFmtId="0" fontId="7" fillId="0" borderId="0" xfId="0" applyFont="1" applyAlignment="1">
      <alignment vertical="center" shrinkToFit="1"/>
    </xf>
    <xf numFmtId="0" fontId="7" fillId="0" borderId="0" xfId="0" applyFont="1" applyAlignment="1">
      <alignment horizontal="right" vertical="center" shrinkToFit="1"/>
    </xf>
    <xf numFmtId="0" fontId="34" fillId="8" borderId="0" xfId="0" applyFont="1" applyFill="1" applyProtection="1">
      <protection locked="0"/>
    </xf>
    <xf numFmtId="44" fontId="34" fillId="0" borderId="0" xfId="1" applyFont="1"/>
    <xf numFmtId="0" fontId="108" fillId="6" borderId="0" xfId="0" applyFont="1" applyFill="1"/>
    <xf numFmtId="0" fontId="112" fillId="6" borderId="0" xfId="0" applyFont="1" applyFill="1" applyAlignment="1" applyProtection="1">
      <alignment horizontal="left" vertical="top" wrapText="1"/>
      <protection locked="0" hidden="1"/>
    </xf>
    <xf numFmtId="0" fontId="112" fillId="6" borderId="0" xfId="0" applyFont="1" applyFill="1" applyAlignment="1" applyProtection="1">
      <alignment vertical="center"/>
      <protection locked="0" hidden="1"/>
    </xf>
    <xf numFmtId="0" fontId="108" fillId="6" borderId="0" xfId="0" applyFont="1" applyFill="1" applyAlignment="1" applyProtection="1">
      <alignment horizontal="right" vertical="top" wrapText="1"/>
      <protection locked="0" hidden="1"/>
    </xf>
    <xf numFmtId="0" fontId="108" fillId="6" borderId="0" xfId="0" applyFont="1" applyFill="1" applyAlignment="1" applyProtection="1">
      <alignment wrapText="1"/>
      <protection locked="0" hidden="1"/>
    </xf>
    <xf numFmtId="0" fontId="0" fillId="0" borderId="0" xfId="0" applyAlignment="1" applyProtection="1">
      <alignment horizontal="right"/>
      <protection hidden="1"/>
    </xf>
    <xf numFmtId="0" fontId="2" fillId="0" borderId="0" xfId="0" applyFont="1" applyProtection="1">
      <protection hidden="1"/>
    </xf>
    <xf numFmtId="0" fontId="21" fillId="0" borderId="0" xfId="0" applyFont="1" applyAlignment="1" applyProtection="1">
      <alignment horizontal="right" wrapText="1"/>
      <protection hidden="1"/>
    </xf>
    <xf numFmtId="44" fontId="84" fillId="0" borderId="0" xfId="1" applyFont="1" applyBorder="1" applyAlignment="1">
      <alignment vertical="center"/>
    </xf>
    <xf numFmtId="0" fontId="45" fillId="0" borderId="0" xfId="0" applyFont="1" applyAlignment="1">
      <alignment horizontal="right"/>
    </xf>
    <xf numFmtId="0" fontId="45" fillId="0" borderId="0" xfId="0" applyFont="1" applyAlignment="1" applyProtection="1">
      <alignment horizontal="right"/>
      <protection hidden="1"/>
    </xf>
    <xf numFmtId="0" fontId="17" fillId="0" borderId="0" xfId="0" applyFont="1" applyAlignment="1">
      <alignment horizontal="left" vertical="top"/>
    </xf>
    <xf numFmtId="0" fontId="108" fillId="6" borderId="0" xfId="0" applyFont="1" applyFill="1" applyAlignment="1" applyProtection="1">
      <alignment horizontal="center" vertical="top" wrapText="1"/>
      <protection locked="0" hidden="1"/>
    </xf>
    <xf numFmtId="0" fontId="108" fillId="6" borderId="0" xfId="0" applyFont="1" applyFill="1" applyAlignment="1" applyProtection="1">
      <alignment vertical="center"/>
      <protection locked="0"/>
    </xf>
    <xf numFmtId="0" fontId="128" fillId="0" borderId="0" xfId="0" applyFont="1" applyProtection="1">
      <protection hidden="1"/>
    </xf>
    <xf numFmtId="0" fontId="128" fillId="0" borderId="0" xfId="0" applyFont="1" applyProtection="1">
      <protection locked="0" hidden="1"/>
    </xf>
    <xf numFmtId="0" fontId="95" fillId="0" borderId="0" xfId="0" applyFont="1" applyAlignment="1" applyProtection="1">
      <alignment horizontal="center" vertical="center"/>
      <protection locked="0"/>
    </xf>
    <xf numFmtId="0" fontId="83" fillId="6" borderId="0" xfId="1" applyNumberFormat="1" applyFont="1" applyFill="1" applyAlignment="1" applyProtection="1">
      <alignment horizontal="center"/>
      <protection locked="0" hidden="1"/>
    </xf>
    <xf numFmtId="0" fontId="52" fillId="0" borderId="0" xfId="0" applyFont="1" applyAlignment="1" applyProtection="1">
      <alignment horizontal="center"/>
      <protection hidden="1"/>
    </xf>
    <xf numFmtId="0" fontId="108" fillId="0" borderId="0" xfId="0" applyFont="1" applyAlignment="1" applyProtection="1">
      <alignment wrapText="1"/>
      <protection hidden="1"/>
    </xf>
    <xf numFmtId="0" fontId="44" fillId="0" borderId="0" xfId="0" applyFont="1" applyAlignment="1">
      <alignment vertical="center"/>
    </xf>
    <xf numFmtId="0" fontId="21" fillId="0" borderId="0" xfId="0" applyFont="1" applyAlignment="1">
      <alignment shrinkToFit="1"/>
    </xf>
    <xf numFmtId="0" fontId="28" fillId="2" borderId="1" xfId="0" applyFont="1" applyFill="1" applyBorder="1" applyAlignment="1" applyProtection="1">
      <alignment horizontal="center" vertical="center"/>
      <protection locked="0"/>
    </xf>
    <xf numFmtId="0" fontId="162" fillId="6" borderId="0" xfId="0" applyFont="1" applyFill="1" applyProtection="1">
      <protection hidden="1"/>
    </xf>
    <xf numFmtId="0" fontId="108" fillId="6" borderId="0" xfId="0" applyFont="1" applyFill="1" applyAlignment="1">
      <alignment horizontal="center"/>
    </xf>
    <xf numFmtId="0" fontId="31" fillId="0" borderId="0" xfId="0" applyFont="1" applyAlignment="1" applyProtection="1">
      <alignment vertical="center" wrapText="1" shrinkToFit="1"/>
      <protection hidden="1"/>
    </xf>
    <xf numFmtId="44" fontId="21" fillId="0" borderId="0" xfId="1" applyFont="1" applyFill="1" applyAlignment="1" applyProtection="1">
      <alignment shrinkToFit="1"/>
      <protection hidden="1"/>
    </xf>
    <xf numFmtId="0" fontId="21" fillId="6" borderId="0" xfId="0" applyFont="1" applyFill="1" applyProtection="1">
      <protection locked="0" hidden="1"/>
    </xf>
    <xf numFmtId="0" fontId="0" fillId="0" borderId="79" xfId="0" applyBorder="1"/>
    <xf numFmtId="0" fontId="0" fillId="0" borderId="53" xfId="0" applyBorder="1"/>
    <xf numFmtId="0" fontId="21" fillId="0" borderId="0" xfId="0" applyFont="1" applyAlignment="1" applyProtection="1">
      <alignment horizontal="center" vertical="center"/>
      <protection hidden="1"/>
    </xf>
    <xf numFmtId="0" fontId="19" fillId="0" borderId="0" xfId="0" applyFont="1" applyAlignment="1">
      <alignment horizontal="right" vertical="center"/>
    </xf>
    <xf numFmtId="0" fontId="13" fillId="0" borderId="70" xfId="0" applyFont="1" applyBorder="1"/>
    <xf numFmtId="0" fontId="12" fillId="0" borderId="0" xfId="0" applyFont="1" applyAlignment="1">
      <alignment vertical="center"/>
    </xf>
    <xf numFmtId="44" fontId="83" fillId="0" borderId="0" xfId="1" applyFont="1" applyFill="1" applyBorder="1" applyAlignment="1">
      <alignment vertical="center" wrapText="1"/>
    </xf>
    <xf numFmtId="10" fontId="15" fillId="0" borderId="0" xfId="2" applyNumberFormat="1" applyFont="1" applyBorder="1" applyAlignment="1">
      <alignment horizontal="center" vertical="center" wrapText="1"/>
    </xf>
    <xf numFmtId="44" fontId="19" fillId="0" borderId="0" xfId="0" applyNumberFormat="1" applyFont="1" applyProtection="1">
      <protection locked="0"/>
    </xf>
    <xf numFmtId="0" fontId="22" fillId="0" borderId="0" xfId="0" applyFont="1" applyAlignment="1">
      <alignment horizontal="left" vertical="top" wrapText="1"/>
    </xf>
    <xf numFmtId="0" fontId="146" fillId="0" borderId="0" xfId="0" applyFont="1" applyAlignment="1">
      <alignment vertical="top" wrapText="1"/>
    </xf>
    <xf numFmtId="0" fontId="144" fillId="0" borderId="0" xfId="0" applyFont="1" applyAlignment="1">
      <alignment vertical="top" wrapText="1"/>
    </xf>
    <xf numFmtId="44" fontId="13" fillId="0" borderId="0" xfId="0" applyNumberFormat="1" applyFont="1" applyAlignment="1">
      <alignment shrinkToFit="1"/>
    </xf>
    <xf numFmtId="0" fontId="66" fillId="0" borderId="0" xfId="0" applyFont="1" applyAlignment="1">
      <alignment vertical="top" wrapText="1"/>
    </xf>
    <xf numFmtId="0" fontId="10" fillId="0" borderId="0" xfId="0" applyFont="1" applyAlignment="1">
      <alignment vertical="center" wrapText="1"/>
    </xf>
    <xf numFmtId="44" fontId="3" fillId="0" borderId="0" xfId="1" applyFont="1" applyBorder="1" applyAlignment="1">
      <alignment horizontal="center" vertical="center"/>
    </xf>
    <xf numFmtId="0" fontId="66" fillId="0" borderId="0" xfId="0" applyFont="1" applyAlignment="1">
      <alignment vertical="center" wrapText="1"/>
    </xf>
    <xf numFmtId="0" fontId="3" fillId="0" borderId="0" xfId="1" applyNumberFormat="1" applyFont="1" applyAlignment="1"/>
    <xf numFmtId="0" fontId="11" fillId="0" borderId="0" xfId="0" applyFont="1" applyAlignment="1">
      <alignment horizontal="right" vertical="center"/>
    </xf>
    <xf numFmtId="0" fontId="11" fillId="0" borderId="0" xfId="0" applyFont="1" applyAlignment="1">
      <alignment horizontal="left" vertical="center" wrapText="1"/>
    </xf>
    <xf numFmtId="0" fontId="28" fillId="0" borderId="0" xfId="0" applyFont="1" applyAlignment="1">
      <alignment vertical="center" wrapText="1"/>
    </xf>
    <xf numFmtId="0" fontId="36" fillId="0" borderId="0" xfId="0" applyFont="1" applyAlignment="1">
      <alignment vertical="center" wrapText="1"/>
    </xf>
    <xf numFmtId="0" fontId="112" fillId="0" borderId="0" xfId="0" applyFont="1" applyAlignment="1">
      <alignment horizontal="center" vertical="center" wrapText="1"/>
    </xf>
    <xf numFmtId="0" fontId="7" fillId="0" borderId="0" xfId="0" applyFont="1" applyAlignment="1">
      <alignment horizontal="center" vertical="center" wrapText="1"/>
    </xf>
    <xf numFmtId="0" fontId="71" fillId="0" borderId="0" xfId="0" applyFont="1" applyAlignment="1">
      <alignment horizontal="left" vertical="center" indent="2"/>
    </xf>
    <xf numFmtId="49" fontId="17" fillId="0" borderId="0" xfId="0" applyNumberFormat="1" applyFont="1" applyAlignment="1">
      <alignment horizontal="left" vertical="center" indent="6"/>
    </xf>
    <xf numFmtId="49" fontId="2" fillId="0" borderId="0" xfId="0" applyNumberFormat="1" applyFont="1" applyAlignment="1">
      <alignment horizontal="left" indent="1"/>
    </xf>
    <xf numFmtId="49" fontId="17" fillId="0" borderId="0" xfId="0" applyNumberFormat="1" applyFont="1" applyAlignment="1">
      <alignment horizontal="left" vertical="center" indent="1"/>
    </xf>
    <xf numFmtId="0" fontId="17" fillId="0" borderId="0" xfId="0" applyFont="1" applyAlignment="1">
      <alignment horizontal="left" vertical="center" indent="6"/>
    </xf>
    <xf numFmtId="0" fontId="17" fillId="0" borderId="0" xfId="0" applyFont="1" applyAlignment="1">
      <alignment horizontal="left" vertical="center" indent="1"/>
    </xf>
    <xf numFmtId="44" fontId="3" fillId="0" borderId="2" xfId="1" applyFont="1" applyFill="1" applyBorder="1" applyAlignment="1" applyProtection="1">
      <alignment horizontal="center"/>
    </xf>
    <xf numFmtId="44" fontId="3" fillId="0" borderId="1" xfId="1" applyFont="1" applyFill="1" applyBorder="1" applyAlignment="1" applyProtection="1">
      <alignment horizontal="center"/>
    </xf>
    <xf numFmtId="0" fontId="71" fillId="0" borderId="0" xfId="0" applyFont="1" applyAlignment="1">
      <alignment vertical="top"/>
    </xf>
    <xf numFmtId="0" fontId="0" fillId="0" borderId="76" xfId="0" quotePrefix="1" applyBorder="1" applyAlignment="1">
      <alignment horizontal="left"/>
    </xf>
    <xf numFmtId="44" fontId="52" fillId="0" borderId="0" xfId="0" applyNumberFormat="1" applyFont="1" applyProtection="1">
      <protection hidden="1"/>
    </xf>
    <xf numFmtId="49" fontId="22" fillId="0" borderId="0" xfId="0" applyNumberFormat="1" applyFont="1" applyAlignment="1">
      <alignment vertical="center"/>
    </xf>
    <xf numFmtId="0" fontId="57" fillId="0" borderId="0" xfId="0" applyFont="1" applyAlignment="1">
      <alignment horizontal="left" vertical="top" wrapText="1" indent="6"/>
    </xf>
    <xf numFmtId="0" fontId="3" fillId="0" borderId="0" xfId="1" applyNumberFormat="1" applyFont="1" applyFill="1" applyAlignment="1" applyProtection="1"/>
    <xf numFmtId="0" fontId="110" fillId="0" borderId="0" xfId="0" applyFont="1" applyAlignment="1">
      <alignment vertical="center" wrapText="1"/>
    </xf>
    <xf numFmtId="0" fontId="15" fillId="0" borderId="74" xfId="1" applyNumberFormat="1" applyFont="1" applyFill="1" applyBorder="1" applyAlignment="1">
      <alignment horizontal="left"/>
    </xf>
    <xf numFmtId="0" fontId="57" fillId="0" borderId="0" xfId="0" applyFont="1" applyAlignment="1">
      <alignment horizontal="left" vertical="center" wrapText="1" indent="7"/>
    </xf>
    <xf numFmtId="44" fontId="17" fillId="0" borderId="0" xfId="1" applyFont="1" applyFill="1" applyAlignment="1">
      <alignment horizontal="right"/>
    </xf>
    <xf numFmtId="0" fontId="128" fillId="6" borderId="0" xfId="0" applyFont="1" applyFill="1" applyAlignment="1">
      <alignment horizontal="right"/>
    </xf>
    <xf numFmtId="14" fontId="15" fillId="0" borderId="157" xfId="0" applyNumberFormat="1" applyFont="1" applyBorder="1" applyProtection="1">
      <protection hidden="1"/>
    </xf>
    <xf numFmtId="169" fontId="65" fillId="0" borderId="0" xfId="1" applyNumberFormat="1" applyFont="1"/>
    <xf numFmtId="44" fontId="7" fillId="0" borderId="0" xfId="1" applyFont="1" applyAlignment="1">
      <alignment vertical="center"/>
    </xf>
    <xf numFmtId="0" fontId="0" fillId="2" borderId="0" xfId="0" applyFill="1" applyAlignment="1" applyProtection="1">
      <alignment vertical="top" wrapText="1"/>
      <protection locked="0"/>
    </xf>
    <xf numFmtId="0" fontId="99" fillId="0" borderId="0" xfId="0" applyFont="1" applyAlignment="1">
      <alignment vertical="top" wrapText="1"/>
    </xf>
    <xf numFmtId="0" fontId="128" fillId="6" borderId="0" xfId="0" applyFont="1" applyFill="1"/>
    <xf numFmtId="0" fontId="10" fillId="0" borderId="0" xfId="0" applyFont="1" applyAlignment="1" applyProtection="1">
      <alignment vertical="center"/>
      <protection hidden="1"/>
    </xf>
    <xf numFmtId="0" fontId="9" fillId="0" borderId="0" xfId="0" applyFont="1" applyAlignment="1">
      <alignment horizontal="center" vertical="top" wrapText="1"/>
    </xf>
    <xf numFmtId="0" fontId="39" fillId="0" borderId="0" xfId="0" applyFont="1" applyAlignment="1">
      <alignment horizontal="right" vertical="top" wrapText="1"/>
    </xf>
    <xf numFmtId="0" fontId="53" fillId="0" borderId="0" xfId="0" applyFont="1" applyAlignment="1">
      <alignment horizontal="center" vertical="top" wrapText="1"/>
    </xf>
    <xf numFmtId="0" fontId="85" fillId="8" borderId="0" xfId="0" applyFont="1" applyFill="1" applyAlignment="1">
      <alignment vertical="top" wrapText="1"/>
    </xf>
    <xf numFmtId="0" fontId="85" fillId="0" borderId="0" xfId="0" applyFont="1" applyAlignment="1">
      <alignment vertical="top" wrapText="1"/>
    </xf>
    <xf numFmtId="0" fontId="34" fillId="0" borderId="0" xfId="0" applyFont="1" applyAlignment="1">
      <alignment horizontal="center"/>
    </xf>
    <xf numFmtId="0" fontId="15" fillId="0" borderId="0" xfId="0" applyFont="1" applyAlignment="1">
      <alignment horizontal="center" shrinkToFit="1"/>
    </xf>
    <xf numFmtId="0" fontId="44" fillId="0" borderId="0" xfId="0" applyFont="1" applyAlignment="1">
      <alignment horizontal="right" vertical="top"/>
    </xf>
    <xf numFmtId="0" fontId="108" fillId="6" borderId="23" xfId="0" applyFont="1" applyFill="1" applyBorder="1"/>
    <xf numFmtId="0" fontId="148" fillId="6" borderId="23" xfId="0" applyFont="1" applyFill="1" applyBorder="1" applyAlignment="1">
      <alignment horizontal="center" vertical="center" wrapText="1"/>
    </xf>
    <xf numFmtId="0" fontId="148" fillId="6" borderId="23" xfId="0" applyFont="1" applyFill="1" applyBorder="1" applyAlignment="1">
      <alignment horizontal="center" vertical="center"/>
    </xf>
    <xf numFmtId="0" fontId="148" fillId="0" borderId="0" xfId="0" applyFont="1" applyAlignment="1">
      <alignment horizontal="center" vertical="center" wrapText="1"/>
    </xf>
    <xf numFmtId="0" fontId="108" fillId="6" borderId="23" xfId="0" applyFont="1" applyFill="1" applyBorder="1" applyAlignment="1">
      <alignment horizontal="center" vertical="center"/>
    </xf>
    <xf numFmtId="0" fontId="108" fillId="14" borderId="0" xfId="0" applyFont="1" applyFill="1" applyProtection="1">
      <protection locked="0" hidden="1"/>
    </xf>
    <xf numFmtId="0" fontId="0" fillId="14" borderId="0" xfId="0" applyFill="1"/>
    <xf numFmtId="0" fontId="0" fillId="9" borderId="0" xfId="0" applyFill="1" applyAlignment="1" applyProtection="1">
      <alignment horizontal="left" vertical="top" wrapText="1"/>
      <protection locked="0" hidden="1"/>
    </xf>
    <xf numFmtId="0" fontId="0" fillId="14" borderId="0" xfId="0" applyFill="1" applyProtection="1">
      <protection locked="0" hidden="1"/>
    </xf>
    <xf numFmtId="0" fontId="108" fillId="9" borderId="0" xfId="0" applyFont="1" applyFill="1" applyAlignment="1" applyProtection="1">
      <alignment horizontal="left" vertical="top" wrapText="1"/>
      <protection hidden="1"/>
    </xf>
    <xf numFmtId="0" fontId="108" fillId="14" borderId="0" xfId="0" applyFont="1" applyFill="1" applyProtection="1">
      <protection hidden="1"/>
    </xf>
    <xf numFmtId="0" fontId="108" fillId="9" borderId="0" xfId="0" applyFont="1" applyFill="1" applyProtection="1">
      <protection locked="0" hidden="1"/>
    </xf>
    <xf numFmtId="0" fontId="0" fillId="14" borderId="0" xfId="0" applyFill="1" applyAlignment="1" applyProtection="1">
      <alignment horizontal="left" vertical="top" wrapText="1"/>
      <protection locked="0" hidden="1"/>
    </xf>
    <xf numFmtId="0" fontId="0" fillId="9" borderId="0" xfId="0" applyFill="1" applyProtection="1">
      <protection locked="0" hidden="1"/>
    </xf>
    <xf numFmtId="0" fontId="108" fillId="9" borderId="0" xfId="0" applyFont="1" applyFill="1" applyProtection="1">
      <protection hidden="1"/>
    </xf>
    <xf numFmtId="0" fontId="21" fillId="14" borderId="0" xfId="0" applyFont="1" applyFill="1" applyAlignment="1" applyProtection="1">
      <alignment horizontal="left" vertical="top" wrapText="1"/>
      <protection locked="0" hidden="1"/>
    </xf>
    <xf numFmtId="0" fontId="21" fillId="9" borderId="0" xfId="0" applyFont="1" applyFill="1" applyProtection="1">
      <protection locked="0" hidden="1"/>
    </xf>
    <xf numFmtId="0" fontId="0" fillId="14" borderId="0" xfId="0" applyFill="1" applyAlignment="1" applyProtection="1">
      <alignment horizontal="left"/>
      <protection locked="0" hidden="1"/>
    </xf>
    <xf numFmtId="0" fontId="108" fillId="6" borderId="23" xfId="0" applyFont="1" applyFill="1" applyBorder="1" applyAlignment="1">
      <alignment horizontal="center" vertical="center" wrapText="1"/>
    </xf>
    <xf numFmtId="0" fontId="28" fillId="0" borderId="0" xfId="1" applyNumberFormat="1" applyFont="1" applyAlignment="1">
      <alignment horizontal="center" vertical="center"/>
    </xf>
    <xf numFmtId="0" fontId="151" fillId="0" borderId="0" xfId="4" applyFont="1" applyAlignment="1" applyProtection="1">
      <alignment horizontal="center" vertical="top"/>
      <protection locked="0"/>
    </xf>
    <xf numFmtId="0" fontId="151" fillId="0" borderId="0" xfId="4" applyFont="1" applyAlignment="1" applyProtection="1">
      <alignment horizontal="left" vertical="top"/>
      <protection locked="0"/>
    </xf>
    <xf numFmtId="0" fontId="13" fillId="0" borderId="0" xfId="1" applyNumberFormat="1" applyFont="1" applyAlignment="1">
      <alignment horizontal="center" vertical="center"/>
    </xf>
    <xf numFmtId="0" fontId="16" fillId="0" borderId="0" xfId="0" applyFont="1"/>
    <xf numFmtId="0" fontId="3" fillId="0" borderId="0" xfId="1" applyNumberFormat="1" applyFont="1" applyFill="1" applyBorder="1" applyAlignment="1" applyProtection="1">
      <alignment horizontal="left"/>
    </xf>
    <xf numFmtId="0" fontId="25" fillId="0" borderId="0" xfId="0" applyFont="1" applyAlignment="1">
      <alignment wrapText="1"/>
    </xf>
    <xf numFmtId="0" fontId="0" fillId="0" borderId="0" xfId="0" applyAlignment="1">
      <alignment horizontal="left" indent="3"/>
    </xf>
    <xf numFmtId="0" fontId="95" fillId="0" borderId="0" xfId="0" applyFont="1"/>
    <xf numFmtId="49" fontId="3" fillId="0" borderId="0" xfId="0" applyNumberFormat="1" applyFont="1" applyAlignment="1">
      <alignment horizontal="left" wrapText="1" indent="4"/>
    </xf>
    <xf numFmtId="49" fontId="3" fillId="0" borderId="0" xfId="0" applyNumberFormat="1" applyFont="1" applyAlignment="1">
      <alignment wrapText="1"/>
    </xf>
    <xf numFmtId="49" fontId="0" fillId="0" borderId="0" xfId="0" applyNumberFormat="1" applyAlignment="1">
      <alignment horizontal="left" vertical="top" wrapText="1" indent="1"/>
    </xf>
    <xf numFmtId="0" fontId="0" fillId="0" borderId="0" xfId="0" applyAlignment="1">
      <alignment horizontal="left" vertical="center" indent="1"/>
    </xf>
    <xf numFmtId="14" fontId="3" fillId="0" borderId="0" xfId="1" applyNumberFormat="1" applyFont="1" applyFill="1" applyBorder="1" applyAlignment="1" applyProtection="1">
      <alignment horizontal="center"/>
    </xf>
    <xf numFmtId="14" fontId="3" fillId="0" borderId="0" xfId="0" applyNumberFormat="1" applyFont="1" applyAlignment="1">
      <alignment horizontal="center"/>
    </xf>
    <xf numFmtId="0" fontId="17" fillId="0" borderId="0" xfId="0" applyFont="1" applyAlignment="1">
      <alignment wrapText="1"/>
    </xf>
    <xf numFmtId="44" fontId="10" fillId="0" borderId="0" xfId="0" applyNumberFormat="1" applyFont="1" applyAlignment="1">
      <alignment vertical="top"/>
    </xf>
    <xf numFmtId="44" fontId="10" fillId="0" borderId="0" xfId="0" applyNumberFormat="1" applyFont="1" applyAlignment="1">
      <alignment horizontal="center" vertical="top"/>
    </xf>
    <xf numFmtId="4" fontId="17" fillId="0" borderId="143" xfId="1" applyNumberFormat="1" applyFont="1" applyFill="1" applyBorder="1" applyAlignment="1">
      <alignment shrinkToFit="1"/>
    </xf>
    <xf numFmtId="4" fontId="17" fillId="0" borderId="148" xfId="1" applyNumberFormat="1" applyFont="1" applyFill="1" applyBorder="1" applyAlignment="1">
      <alignment shrinkToFit="1"/>
    </xf>
    <xf numFmtId="0" fontId="108" fillId="6" borderId="0" xfId="0" applyFont="1" applyFill="1" applyProtection="1">
      <protection hidden="1"/>
    </xf>
    <xf numFmtId="0" fontId="65" fillId="0" borderId="0" xfId="0" applyFont="1" applyAlignment="1">
      <alignment horizontal="right" vertical="top"/>
    </xf>
    <xf numFmtId="0" fontId="0" fillId="6" borderId="0" xfId="0" applyFill="1" applyAlignment="1" applyProtection="1">
      <alignment horizontal="left" vertical="top" wrapText="1"/>
      <protection locked="0"/>
    </xf>
    <xf numFmtId="0" fontId="0" fillId="6" borderId="0" xfId="0" applyFill="1" applyAlignment="1" applyProtection="1">
      <alignment horizontal="left"/>
      <protection locked="0"/>
    </xf>
    <xf numFmtId="0" fontId="108" fillId="6" borderId="0" xfId="0" applyFont="1" applyFill="1" applyAlignment="1" applyProtection="1">
      <alignment horizontal="left" vertical="top" wrapText="1"/>
      <protection locked="0"/>
    </xf>
    <xf numFmtId="0" fontId="45" fillId="0" borderId="0" xfId="0" applyFont="1" applyAlignment="1" applyProtection="1">
      <alignment horizontal="right"/>
      <protection locked="0" hidden="1"/>
    </xf>
    <xf numFmtId="0" fontId="132" fillId="0" borderId="0" xfId="0" applyFont="1" applyAlignment="1">
      <alignment vertical="top" wrapText="1"/>
    </xf>
    <xf numFmtId="44" fontId="3" fillId="0" borderId="0" xfId="1" applyFont="1" applyFill="1" applyBorder="1" applyAlignment="1" applyProtection="1"/>
    <xf numFmtId="44" fontId="84" fillId="0" borderId="14" xfId="0" applyNumberFormat="1" applyFont="1" applyBorder="1" applyAlignment="1">
      <alignment vertical="center"/>
    </xf>
    <xf numFmtId="0" fontId="11" fillId="0" borderId="0" xfId="0" applyFont="1" applyAlignment="1">
      <alignment vertical="center"/>
    </xf>
    <xf numFmtId="44" fontId="13" fillId="0" borderId="15" xfId="1" applyFont="1" applyBorder="1" applyAlignment="1">
      <alignment vertical="center"/>
    </xf>
    <xf numFmtId="0" fontId="166" fillId="0" borderId="0" xfId="0" applyFont="1" applyAlignment="1">
      <alignment horizontal="left" vertical="top" wrapText="1" indent="1"/>
    </xf>
    <xf numFmtId="0" fontId="72" fillId="0" borderId="0" xfId="0" applyFont="1" applyAlignment="1">
      <alignment wrapText="1"/>
    </xf>
    <xf numFmtId="0" fontId="57" fillId="0" borderId="0" xfId="0" applyFont="1" applyAlignment="1">
      <alignment horizontal="left" vertical="top" wrapText="1"/>
    </xf>
    <xf numFmtId="0" fontId="22" fillId="0" borderId="0" xfId="0" applyFont="1" applyAlignment="1">
      <alignment horizontal="left" vertical="top" wrapText="1"/>
    </xf>
    <xf numFmtId="0" fontId="145" fillId="0" borderId="0" xfId="0" applyFont="1" applyAlignment="1">
      <alignment horizontal="left" vertical="top" wrapText="1"/>
    </xf>
    <xf numFmtId="0" fontId="13" fillId="0" borderId="0" xfId="0" applyFont="1" applyAlignment="1">
      <alignment horizontal="left" vertical="top" wrapText="1"/>
    </xf>
    <xf numFmtId="0" fontId="4" fillId="0" borderId="0" xfId="0" applyFont="1" applyAlignment="1">
      <alignment horizontal="center" vertical="center"/>
    </xf>
    <xf numFmtId="0" fontId="6" fillId="0" borderId="0" xfId="0" applyFont="1" applyAlignment="1">
      <alignment horizontal="center" vertical="center"/>
    </xf>
    <xf numFmtId="0" fontId="22" fillId="6" borderId="0" xfId="0" applyFont="1" applyFill="1" applyAlignment="1">
      <alignment horizontal="center" vertical="center"/>
    </xf>
    <xf numFmtId="0" fontId="107" fillId="0" borderId="0" xfId="0" applyFont="1" applyAlignment="1">
      <alignment horizontal="center" vertical="center"/>
    </xf>
    <xf numFmtId="0" fontId="71" fillId="0" borderId="0" xfId="0" applyFont="1" applyAlignment="1">
      <alignment horizontal="center" vertical="center"/>
    </xf>
    <xf numFmtId="0" fontId="22" fillId="0" borderId="0" xfId="0" applyFont="1" applyAlignment="1">
      <alignment horizontal="left" vertical="top" wrapText="1" indent="3"/>
    </xf>
    <xf numFmtId="0" fontId="105" fillId="0" borderId="0" xfId="0" applyFont="1" applyAlignment="1">
      <alignment horizontal="center" vertical="center" wrapText="1"/>
    </xf>
    <xf numFmtId="0" fontId="57" fillId="0" borderId="0" xfId="0" applyFont="1" applyAlignment="1">
      <alignment horizontal="left" vertical="center" wrapText="1" indent="7"/>
    </xf>
    <xf numFmtId="0" fontId="57" fillId="0" borderId="0" xfId="0" applyFont="1" applyAlignment="1">
      <alignment horizontal="left" vertical="center" wrapText="1" indent="6"/>
    </xf>
    <xf numFmtId="0" fontId="3" fillId="0" borderId="0" xfId="0" applyFont="1" applyAlignment="1">
      <alignment horizontal="left" indent="7"/>
    </xf>
    <xf numFmtId="0" fontId="3" fillId="0" borderId="0" xfId="0" applyFont="1" applyAlignment="1">
      <alignment horizontal="left" vertical="center" indent="6"/>
    </xf>
    <xf numFmtId="0" fontId="3" fillId="0" borderId="0" xfId="0" applyFont="1" applyAlignment="1">
      <alignment horizontal="left" vertical="center" indent="7"/>
    </xf>
    <xf numFmtId="0" fontId="3" fillId="0" borderId="0" xfId="0" applyFont="1" applyAlignment="1">
      <alignment horizontal="left" indent="6"/>
    </xf>
    <xf numFmtId="0" fontId="13" fillId="0" borderId="0" xfId="0" applyFont="1" applyAlignment="1">
      <alignment horizontal="left" vertical="center" indent="3"/>
    </xf>
    <xf numFmtId="0" fontId="2" fillId="0" borderId="0" xfId="0" applyFont="1" applyAlignment="1">
      <alignment horizontal="left" vertical="center" wrapText="1" indent="3"/>
    </xf>
    <xf numFmtId="0" fontId="57" fillId="0" borderId="0" xfId="0" applyFont="1" applyAlignment="1">
      <alignment vertical="top" wrapText="1"/>
    </xf>
    <xf numFmtId="0" fontId="167" fillId="6" borderId="0" xfId="0" applyFont="1" applyFill="1" applyAlignment="1">
      <alignment horizontal="center" vertical="top" wrapText="1"/>
    </xf>
    <xf numFmtId="0" fontId="3" fillId="0" borderId="0" xfId="0" applyFont="1" applyAlignment="1">
      <alignment horizontal="left" vertical="center" wrapText="1" indent="6"/>
    </xf>
    <xf numFmtId="49" fontId="0" fillId="0" borderId="0" xfId="0" applyNumberFormat="1" applyAlignment="1">
      <alignment horizontal="left" vertical="top" wrapText="1"/>
    </xf>
    <xf numFmtId="49" fontId="22" fillId="0" borderId="0" xfId="0" applyNumberFormat="1" applyFont="1" applyAlignment="1">
      <alignment horizontal="left" vertical="top" wrapText="1"/>
    </xf>
    <xf numFmtId="49" fontId="22" fillId="0" borderId="0" xfId="0" applyNumberFormat="1" applyFont="1" applyAlignment="1">
      <alignment horizontal="left" vertical="top"/>
    </xf>
    <xf numFmtId="0" fontId="3" fillId="0" borderId="0" xfId="0" applyFont="1" applyAlignment="1">
      <alignment horizontal="center" vertical="center"/>
    </xf>
    <xf numFmtId="0" fontId="30" fillId="0" borderId="0" xfId="0" applyFont="1" applyAlignment="1">
      <alignment horizontal="left" vertical="top" wrapText="1"/>
    </xf>
    <xf numFmtId="0" fontId="166" fillId="0" borderId="0" xfId="0" applyFont="1" applyAlignment="1">
      <alignment horizontal="center" vertical="center" wrapText="1"/>
    </xf>
    <xf numFmtId="0" fontId="153" fillId="0" borderId="0" xfId="0" applyFont="1"/>
    <xf numFmtId="49" fontId="2" fillId="2" borderId="27" xfId="0" applyNumberFormat="1" applyFont="1" applyFill="1" applyBorder="1" applyAlignment="1" applyProtection="1">
      <alignment horizontal="left"/>
      <protection locked="0"/>
    </xf>
    <xf numFmtId="49" fontId="2" fillId="2" borderId="23" xfId="0" applyNumberFormat="1" applyFont="1" applyFill="1" applyBorder="1" applyAlignment="1" applyProtection="1">
      <alignment horizontal="left"/>
      <protection locked="0"/>
    </xf>
    <xf numFmtId="0" fontId="0" fillId="0" borderId="0" xfId="0" applyAlignment="1">
      <alignment horizontal="right" vertical="top"/>
    </xf>
    <xf numFmtId="0" fontId="45" fillId="0" borderId="0" xfId="0" applyFont="1" applyAlignment="1">
      <alignment horizontal="right"/>
    </xf>
    <xf numFmtId="0" fontId="0" fillId="2" borderId="37" xfId="0" applyFill="1" applyBorder="1" applyAlignment="1" applyProtection="1">
      <alignment horizontal="left"/>
      <protection locked="0"/>
    </xf>
    <xf numFmtId="0" fontId="0" fillId="2" borderId="23" xfId="0" applyFill="1" applyBorder="1" applyAlignment="1" applyProtection="1">
      <alignment horizontal="left"/>
      <protection locked="0"/>
    </xf>
    <xf numFmtId="0" fontId="0" fillId="2" borderId="28" xfId="0" applyFill="1" applyBorder="1" applyAlignment="1" applyProtection="1">
      <alignment horizontal="left"/>
      <protection locked="0"/>
    </xf>
    <xf numFmtId="49" fontId="2" fillId="2" borderId="29" xfId="0" applyNumberFormat="1" applyFont="1" applyFill="1" applyBorder="1" applyAlignment="1" applyProtection="1">
      <alignment horizontal="left"/>
      <protection locked="0"/>
    </xf>
    <xf numFmtId="49" fontId="2" fillId="2" borderId="30" xfId="0" applyNumberFormat="1" applyFont="1" applyFill="1" applyBorder="1" applyAlignment="1" applyProtection="1">
      <alignment horizontal="left"/>
      <protection locked="0"/>
    </xf>
    <xf numFmtId="0" fontId="25" fillId="0" borderId="32" xfId="0" applyFont="1" applyBorder="1" applyAlignment="1">
      <alignment horizontal="left" vertical="center" shrinkToFit="1"/>
    </xf>
    <xf numFmtId="0" fontId="25" fillId="0" borderId="33" xfId="0" applyFont="1" applyBorder="1" applyAlignment="1">
      <alignment horizontal="left" vertical="center" shrinkToFit="1"/>
    </xf>
    <xf numFmtId="0" fontId="44" fillId="0" borderId="19" xfId="0" applyFont="1" applyBorder="1" applyAlignment="1">
      <alignment vertical="center"/>
    </xf>
    <xf numFmtId="0" fontId="44" fillId="0" borderId="0" xfId="0" applyFont="1" applyAlignment="1">
      <alignment vertical="center"/>
    </xf>
    <xf numFmtId="0" fontId="0" fillId="0" borderId="0" xfId="0" applyAlignment="1">
      <alignment horizontal="center"/>
    </xf>
    <xf numFmtId="49" fontId="3" fillId="0" borderId="0" xfId="0" applyNumberFormat="1" applyFont="1" applyAlignment="1">
      <alignment horizontal="center"/>
    </xf>
    <xf numFmtId="0" fontId="3" fillId="0" borderId="70" xfId="0" applyFont="1" applyBorder="1" applyAlignment="1">
      <alignment horizontal="center"/>
    </xf>
    <xf numFmtId="0" fontId="3" fillId="0" borderId="69" xfId="0" applyFont="1" applyBorder="1" applyAlignment="1">
      <alignment horizontal="center"/>
    </xf>
    <xf numFmtId="0" fontId="3" fillId="0" borderId="71" xfId="0" applyFont="1" applyBorder="1" applyAlignment="1">
      <alignment horizontal="center"/>
    </xf>
    <xf numFmtId="49" fontId="3" fillId="0" borderId="21" xfId="0" applyNumberFormat="1" applyFont="1" applyBorder="1" applyAlignment="1">
      <alignment horizontal="center"/>
    </xf>
    <xf numFmtId="0" fontId="3" fillId="0" borderId="56" xfId="0" applyFont="1" applyBorder="1" applyAlignment="1">
      <alignment horizontal="center"/>
    </xf>
    <xf numFmtId="0" fontId="3" fillId="0" borderId="45" xfId="0" applyFont="1" applyBorder="1" applyAlignment="1">
      <alignment horizontal="center"/>
    </xf>
    <xf numFmtId="0" fontId="3" fillId="0" borderId="57" xfId="0" applyFont="1" applyBorder="1" applyAlignment="1">
      <alignment horizontal="center"/>
    </xf>
    <xf numFmtId="49" fontId="13" fillId="2" borderId="27" xfId="0" applyNumberFormat="1" applyFont="1" applyFill="1" applyBorder="1" applyAlignment="1" applyProtection="1">
      <alignment horizontal="left"/>
      <protection locked="0"/>
    </xf>
    <xf numFmtId="49" fontId="13" fillId="2" borderId="23" xfId="0" applyNumberFormat="1" applyFont="1" applyFill="1" applyBorder="1" applyAlignment="1" applyProtection="1">
      <alignment horizontal="left"/>
      <protection locked="0"/>
    </xf>
    <xf numFmtId="49" fontId="13" fillId="2" borderId="28" xfId="0" applyNumberFormat="1" applyFont="1" applyFill="1" applyBorder="1" applyAlignment="1" applyProtection="1">
      <alignment horizontal="left"/>
      <protection locked="0"/>
    </xf>
    <xf numFmtId="49" fontId="13" fillId="2" borderId="72" xfId="0" applyNumberFormat="1" applyFont="1" applyFill="1" applyBorder="1" applyAlignment="1" applyProtection="1">
      <alignment horizontal="left"/>
      <protection locked="0"/>
    </xf>
    <xf numFmtId="49" fontId="13" fillId="2" borderId="50" xfId="0" applyNumberFormat="1" applyFont="1" applyFill="1" applyBorder="1" applyAlignment="1" applyProtection="1">
      <alignment horizontal="left"/>
      <protection locked="0"/>
    </xf>
    <xf numFmtId="49" fontId="13" fillId="2" borderId="63" xfId="0" applyNumberFormat="1" applyFont="1" applyFill="1" applyBorder="1" applyAlignment="1" applyProtection="1">
      <alignment horizontal="left"/>
      <protection locked="0"/>
    </xf>
    <xf numFmtId="0" fontId="13" fillId="0" borderId="18" xfId="0" applyFont="1" applyBorder="1" applyAlignment="1">
      <alignment horizontal="center" vertical="center"/>
    </xf>
    <xf numFmtId="0" fontId="13" fillId="0" borderId="65" xfId="0" applyFont="1" applyBorder="1" applyAlignment="1">
      <alignment horizontal="center" vertical="center"/>
    </xf>
    <xf numFmtId="0" fontId="0" fillId="2" borderId="38" xfId="0" applyFill="1" applyBorder="1" applyAlignment="1" applyProtection="1">
      <alignment horizontal="left"/>
      <protection locked="0"/>
    </xf>
    <xf numFmtId="0" fontId="0" fillId="2" borderId="30" xfId="0" applyFill="1" applyBorder="1" applyAlignment="1" applyProtection="1">
      <alignment horizontal="left"/>
      <protection locked="0"/>
    </xf>
    <xf numFmtId="0" fontId="0" fillId="2" borderId="31" xfId="0" applyFill="1" applyBorder="1" applyAlignment="1" applyProtection="1">
      <alignment horizontal="left"/>
      <protection locked="0"/>
    </xf>
    <xf numFmtId="49" fontId="2" fillId="2" borderId="24" xfId="0" applyNumberFormat="1" applyFont="1" applyFill="1" applyBorder="1" applyAlignment="1" applyProtection="1">
      <alignment horizontal="left"/>
      <protection locked="0"/>
    </xf>
    <xf numFmtId="49" fontId="2" fillId="2" borderId="25" xfId="0" applyNumberFormat="1" applyFont="1" applyFill="1" applyBorder="1" applyAlignment="1" applyProtection="1">
      <alignment horizontal="left"/>
      <protection locked="0"/>
    </xf>
    <xf numFmtId="49" fontId="0" fillId="0" borderId="51" xfId="0" applyNumberFormat="1" applyBorder="1"/>
    <xf numFmtId="49" fontId="0" fillId="0" borderId="37" xfId="0" applyNumberFormat="1" applyBorder="1"/>
    <xf numFmtId="49" fontId="2" fillId="2" borderId="51" xfId="0" applyNumberFormat="1" applyFont="1" applyFill="1" applyBorder="1" applyAlignment="1" applyProtection="1">
      <alignment horizontal="left"/>
      <protection locked="0"/>
    </xf>
    <xf numFmtId="49" fontId="2" fillId="2" borderId="3" xfId="0" applyNumberFormat="1" applyFont="1" applyFill="1" applyBorder="1" applyAlignment="1" applyProtection="1">
      <alignment horizontal="left"/>
      <protection locked="0"/>
    </xf>
    <xf numFmtId="49" fontId="2" fillId="2" borderId="37" xfId="0" applyNumberFormat="1" applyFont="1" applyFill="1" applyBorder="1" applyAlignment="1" applyProtection="1">
      <alignment horizontal="left"/>
      <protection locked="0"/>
    </xf>
    <xf numFmtId="0" fontId="0" fillId="2" borderId="3" xfId="0" applyFill="1" applyBorder="1" applyAlignment="1" applyProtection="1">
      <alignment horizontal="left"/>
      <protection locked="0"/>
    </xf>
    <xf numFmtId="0" fontId="0" fillId="2" borderId="49" xfId="0" applyFill="1" applyBorder="1" applyAlignment="1" applyProtection="1">
      <alignment horizontal="left"/>
      <protection locked="0"/>
    </xf>
    <xf numFmtId="0" fontId="0" fillId="2" borderId="43" xfId="0" applyFill="1" applyBorder="1" applyAlignment="1" applyProtection="1">
      <alignment horizontal="left"/>
      <protection locked="0"/>
    </xf>
    <xf numFmtId="0" fontId="0" fillId="2" borderId="40" xfId="0" applyFill="1" applyBorder="1" applyAlignment="1" applyProtection="1">
      <alignment horizontal="left"/>
      <protection locked="0"/>
    </xf>
    <xf numFmtId="49" fontId="0" fillId="0" borderId="39" xfId="0" applyNumberFormat="1" applyBorder="1"/>
    <xf numFmtId="49" fontId="0" fillId="0" borderId="36" xfId="0" applyNumberFormat="1" applyBorder="1"/>
    <xf numFmtId="49" fontId="3" fillId="0" borderId="32" xfId="0" applyNumberFormat="1" applyFont="1" applyBorder="1" applyAlignment="1">
      <alignment horizontal="left" vertical="center"/>
    </xf>
    <xf numFmtId="49" fontId="3" fillId="0" borderId="33" xfId="0" applyNumberFormat="1" applyFont="1" applyBorder="1" applyAlignment="1">
      <alignment horizontal="left" vertical="center"/>
    </xf>
    <xf numFmtId="49" fontId="3" fillId="0" borderId="34" xfId="0" applyNumberFormat="1" applyFont="1" applyBorder="1" applyAlignment="1">
      <alignment horizontal="left" vertical="center"/>
    </xf>
    <xf numFmtId="44" fontId="30" fillId="0" borderId="21" xfId="1" applyFont="1" applyBorder="1" applyAlignment="1">
      <alignment horizontal="center"/>
    </xf>
    <xf numFmtId="49" fontId="3" fillId="0" borderId="20" xfId="0" applyNumberFormat="1" applyFont="1" applyBorder="1" applyAlignment="1">
      <alignment horizontal="left" vertical="center"/>
    </xf>
    <xf numFmtId="49" fontId="3" fillId="0" borderId="21" xfId="0" applyNumberFormat="1" applyFont="1" applyBorder="1" applyAlignment="1">
      <alignment horizontal="left" vertical="center"/>
    </xf>
    <xf numFmtId="49" fontId="3" fillId="0" borderId="56" xfId="0" applyNumberFormat="1" applyFont="1" applyBorder="1" applyAlignment="1">
      <alignment horizontal="left" vertical="center"/>
    </xf>
    <xf numFmtId="0" fontId="0" fillId="2" borderId="36" xfId="0" applyFill="1" applyBorder="1" applyAlignment="1" applyProtection="1">
      <alignment horizontal="left"/>
      <protection locked="0"/>
    </xf>
    <xf numFmtId="0" fontId="0" fillId="2" borderId="25" xfId="0" applyFill="1" applyBorder="1" applyAlignment="1" applyProtection="1">
      <alignment horizontal="left"/>
      <protection locked="0"/>
    </xf>
    <xf numFmtId="0" fontId="0" fillId="2" borderId="26" xfId="0" applyFill="1" applyBorder="1" applyAlignment="1" applyProtection="1">
      <alignment horizontal="left"/>
      <protection locked="0"/>
    </xf>
    <xf numFmtId="49" fontId="2" fillId="2" borderId="39" xfId="0" applyNumberFormat="1" applyFont="1" applyFill="1" applyBorder="1" applyAlignment="1" applyProtection="1">
      <alignment horizontal="left"/>
      <protection locked="0"/>
    </xf>
    <xf numFmtId="49" fontId="2" fillId="2" borderId="43" xfId="0" applyNumberFormat="1" applyFont="1" applyFill="1" applyBorder="1" applyAlignment="1" applyProtection="1">
      <alignment horizontal="left"/>
      <protection locked="0"/>
    </xf>
    <xf numFmtId="49" fontId="2" fillId="2" borderId="36" xfId="0" applyNumberFormat="1" applyFont="1" applyFill="1" applyBorder="1" applyAlignment="1" applyProtection="1">
      <alignment horizontal="left"/>
      <protection locked="0"/>
    </xf>
    <xf numFmtId="0" fontId="68" fillId="0" borderId="0" xfId="0" applyFont="1" applyAlignment="1">
      <alignment horizontal="left" vertical="center" wrapText="1"/>
    </xf>
    <xf numFmtId="0" fontId="13" fillId="0" borderId="0" xfId="0" applyFont="1" applyAlignment="1">
      <alignment horizontal="left" vertical="center"/>
    </xf>
    <xf numFmtId="0" fontId="13" fillId="0" borderId="0" xfId="0" quotePrefix="1" applyFont="1" applyAlignment="1">
      <alignment horizontal="left" vertical="center"/>
    </xf>
    <xf numFmtId="0" fontId="7" fillId="0" borderId="0" xfId="0" applyFont="1" applyAlignment="1">
      <alignment horizontal="left" vertical="center" indent="1"/>
    </xf>
    <xf numFmtId="49" fontId="2" fillId="0" borderId="27" xfId="0" applyNumberFormat="1" applyFont="1" applyBorder="1" applyAlignment="1">
      <alignment horizontal="left"/>
    </xf>
    <xf numFmtId="49" fontId="2" fillId="0" borderId="23" xfId="0" applyNumberFormat="1" applyFont="1" applyBorder="1" applyAlignment="1">
      <alignment horizontal="left"/>
    </xf>
    <xf numFmtId="0" fontId="3" fillId="2" borderId="1" xfId="1" applyNumberFormat="1" applyFont="1" applyFill="1" applyBorder="1" applyAlignment="1" applyProtection="1">
      <alignment horizontal="center"/>
      <protection locked="0"/>
    </xf>
    <xf numFmtId="0" fontId="3" fillId="0" borderId="0" xfId="0" applyFont="1" applyAlignment="1">
      <alignment horizontal="right" indent="1"/>
    </xf>
    <xf numFmtId="49" fontId="18" fillId="0" borderId="20" xfId="0" applyNumberFormat="1" applyFont="1" applyBorder="1"/>
    <xf numFmtId="49" fontId="18" fillId="0" borderId="21" xfId="0" applyNumberFormat="1" applyFont="1" applyBorder="1"/>
    <xf numFmtId="49" fontId="13" fillId="0" borderId="17" xfId="0" applyNumberFormat="1" applyFont="1" applyBorder="1" applyAlignment="1">
      <alignment horizontal="left" vertical="center"/>
    </xf>
    <xf numFmtId="49" fontId="13" fillId="0" borderId="18" xfId="0" applyNumberFormat="1" applyFont="1" applyBorder="1" applyAlignment="1">
      <alignment horizontal="left" vertical="center"/>
    </xf>
    <xf numFmtId="49" fontId="13" fillId="0" borderId="19" xfId="0" applyNumberFormat="1" applyFont="1" applyBorder="1" applyAlignment="1">
      <alignment horizontal="left" vertical="center"/>
    </xf>
    <xf numFmtId="49" fontId="13" fillId="0" borderId="0" xfId="0" applyNumberFormat="1" applyFont="1" applyAlignment="1">
      <alignment horizontal="left" vertical="center"/>
    </xf>
    <xf numFmtId="0" fontId="2" fillId="0" borderId="27" xfId="0" applyFont="1" applyBorder="1" applyAlignment="1">
      <alignment horizontal="left"/>
    </xf>
    <xf numFmtId="0" fontId="2" fillId="0" borderId="23" xfId="0" applyFont="1" applyBorder="1" applyAlignment="1">
      <alignment horizontal="left"/>
    </xf>
    <xf numFmtId="49" fontId="2" fillId="0" borderId="24" xfId="0" applyNumberFormat="1" applyFont="1" applyBorder="1" applyAlignment="1">
      <alignment horizontal="left"/>
    </xf>
    <xf numFmtId="49" fontId="2" fillId="0" borderId="25" xfId="0" applyNumberFormat="1" applyFont="1" applyBorder="1" applyAlignment="1">
      <alignment horizontal="left"/>
    </xf>
    <xf numFmtId="0" fontId="26" fillId="0" borderId="0" xfId="0" quotePrefix="1" applyFont="1" applyAlignment="1">
      <alignment horizontal="left"/>
    </xf>
    <xf numFmtId="0" fontId="26" fillId="0" borderId="0" xfId="0" applyFont="1" applyAlignment="1">
      <alignment horizontal="left"/>
    </xf>
    <xf numFmtId="0" fontId="3" fillId="0" borderId="32" xfId="0" applyFont="1" applyBorder="1" applyAlignment="1">
      <alignment horizontal="left" vertical="center"/>
    </xf>
    <xf numFmtId="0" fontId="3" fillId="0" borderId="33" xfId="0" applyFont="1" applyBorder="1" applyAlignment="1">
      <alignment horizontal="left" vertical="center"/>
    </xf>
    <xf numFmtId="0" fontId="26" fillId="0" borderId="19" xfId="0" quotePrefix="1" applyFont="1" applyBorder="1" applyAlignment="1">
      <alignment horizontal="left" vertical="center" wrapText="1"/>
    </xf>
    <xf numFmtId="0" fontId="26" fillId="0" borderId="0" xfId="0" applyFont="1" applyAlignment="1">
      <alignment horizontal="left" vertical="center"/>
    </xf>
    <xf numFmtId="0" fontId="26" fillId="0" borderId="19" xfId="0" applyFont="1" applyBorder="1" applyAlignment="1">
      <alignment horizontal="left" vertical="center"/>
    </xf>
    <xf numFmtId="49" fontId="26" fillId="0" borderId="17" xfId="0" applyNumberFormat="1" applyFont="1" applyBorder="1"/>
    <xf numFmtId="49" fontId="26" fillId="0" borderId="18" xfId="0" applyNumberFormat="1" applyFont="1" applyBorder="1"/>
    <xf numFmtId="44" fontId="3" fillId="0" borderId="39" xfId="1" applyFont="1" applyBorder="1" applyAlignment="1">
      <alignment horizontal="center"/>
    </xf>
    <xf numFmtId="44" fontId="3" fillId="0" borderId="43" xfId="1" applyFont="1" applyBorder="1" applyAlignment="1">
      <alignment horizontal="center"/>
    </xf>
    <xf numFmtId="44" fontId="3" fillId="0" borderId="40" xfId="1" applyFont="1" applyBorder="1" applyAlignment="1">
      <alignment horizontal="center"/>
    </xf>
    <xf numFmtId="0" fontId="4" fillId="0" borderId="0" xfId="0" applyFont="1" applyAlignment="1">
      <alignment horizontal="center"/>
    </xf>
    <xf numFmtId="0" fontId="29" fillId="0" borderId="0" xfId="0" applyFont="1" applyAlignment="1">
      <alignment horizontal="center"/>
    </xf>
    <xf numFmtId="0" fontId="17" fillId="0" borderId="0" xfId="0" applyFont="1" applyAlignment="1">
      <alignment horizontal="right" vertical="center"/>
    </xf>
    <xf numFmtId="0" fontId="51" fillId="0" borderId="0" xfId="0" applyFont="1" applyAlignment="1">
      <alignment horizontal="left"/>
    </xf>
    <xf numFmtId="0" fontId="0" fillId="2" borderId="0" xfId="0" applyFill="1" applyAlignment="1" applyProtection="1">
      <alignment horizontal="left" vertical="top" wrapText="1"/>
      <protection locked="0"/>
    </xf>
    <xf numFmtId="166" fontId="13" fillId="2" borderId="32" xfId="0" applyNumberFormat="1" applyFont="1" applyFill="1" applyBorder="1" applyAlignment="1" applyProtection="1">
      <alignment horizontal="center" vertical="center"/>
      <protection locked="0"/>
    </xf>
    <xf numFmtId="166" fontId="13" fillId="2" borderId="35" xfId="0" applyNumberFormat="1" applyFont="1" applyFill="1" applyBorder="1" applyAlignment="1" applyProtection="1">
      <alignment horizontal="center" vertical="center"/>
      <protection locked="0"/>
    </xf>
    <xf numFmtId="49" fontId="3" fillId="0" borderId="68" xfId="0" applyNumberFormat="1" applyFont="1" applyBorder="1" applyAlignment="1">
      <alignment horizontal="left" vertical="center"/>
    </xf>
    <xf numFmtId="49" fontId="3" fillId="0" borderId="45" xfId="0" applyNumberFormat="1" applyFont="1" applyBorder="1" applyAlignment="1">
      <alignment horizontal="left" vertical="center"/>
    </xf>
    <xf numFmtId="49" fontId="13" fillId="0" borderId="32" xfId="0" applyNumberFormat="1" applyFont="1" applyBorder="1" applyAlignment="1">
      <alignment vertical="center"/>
    </xf>
    <xf numFmtId="49" fontId="13" fillId="0" borderId="34" xfId="0" applyNumberFormat="1" applyFont="1" applyBorder="1" applyAlignment="1">
      <alignment vertical="center"/>
    </xf>
    <xf numFmtId="49" fontId="0" fillId="0" borderId="20" xfId="0" applyNumberFormat="1" applyBorder="1"/>
    <xf numFmtId="49" fontId="0" fillId="0" borderId="56" xfId="0" applyNumberFormat="1" applyBorder="1"/>
    <xf numFmtId="49" fontId="13" fillId="2" borderId="24" xfId="0" applyNumberFormat="1" applyFont="1" applyFill="1" applyBorder="1" applyAlignment="1" applyProtection="1">
      <alignment horizontal="left"/>
      <protection locked="0"/>
    </xf>
    <xf numFmtId="49" fontId="13" fillId="2" borderId="25" xfId="0" applyNumberFormat="1" applyFont="1" applyFill="1" applyBorder="1" applyAlignment="1" applyProtection="1">
      <alignment horizontal="left"/>
      <protection locked="0"/>
    </xf>
    <xf numFmtId="49" fontId="13" fillId="2" borderId="26" xfId="0" applyNumberFormat="1" applyFont="1" applyFill="1" applyBorder="1" applyAlignment="1" applyProtection="1">
      <alignment horizontal="left"/>
      <protection locked="0"/>
    </xf>
    <xf numFmtId="49" fontId="2" fillId="0" borderId="68" xfId="0" applyNumberFormat="1" applyFont="1" applyBorder="1" applyAlignment="1">
      <alignment horizontal="left"/>
    </xf>
    <xf numFmtId="49" fontId="2" fillId="0" borderId="45" xfId="0" applyNumberFormat="1" applyFont="1" applyBorder="1" applyAlignment="1">
      <alignment horizontal="left"/>
    </xf>
    <xf numFmtId="49" fontId="13" fillId="0" borderId="33" xfId="0" applyNumberFormat="1" applyFont="1" applyBorder="1" applyAlignment="1">
      <alignment vertical="center"/>
    </xf>
    <xf numFmtId="49" fontId="13" fillId="0" borderId="35" xfId="0" applyNumberFormat="1" applyFont="1" applyBorder="1" applyAlignment="1">
      <alignment vertical="center"/>
    </xf>
    <xf numFmtId="0" fontId="15" fillId="0" borderId="0" xfId="0" applyFont="1" applyAlignment="1">
      <alignment horizontal="left"/>
    </xf>
    <xf numFmtId="49" fontId="0" fillId="0" borderId="27" xfId="0" applyNumberFormat="1" applyBorder="1" applyAlignment="1">
      <alignment horizontal="left"/>
    </xf>
    <xf numFmtId="49" fontId="0" fillId="0" borderId="23" xfId="0" applyNumberFormat="1" applyBorder="1" applyAlignment="1">
      <alignment horizontal="left"/>
    </xf>
    <xf numFmtId="0" fontId="109" fillId="0" borderId="0" xfId="0" applyFont="1" applyAlignment="1">
      <alignment horizontal="left" vertical="top" wrapText="1" indent="1"/>
    </xf>
    <xf numFmtId="0" fontId="46" fillId="0" borderId="0" xfId="0" applyFont="1" applyAlignment="1">
      <alignment horizontal="center" vertical="center" wrapText="1"/>
    </xf>
    <xf numFmtId="49" fontId="0" fillId="0" borderId="27" xfId="0" applyNumberFormat="1" applyBorder="1"/>
    <xf numFmtId="49" fontId="0" fillId="0" borderId="23" xfId="0" applyNumberFormat="1" applyBorder="1"/>
    <xf numFmtId="49" fontId="13" fillId="2" borderId="29" xfId="0" applyNumberFormat="1" applyFont="1" applyFill="1" applyBorder="1" applyAlignment="1" applyProtection="1">
      <alignment horizontal="left"/>
      <protection locked="0"/>
    </xf>
    <xf numFmtId="49" fontId="13" fillId="2" borderId="30" xfId="0" applyNumberFormat="1" applyFont="1" applyFill="1" applyBorder="1" applyAlignment="1" applyProtection="1">
      <alignment horizontal="left"/>
      <protection locked="0"/>
    </xf>
    <xf numFmtId="49" fontId="13" fillId="2" borderId="31" xfId="0" applyNumberFormat="1" applyFont="1" applyFill="1" applyBorder="1" applyAlignment="1" applyProtection="1">
      <alignment horizontal="left"/>
      <protection locked="0"/>
    </xf>
    <xf numFmtId="44" fontId="3" fillId="0" borderId="0" xfId="1" applyFont="1" applyAlignment="1">
      <alignment horizontal="center"/>
    </xf>
    <xf numFmtId="0" fontId="95" fillId="0" borderId="19" xfId="0" applyFont="1" applyBorder="1" applyAlignment="1">
      <alignment horizontal="center" shrinkToFit="1"/>
    </xf>
    <xf numFmtId="0" fontId="95" fillId="0" borderId="0" xfId="0" applyFont="1" applyAlignment="1">
      <alignment horizontal="center" shrinkToFit="1"/>
    </xf>
    <xf numFmtId="49" fontId="2" fillId="2" borderId="28" xfId="0" applyNumberFormat="1" applyFont="1" applyFill="1" applyBorder="1" applyAlignment="1" applyProtection="1">
      <alignment horizontal="left"/>
      <protection locked="0"/>
    </xf>
    <xf numFmtId="166" fontId="13" fillId="2" borderId="33" xfId="0" applyNumberFormat="1" applyFont="1" applyFill="1" applyBorder="1" applyAlignment="1" applyProtection="1">
      <alignment horizontal="center" vertical="center"/>
      <protection locked="0"/>
    </xf>
    <xf numFmtId="0" fontId="13" fillId="0" borderId="0" xfId="0" applyFont="1" applyAlignment="1">
      <alignment horizontal="center"/>
    </xf>
    <xf numFmtId="49" fontId="13" fillId="0" borderId="21" xfId="0" applyNumberFormat="1" applyFont="1" applyBorder="1"/>
    <xf numFmtId="49" fontId="3" fillId="0" borderId="0" xfId="0" applyNumberFormat="1" applyFont="1" applyAlignment="1">
      <alignment horizontal="right"/>
    </xf>
    <xf numFmtId="0" fontId="3" fillId="2" borderId="1" xfId="1" applyNumberFormat="1" applyFont="1" applyFill="1" applyBorder="1" applyAlignment="1" applyProtection="1">
      <alignment horizontal="left"/>
      <protection locked="0"/>
    </xf>
    <xf numFmtId="1" fontId="3" fillId="2" borderId="1" xfId="0" applyNumberFormat="1" applyFont="1" applyFill="1" applyBorder="1" applyAlignment="1" applyProtection="1">
      <alignment horizontal="center"/>
      <protection locked="0"/>
    </xf>
    <xf numFmtId="0" fontId="26" fillId="0" borderId="19" xfId="0" applyFont="1" applyBorder="1" applyAlignment="1">
      <alignment vertical="center"/>
    </xf>
    <xf numFmtId="0" fontId="26" fillId="0" borderId="0" xfId="0" applyFont="1" applyAlignment="1">
      <alignment vertical="center"/>
    </xf>
    <xf numFmtId="0" fontId="36" fillId="0" borderId="0" xfId="0" applyFont="1" applyAlignment="1">
      <alignment horizontal="center" vertical="center" wrapText="1"/>
    </xf>
    <xf numFmtId="0" fontId="3" fillId="0" borderId="0" xfId="0" applyFont="1" applyAlignment="1">
      <alignment horizontal="left"/>
    </xf>
    <xf numFmtId="0" fontId="9" fillId="0" borderId="0" xfId="0" applyFont="1" applyAlignment="1">
      <alignment horizontal="left" wrapText="1"/>
    </xf>
    <xf numFmtId="0" fontId="3" fillId="0" borderId="0" xfId="0" applyFont="1" applyAlignment="1">
      <alignment horizontal="right"/>
    </xf>
    <xf numFmtId="0" fontId="13" fillId="0" borderId="0" xfId="0" applyFont="1" applyAlignment="1">
      <alignment horizontal="right"/>
    </xf>
    <xf numFmtId="166" fontId="13" fillId="2" borderId="1" xfId="0" applyNumberFormat="1" applyFont="1" applyFill="1" applyBorder="1" applyAlignment="1" applyProtection="1">
      <alignment horizontal="center"/>
      <protection locked="0"/>
    </xf>
    <xf numFmtId="0" fontId="0" fillId="0" borderId="0" xfId="0" applyAlignment="1">
      <alignment horizontal="right"/>
    </xf>
    <xf numFmtId="10" fontId="29" fillId="0" borderId="41" xfId="2" applyNumberFormat="1" applyFont="1" applyBorder="1" applyAlignment="1">
      <alignment horizontal="center" vertical="center" shrinkToFit="1"/>
    </xf>
    <xf numFmtId="10" fontId="29" fillId="0" borderId="2" xfId="2" applyNumberFormat="1" applyFont="1" applyBorder="1" applyAlignment="1">
      <alignment horizontal="center" vertical="center" shrinkToFit="1"/>
    </xf>
    <xf numFmtId="10" fontId="29" fillId="0" borderId="42" xfId="2" applyNumberFormat="1" applyFont="1" applyBorder="1" applyAlignment="1">
      <alignment horizontal="center" vertical="center" shrinkToFit="1"/>
    </xf>
    <xf numFmtId="10" fontId="29" fillId="0" borderId="20" xfId="2" applyNumberFormat="1" applyFont="1" applyBorder="1" applyAlignment="1">
      <alignment horizontal="center" vertical="center" shrinkToFit="1"/>
    </xf>
    <xf numFmtId="10" fontId="29" fillId="0" borderId="21" xfId="2" applyNumberFormat="1" applyFont="1" applyBorder="1" applyAlignment="1">
      <alignment horizontal="center" vertical="center" shrinkToFit="1"/>
    </xf>
    <xf numFmtId="10" fontId="29" fillId="0" borderId="22" xfId="2" applyNumberFormat="1" applyFont="1" applyBorder="1" applyAlignment="1">
      <alignment horizontal="center" vertical="center" shrinkToFit="1"/>
    </xf>
    <xf numFmtId="0" fontId="0" fillId="0" borderId="0" xfId="0" applyAlignment="1">
      <alignment horizontal="right" vertical="center" indent="1"/>
    </xf>
    <xf numFmtId="49" fontId="15" fillId="0" borderId="0" xfId="0" applyNumberFormat="1" applyFont="1" applyAlignment="1">
      <alignment vertical="top"/>
    </xf>
    <xf numFmtId="49" fontId="3" fillId="0" borderId="21" xfId="0" applyNumberFormat="1" applyFont="1" applyBorder="1" applyAlignment="1">
      <alignment horizontal="left"/>
    </xf>
    <xf numFmtId="49" fontId="25" fillId="0" borderId="0" xfId="0" applyNumberFormat="1" applyFont="1" applyAlignment="1">
      <alignment horizontal="center"/>
    </xf>
    <xf numFmtId="49" fontId="2" fillId="0" borderId="29" xfId="0" applyNumberFormat="1" applyFont="1" applyBorder="1" applyAlignment="1">
      <alignment horizontal="left"/>
    </xf>
    <xf numFmtId="49" fontId="2" fillId="0" borderId="30" xfId="0" applyNumberFormat="1" applyFont="1" applyBorder="1" applyAlignment="1">
      <alignment horizontal="left"/>
    </xf>
    <xf numFmtId="0" fontId="26" fillId="0" borderId="0" xfId="0" quotePrefix="1" applyFont="1" applyAlignment="1">
      <alignment horizontal="left" vertical="center" wrapText="1"/>
    </xf>
    <xf numFmtId="10" fontId="65" fillId="0" borderId="18" xfId="2" applyNumberFormat="1" applyFont="1" applyBorder="1" applyAlignment="1">
      <alignment horizontal="center" vertical="center" wrapText="1"/>
    </xf>
    <xf numFmtId="10" fontId="65" fillId="0" borderId="0" xfId="2" applyNumberFormat="1" applyFont="1" applyBorder="1" applyAlignment="1">
      <alignment horizontal="center" vertical="center" wrapText="1"/>
    </xf>
    <xf numFmtId="0" fontId="35" fillId="0" borderId="153" xfId="0" applyFont="1" applyBorder="1"/>
    <xf numFmtId="0" fontId="15" fillId="0" borderId="74" xfId="0" applyFont="1" applyBorder="1" applyAlignment="1">
      <alignment horizontal="left"/>
    </xf>
    <xf numFmtId="0" fontId="15" fillId="7" borderId="74" xfId="0" applyFont="1" applyFill="1" applyBorder="1" applyAlignment="1">
      <alignment horizontal="left"/>
    </xf>
    <xf numFmtId="0" fontId="149" fillId="0" borderId="74" xfId="0" applyFont="1" applyBorder="1" applyAlignment="1">
      <alignment horizontal="left"/>
    </xf>
    <xf numFmtId="0" fontId="15" fillId="0" borderId="115" xfId="0" applyFont="1" applyBorder="1" applyAlignment="1">
      <alignment horizontal="left"/>
    </xf>
    <xf numFmtId="0" fontId="15" fillId="0" borderId="116" xfId="0" applyFont="1" applyBorder="1" applyAlignment="1">
      <alignment horizontal="left"/>
    </xf>
    <xf numFmtId="44" fontId="17" fillId="3" borderId="0" xfId="1" applyFont="1" applyFill="1" applyAlignment="1">
      <alignment horizontal="center"/>
    </xf>
    <xf numFmtId="0" fontId="13" fillId="0" borderId="0" xfId="0" applyFont="1" applyAlignment="1">
      <alignment horizontal="left"/>
    </xf>
    <xf numFmtId="0" fontId="32" fillId="5" borderId="0" xfId="0" applyFont="1" applyFill="1" applyAlignment="1">
      <alignment horizontal="left"/>
    </xf>
    <xf numFmtId="44" fontId="17" fillId="5" borderId="0" xfId="1" applyFont="1" applyFill="1" applyAlignment="1">
      <alignment horizontal="center"/>
    </xf>
    <xf numFmtId="0" fontId="17" fillId="2" borderId="0" xfId="0" applyFont="1" applyFill="1" applyAlignment="1" applyProtection="1">
      <alignment horizontal="left"/>
      <protection locked="0"/>
    </xf>
    <xf numFmtId="0" fontId="32" fillId="2" borderId="0" xfId="0" applyFont="1" applyFill="1" applyAlignment="1" applyProtection="1">
      <alignment horizontal="left"/>
      <protection locked="0"/>
    </xf>
    <xf numFmtId="44" fontId="17" fillId="2" borderId="0" xfId="1" applyFont="1" applyFill="1" applyAlignment="1" applyProtection="1">
      <alignment horizontal="center"/>
      <protection locked="0"/>
    </xf>
    <xf numFmtId="0" fontId="16" fillId="0" borderId="0" xfId="0" applyFont="1" applyAlignment="1">
      <alignment horizontal="left"/>
    </xf>
    <xf numFmtId="44" fontId="32" fillId="5" borderId="0" xfId="1" applyFont="1" applyFill="1" applyAlignment="1">
      <alignment horizontal="center"/>
    </xf>
    <xf numFmtId="0" fontId="32" fillId="3" borderId="0" xfId="0" applyFont="1" applyFill="1" applyAlignment="1">
      <alignment horizontal="left"/>
    </xf>
    <xf numFmtId="0" fontId="17" fillId="3" borderId="0" xfId="0" applyFont="1" applyFill="1" applyAlignment="1">
      <alignment horizontal="left"/>
    </xf>
    <xf numFmtId="0" fontId="17" fillId="0" borderId="0" xfId="0" applyFont="1" applyAlignment="1">
      <alignment horizontal="left"/>
    </xf>
    <xf numFmtId="0" fontId="17" fillId="5" borderId="0" xfId="0" applyFont="1" applyFill="1" applyAlignment="1">
      <alignment horizontal="left"/>
    </xf>
    <xf numFmtId="0" fontId="16" fillId="0" borderId="0" xfId="0" applyFont="1" applyAlignment="1">
      <alignment horizontal="left" vertical="center"/>
    </xf>
    <xf numFmtId="44" fontId="13" fillId="0" borderId="15" xfId="1" applyFont="1" applyBorder="1" applyAlignment="1">
      <alignment horizontal="center" vertical="center"/>
    </xf>
    <xf numFmtId="44" fontId="13" fillId="0" borderId="4" xfId="1" applyFont="1" applyBorder="1" applyAlignment="1">
      <alignment horizontal="center" vertical="center"/>
    </xf>
    <xf numFmtId="49" fontId="2" fillId="0" borderId="0" xfId="0" applyNumberFormat="1" applyFont="1" applyAlignment="1">
      <alignment horizontal="right"/>
    </xf>
    <xf numFmtId="0" fontId="65" fillId="0" borderId="0" xfId="0" applyFont="1" applyAlignment="1">
      <alignment horizontal="left" vertical="center"/>
    </xf>
    <xf numFmtId="0" fontId="6" fillId="0" borderId="0" xfId="0" applyFont="1" applyAlignment="1">
      <alignment horizontal="center"/>
    </xf>
    <xf numFmtId="0" fontId="3" fillId="0" borderId="1" xfId="0" applyFont="1" applyBorder="1" applyAlignment="1">
      <alignment horizontal="center"/>
    </xf>
    <xf numFmtId="44" fontId="32" fillId="3" borderId="0" xfId="1" applyFont="1" applyFill="1" applyAlignment="1">
      <alignment horizontal="center"/>
    </xf>
    <xf numFmtId="0" fontId="3" fillId="0" borderId="1" xfId="1" applyNumberFormat="1" applyFont="1" applyBorder="1" applyAlignment="1">
      <alignment horizontal="left"/>
    </xf>
    <xf numFmtId="0" fontId="2" fillId="0" borderId="0" xfId="0" applyFont="1" applyAlignment="1">
      <alignment horizontal="right"/>
    </xf>
    <xf numFmtId="0" fontId="13" fillId="0" borderId="0" xfId="0" applyFont="1" applyAlignment="1">
      <alignment vertical="center" wrapText="1"/>
    </xf>
    <xf numFmtId="0" fontId="13" fillId="0" borderId="0" xfId="0" applyFont="1" applyAlignment="1">
      <alignment vertical="center"/>
    </xf>
    <xf numFmtId="0" fontId="7" fillId="0" borderId="0" xfId="0" applyFont="1" applyAlignment="1">
      <alignment horizontal="left" vertical="center"/>
    </xf>
    <xf numFmtId="44" fontId="8" fillId="0" borderId="58" xfId="1" applyFont="1" applyBorder="1" applyAlignment="1">
      <alignment vertical="center"/>
    </xf>
    <xf numFmtId="0" fontId="8" fillId="0" borderId="0" xfId="0" applyFont="1" applyAlignment="1">
      <alignment vertical="center"/>
    </xf>
    <xf numFmtId="0" fontId="15" fillId="0" borderId="0" xfId="0" applyFont="1" applyAlignment="1">
      <alignment horizontal="right"/>
    </xf>
    <xf numFmtId="0" fontId="17" fillId="0" borderId="0" xfId="0" applyFont="1" applyAlignment="1" applyProtection="1">
      <alignment horizontal="left"/>
      <protection locked="0"/>
    </xf>
    <xf numFmtId="44" fontId="17" fillId="0" borderId="0" xfId="1" applyFont="1" applyFill="1" applyAlignment="1" applyProtection="1">
      <alignment horizontal="center"/>
      <protection locked="0"/>
    </xf>
    <xf numFmtId="44" fontId="32" fillId="0" borderId="0" xfId="1" applyFont="1" applyFill="1" applyAlignment="1">
      <alignment horizontal="center"/>
    </xf>
    <xf numFmtId="0" fontId="32" fillId="0" borderId="0" xfId="0" applyFont="1" applyAlignment="1">
      <alignment horizontal="left"/>
    </xf>
    <xf numFmtId="44" fontId="17" fillId="0" borderId="0" xfId="1" applyFont="1" applyFill="1" applyAlignment="1" applyProtection="1">
      <alignment horizontal="center"/>
      <protection hidden="1"/>
    </xf>
    <xf numFmtId="44" fontId="13" fillId="0" borderId="0" xfId="1" applyFont="1" applyBorder="1" applyAlignment="1">
      <alignment horizontal="center" vertical="center"/>
    </xf>
    <xf numFmtId="0" fontId="23" fillId="0" borderId="0" xfId="0" applyFont="1" applyAlignment="1">
      <alignment horizontal="center" vertical="center" wrapText="1"/>
    </xf>
    <xf numFmtId="0" fontId="3" fillId="0" borderId="0" xfId="0" applyFont="1"/>
    <xf numFmtId="0" fontId="9" fillId="0" borderId="0" xfId="0" applyFont="1"/>
    <xf numFmtId="0" fontId="31" fillId="0" borderId="0" xfId="0" applyFont="1" applyAlignment="1">
      <alignment horizontal="center"/>
    </xf>
    <xf numFmtId="0" fontId="17" fillId="0" borderId="0" xfId="0" applyFont="1" applyAlignment="1">
      <alignment horizontal="center"/>
    </xf>
    <xf numFmtId="0" fontId="9" fillId="0" borderId="0" xfId="0" applyFont="1" applyAlignment="1">
      <alignment horizontal="left" vertical="top" wrapText="1" indent="4"/>
    </xf>
    <xf numFmtId="0" fontId="18" fillId="2" borderId="0" xfId="0" applyFont="1" applyFill="1" applyAlignment="1" applyProtection="1">
      <alignment horizontal="center" vertical="center"/>
      <protection locked="0"/>
    </xf>
    <xf numFmtId="0" fontId="45" fillId="0" borderId="0" xfId="0" applyFont="1" applyAlignment="1">
      <alignment horizontal="right" wrapText="1"/>
    </xf>
    <xf numFmtId="44" fontId="17" fillId="3" borderId="0" xfId="0" applyNumberFormat="1" applyFont="1" applyFill="1" applyAlignment="1">
      <alignment shrinkToFit="1"/>
    </xf>
    <xf numFmtId="0" fontId="32" fillId="3" borderId="0" xfId="0" applyFont="1" applyFill="1" applyAlignment="1">
      <alignment horizontal="left" shrinkToFit="1"/>
    </xf>
    <xf numFmtId="49" fontId="0" fillId="2" borderId="0" xfId="0" applyNumberFormat="1" applyFill="1" applyAlignment="1" applyProtection="1">
      <alignment horizontal="left" vertical="top" wrapText="1"/>
      <protection locked="0"/>
    </xf>
    <xf numFmtId="0" fontId="76" fillId="0" borderId="0" xfId="0" applyFont="1"/>
    <xf numFmtId="44" fontId="3" fillId="0" borderId="4" xfId="0" applyNumberFormat="1" applyFont="1" applyBorder="1" applyAlignment="1">
      <alignment vertical="center" shrinkToFit="1"/>
    </xf>
    <xf numFmtId="0" fontId="9" fillId="0" borderId="0" xfId="0" applyFont="1" applyAlignment="1">
      <alignment horizontal="center" vertical="top" wrapText="1"/>
    </xf>
    <xf numFmtId="0" fontId="32" fillId="3" borderId="0" xfId="0" applyFont="1" applyFill="1" applyAlignment="1">
      <alignment horizontal="center"/>
    </xf>
    <xf numFmtId="0" fontId="85" fillId="0" borderId="0" xfId="0" applyFont="1" applyAlignment="1">
      <alignment horizontal="center" vertical="top" wrapText="1"/>
    </xf>
    <xf numFmtId="44" fontId="17" fillId="2" borderId="0" xfId="0" applyNumberFormat="1" applyFont="1" applyFill="1" applyAlignment="1" applyProtection="1">
      <alignment shrinkToFit="1"/>
      <protection locked="0"/>
    </xf>
    <xf numFmtId="0" fontId="32" fillId="0" borderId="0" xfId="0" applyFont="1" applyAlignment="1">
      <alignment horizontal="center"/>
    </xf>
    <xf numFmtId="43" fontId="17" fillId="2" borderId="0" xfId="0" applyNumberFormat="1" applyFont="1" applyFill="1" applyAlignment="1" applyProtection="1">
      <alignment shrinkToFit="1"/>
      <protection locked="0"/>
    </xf>
    <xf numFmtId="0" fontId="17" fillId="0" borderId="0" xfId="0" applyFont="1"/>
    <xf numFmtId="44" fontId="17" fillId="2" borderId="0" xfId="0" applyNumberFormat="1" applyFont="1" applyFill="1" applyAlignment="1" applyProtection="1">
      <alignment horizontal="left" shrinkToFit="1"/>
      <protection locked="0"/>
    </xf>
    <xf numFmtId="0" fontId="39" fillId="0" borderId="0" xfId="0" applyFont="1" applyAlignment="1">
      <alignment horizontal="right" vertical="top" wrapText="1"/>
    </xf>
    <xf numFmtId="0" fontId="3" fillId="0" borderId="0" xfId="0" applyFont="1" applyAlignment="1">
      <alignment horizontal="right" vertical="center"/>
    </xf>
    <xf numFmtId="49" fontId="3" fillId="2" borderId="1" xfId="0" applyNumberFormat="1" applyFont="1" applyFill="1" applyBorder="1" applyAlignment="1" applyProtection="1">
      <alignment horizontal="left" vertical="center"/>
      <protection locked="0"/>
    </xf>
    <xf numFmtId="0" fontId="85" fillId="8" borderId="0" xfId="0" applyFont="1" applyFill="1" applyAlignment="1">
      <alignment horizontal="center" vertical="top" wrapText="1"/>
    </xf>
    <xf numFmtId="0" fontId="16" fillId="0" borderId="0" xfId="0" applyFont="1" applyAlignment="1">
      <alignment horizontal="center" vertical="top" wrapText="1"/>
    </xf>
    <xf numFmtId="0" fontId="6" fillId="0" borderId="0" xfId="0" applyFont="1" applyAlignment="1">
      <alignment horizontal="center" vertical="top" wrapText="1"/>
    </xf>
    <xf numFmtId="0" fontId="23" fillId="0" borderId="0" xfId="0" applyFont="1" applyAlignment="1">
      <alignment horizontal="left" vertical="top" indent="4"/>
    </xf>
    <xf numFmtId="0" fontId="71" fillId="0" borderId="0" xfId="0" applyFont="1" applyAlignment="1">
      <alignment horizontal="left" vertical="center"/>
    </xf>
    <xf numFmtId="0" fontId="3" fillId="0" borderId="0" xfId="0" applyFont="1" applyAlignment="1">
      <alignment horizontal="left" indent="2"/>
    </xf>
    <xf numFmtId="14" fontId="13" fillId="2" borderId="0" xfId="0" applyNumberFormat="1" applyFont="1" applyFill="1" applyAlignment="1" applyProtection="1">
      <alignment horizontal="center" vertical="center"/>
      <protection locked="0"/>
    </xf>
    <xf numFmtId="0" fontId="13" fillId="0" borderId="0" xfId="0" applyFont="1" applyAlignment="1">
      <alignment horizontal="right" vertical="center"/>
    </xf>
    <xf numFmtId="49" fontId="3" fillId="2" borderId="1" xfId="0" applyNumberFormat="1" applyFont="1" applyFill="1" applyBorder="1" applyProtection="1">
      <protection locked="0"/>
    </xf>
    <xf numFmtId="49" fontId="8" fillId="0" borderId="1" xfId="0" applyNumberFormat="1" applyFont="1" applyBorder="1" applyAlignment="1">
      <alignment horizontal="left" vertical="center"/>
    </xf>
    <xf numFmtId="0" fontId="3" fillId="2" borderId="0" xfId="0" applyFont="1" applyFill="1" applyAlignment="1" applyProtection="1">
      <alignment horizontal="center" vertical="center"/>
      <protection locked="0"/>
    </xf>
    <xf numFmtId="0" fontId="71" fillId="0" borderId="0" xfId="0" applyFont="1" applyAlignment="1">
      <alignment vertical="center"/>
    </xf>
    <xf numFmtId="0" fontId="83" fillId="0" borderId="0" xfId="0" applyFont="1" applyAlignment="1">
      <alignment horizontal="center" vertical="center" wrapText="1"/>
    </xf>
    <xf numFmtId="0" fontId="18" fillId="0" borderId="0" xfId="0" applyFont="1" applyAlignment="1">
      <alignment horizontal="left" vertical="center" wrapText="1" indent="4"/>
    </xf>
    <xf numFmtId="0" fontId="34" fillId="0" borderId="0" xfId="0" applyFont="1" applyAlignment="1">
      <alignment horizontal="center"/>
    </xf>
    <xf numFmtId="44" fontId="18" fillId="3" borderId="0" xfId="0" applyNumberFormat="1" applyFont="1" applyFill="1" applyAlignment="1">
      <alignment shrinkToFit="1"/>
    </xf>
    <xf numFmtId="0" fontId="18" fillId="3" borderId="0" xfId="0" applyFont="1" applyFill="1"/>
    <xf numFmtId="0" fontId="43" fillId="0" borderId="14" xfId="0" applyFont="1" applyBorder="1" applyAlignment="1">
      <alignment vertical="center"/>
    </xf>
    <xf numFmtId="0" fontId="43" fillId="0" borderId="0" xfId="0" applyFont="1" applyAlignment="1">
      <alignment vertical="center"/>
    </xf>
    <xf numFmtId="0" fontId="16" fillId="0" borderId="14" xfId="0" applyFont="1" applyBorder="1" applyAlignment="1">
      <alignment horizontal="center" vertical="center"/>
    </xf>
    <xf numFmtId="0" fontId="16" fillId="0" borderId="0" xfId="0" applyFont="1" applyAlignment="1">
      <alignment horizontal="center" vertical="center"/>
    </xf>
    <xf numFmtId="0" fontId="19" fillId="0" borderId="0" xfId="0" applyFont="1" applyAlignment="1">
      <alignment horizontal="center" vertical="center" wrapText="1"/>
    </xf>
    <xf numFmtId="0" fontId="17" fillId="0" borderId="0" xfId="0" applyFont="1" applyAlignment="1">
      <alignment horizontal="right" vertical="center" indent="1" shrinkToFit="1"/>
    </xf>
    <xf numFmtId="44" fontId="22" fillId="2" borderId="0" xfId="0" applyNumberFormat="1" applyFont="1" applyFill="1" applyAlignment="1" applyProtection="1">
      <alignment horizontal="center" shrinkToFit="1"/>
      <protection locked="0"/>
    </xf>
    <xf numFmtId="0" fontId="44" fillId="0" borderId="0" xfId="1" applyNumberFormat="1" applyFont="1" applyAlignment="1">
      <alignment horizontal="center" vertical="center" wrapText="1"/>
    </xf>
    <xf numFmtId="0" fontId="51" fillId="0" borderId="0" xfId="0" applyFont="1" applyAlignment="1">
      <alignment wrapText="1"/>
    </xf>
    <xf numFmtId="49" fontId="3" fillId="0" borderId="0" xfId="0" applyNumberFormat="1" applyFont="1"/>
    <xf numFmtId="4" fontId="13" fillId="0" borderId="0" xfId="1" applyNumberFormat="1" applyFont="1" applyAlignment="1">
      <alignment horizontal="center" vertical="top" wrapText="1"/>
    </xf>
    <xf numFmtId="4" fontId="13" fillId="0" borderId="0" xfId="1" applyNumberFormat="1" applyFont="1" applyAlignment="1">
      <alignment horizontal="center" vertical="center" wrapText="1"/>
    </xf>
    <xf numFmtId="0" fontId="17" fillId="0" borderId="0" xfId="1" applyNumberFormat="1" applyFont="1" applyAlignment="1">
      <alignment horizontal="center" vertical="center"/>
    </xf>
    <xf numFmtId="0" fontId="0" fillId="0" borderId="0" xfId="0" applyAlignment="1">
      <alignment horizontal="center" vertical="top" wrapText="1"/>
    </xf>
    <xf numFmtId="0" fontId="2" fillId="2" borderId="0" xfId="0" applyFont="1" applyFill="1" applyAlignment="1" applyProtection="1">
      <alignment horizontal="left" vertical="top" wrapText="1"/>
      <protection locked="0"/>
    </xf>
    <xf numFmtId="0" fontId="19" fillId="0" borderId="0" xfId="0" applyFont="1" applyAlignment="1">
      <alignment wrapText="1"/>
    </xf>
    <xf numFmtId="49" fontId="13" fillId="0" borderId="0" xfId="0" applyNumberFormat="1" applyFont="1" applyAlignment="1">
      <alignment horizontal="center" vertical="center"/>
    </xf>
    <xf numFmtId="44" fontId="3" fillId="2" borderId="0" xfId="1" applyFont="1" applyFill="1" applyAlignment="1" applyProtection="1">
      <alignment horizontal="center"/>
      <protection locked="0"/>
    </xf>
    <xf numFmtId="44" fontId="25" fillId="0" borderId="0" xfId="1" applyFont="1" applyAlignment="1">
      <alignment horizontal="center" vertical="center"/>
    </xf>
    <xf numFmtId="0" fontId="34" fillId="0" borderId="0" xfId="1" applyNumberFormat="1" applyFont="1" applyAlignment="1">
      <alignment horizontal="left" vertical="center" wrapText="1"/>
    </xf>
    <xf numFmtId="0" fontId="35" fillId="0" borderId="6" xfId="0" applyFont="1" applyBorder="1" applyAlignment="1">
      <alignment horizontal="center" vertical="center"/>
    </xf>
    <xf numFmtId="0" fontId="35" fillId="0" borderId="7" xfId="0" applyFont="1" applyBorder="1" applyAlignment="1">
      <alignment horizontal="center" vertical="center"/>
    </xf>
    <xf numFmtId="0" fontId="35" fillId="0" borderId="9" xfId="0" applyFont="1" applyBorder="1" applyAlignment="1">
      <alignment horizontal="center" vertical="center"/>
    </xf>
    <xf numFmtId="0" fontId="15" fillId="0" borderId="10" xfId="1" applyNumberFormat="1" applyFont="1" applyBorder="1" applyAlignment="1">
      <alignment vertical="center"/>
    </xf>
    <xf numFmtId="0" fontId="15" fillId="0" borderId="0" xfId="1" applyNumberFormat="1" applyFont="1" applyAlignment="1">
      <alignment vertical="center"/>
    </xf>
    <xf numFmtId="0" fontId="30" fillId="0" borderId="10" xfId="0" applyFont="1" applyBorder="1"/>
    <xf numFmtId="0" fontId="30" fillId="0" borderId="0" xfId="0" applyFont="1"/>
    <xf numFmtId="0" fontId="0" fillId="0" borderId="0" xfId="0" applyAlignment="1">
      <alignment wrapText="1"/>
    </xf>
    <xf numFmtId="49" fontId="2" fillId="0" borderId="0" xfId="0" applyNumberFormat="1" applyFont="1" applyAlignment="1">
      <alignment horizontal="right" indent="1"/>
    </xf>
    <xf numFmtId="49" fontId="24" fillId="0" borderId="0" xfId="0" applyNumberFormat="1" applyFont="1" applyAlignment="1">
      <alignment horizontal="right" indent="1"/>
    </xf>
    <xf numFmtId="0" fontId="18" fillId="2" borderId="1" xfId="1" applyNumberFormat="1" applyFont="1" applyFill="1" applyBorder="1" applyAlignment="1" applyProtection="1">
      <alignment horizontal="left"/>
      <protection locked="0"/>
    </xf>
    <xf numFmtId="44" fontId="18" fillId="0" borderId="0" xfId="1" applyFont="1" applyAlignment="1">
      <alignment horizontal="center" vertical="center"/>
    </xf>
    <xf numFmtId="49" fontId="28" fillId="0" borderId="0" xfId="0" applyNumberFormat="1" applyFont="1" applyAlignment="1">
      <alignment horizontal="center" vertical="center"/>
    </xf>
    <xf numFmtId="0" fontId="21" fillId="0" borderId="0" xfId="0" applyFont="1" applyAlignment="1">
      <alignment horizontal="center"/>
    </xf>
    <xf numFmtId="49" fontId="0" fillId="2" borderId="0" xfId="0" applyNumberFormat="1" applyFill="1" applyAlignment="1" applyProtection="1">
      <alignment horizontal="left"/>
      <protection locked="0"/>
    </xf>
    <xf numFmtId="44" fontId="22" fillId="2" borderId="0" xfId="1" applyFont="1" applyFill="1" applyAlignment="1" applyProtection="1">
      <alignment horizontal="center"/>
      <protection locked="0"/>
    </xf>
    <xf numFmtId="49" fontId="2" fillId="0" borderId="0" xfId="0" applyNumberFormat="1" applyFont="1" applyAlignment="1">
      <alignment horizontal="left"/>
    </xf>
    <xf numFmtId="1" fontId="77" fillId="0" borderId="1" xfId="0" applyNumberFormat="1" applyFont="1" applyBorder="1" applyAlignment="1" applyProtection="1">
      <alignment horizontal="center" vertical="center"/>
      <protection locked="0"/>
    </xf>
    <xf numFmtId="1" fontId="77" fillId="0" borderId="1" xfId="0" applyNumberFormat="1" applyFont="1" applyBorder="1" applyAlignment="1">
      <alignment horizontal="center" vertical="center"/>
    </xf>
    <xf numFmtId="49" fontId="15" fillId="0" borderId="0" xfId="0" applyNumberFormat="1" applyFont="1" applyAlignment="1">
      <alignment horizontal="right"/>
    </xf>
    <xf numFmtId="44" fontId="15" fillId="0" borderId="0" xfId="0" applyNumberFormat="1" applyFont="1" applyAlignment="1">
      <alignment horizontal="center" vertical="center" wrapText="1"/>
    </xf>
    <xf numFmtId="0" fontId="15" fillId="0" borderId="0" xfId="0" applyFont="1" applyAlignment="1">
      <alignment horizontal="center" vertical="center" wrapText="1"/>
    </xf>
    <xf numFmtId="0" fontId="21" fillId="0" borderId="0" xfId="0" applyFont="1" applyAlignment="1" applyProtection="1">
      <alignment horizontal="center"/>
      <protection hidden="1"/>
    </xf>
    <xf numFmtId="0" fontId="52" fillId="0" borderId="0" xfId="0" applyFont="1" applyAlignment="1">
      <alignment horizontal="center" vertical="center" wrapText="1"/>
    </xf>
    <xf numFmtId="0" fontId="69" fillId="0" borderId="0" xfId="0" applyFont="1" applyAlignment="1">
      <alignment horizontal="center" vertical="top" wrapText="1"/>
    </xf>
    <xf numFmtId="0" fontId="66" fillId="0" borderId="0" xfId="0" applyFont="1" applyAlignment="1">
      <alignment horizontal="center" vertical="top" wrapText="1"/>
    </xf>
    <xf numFmtId="49" fontId="53" fillId="0" borderId="0" xfId="0" applyNumberFormat="1" applyFont="1" applyAlignment="1">
      <alignment horizontal="center" vertical="center" wrapText="1"/>
    </xf>
    <xf numFmtId="49" fontId="133" fillId="0" borderId="0" xfId="0" applyNumberFormat="1" applyFont="1" applyAlignment="1">
      <alignment horizontal="center" vertical="center" wrapText="1"/>
    </xf>
    <xf numFmtId="49" fontId="3" fillId="0" borderId="0" xfId="0" applyNumberFormat="1" applyFont="1" applyAlignment="1">
      <alignment horizontal="left" vertical="center"/>
    </xf>
    <xf numFmtId="2" fontId="13" fillId="0" borderId="0" xfId="0" applyNumberFormat="1" applyFont="1" applyAlignment="1">
      <alignment horizontal="center" vertical="center"/>
    </xf>
    <xf numFmtId="0" fontId="95" fillId="0" borderId="0" xfId="0" applyFont="1" applyAlignment="1">
      <alignment horizontal="center" vertical="center" shrinkToFit="1"/>
    </xf>
    <xf numFmtId="44" fontId="22" fillId="0" borderId="3" xfId="1" applyFont="1" applyBorder="1" applyAlignment="1">
      <alignment horizontal="center" vertical="center"/>
    </xf>
    <xf numFmtId="0" fontId="44" fillId="0" borderId="0" xfId="0" applyFont="1" applyAlignment="1">
      <alignment horizontal="right" vertical="top"/>
    </xf>
    <xf numFmtId="169" fontId="44" fillId="0" borderId="0" xfId="1" applyNumberFormat="1" applyFont="1" applyAlignment="1">
      <alignment horizontal="right" vertical="top"/>
    </xf>
    <xf numFmtId="49" fontId="3" fillId="0" borderId="0" xfId="0" applyNumberFormat="1" applyFont="1" applyAlignment="1">
      <alignment vertical="center"/>
    </xf>
    <xf numFmtId="0" fontId="21" fillId="0" borderId="0" xfId="0" applyFont="1" applyAlignment="1">
      <alignment horizontal="left"/>
    </xf>
    <xf numFmtId="0" fontId="88" fillId="0" borderId="0" xfId="0" applyFont="1" applyAlignment="1">
      <alignment horizontal="right" vertical="center" indent="1"/>
    </xf>
    <xf numFmtId="0" fontId="99" fillId="0" borderId="0" xfId="0" applyFont="1" applyAlignment="1">
      <alignment horizontal="left" vertical="center" indent="1"/>
    </xf>
    <xf numFmtId="44" fontId="3" fillId="0" borderId="0" xfId="1" applyFont="1" applyAlignment="1">
      <alignment horizontal="center" vertical="center"/>
    </xf>
    <xf numFmtId="0" fontId="101" fillId="0" borderId="0" xfId="0" applyFont="1" applyAlignment="1">
      <alignment horizontal="center" vertical="center"/>
    </xf>
    <xf numFmtId="49" fontId="17" fillId="0" borderId="0" xfId="0" applyNumberFormat="1" applyFont="1" applyAlignment="1">
      <alignment vertical="center"/>
    </xf>
    <xf numFmtId="49" fontId="17" fillId="0" borderId="0" xfId="0" applyNumberFormat="1" applyFont="1" applyAlignment="1">
      <alignment horizontal="center" vertical="center"/>
    </xf>
    <xf numFmtId="0" fontId="17" fillId="0" borderId="0" xfId="0" applyFont="1" applyAlignment="1">
      <alignment vertical="center"/>
    </xf>
    <xf numFmtId="0" fontId="112" fillId="0" borderId="0" xfId="0" applyFont="1" applyAlignment="1">
      <alignment horizontal="center" vertical="center" wrapText="1"/>
    </xf>
    <xf numFmtId="44" fontId="27" fillId="0" borderId="0" xfId="1" applyFont="1" applyAlignment="1">
      <alignment horizontal="center"/>
    </xf>
    <xf numFmtId="4" fontId="3" fillId="2" borderId="0" xfId="0" applyNumberFormat="1" applyFont="1" applyFill="1" applyAlignment="1" applyProtection="1">
      <alignment horizontal="center"/>
      <protection locked="0"/>
    </xf>
    <xf numFmtId="1" fontId="97" fillId="0" borderId="104" xfId="0" applyNumberFormat="1" applyFont="1" applyBorder="1" applyAlignment="1">
      <alignment horizontal="center"/>
    </xf>
    <xf numFmtId="0" fontId="97" fillId="0" borderId="104" xfId="0" applyFont="1" applyBorder="1" applyAlignment="1">
      <alignment horizontal="center"/>
    </xf>
    <xf numFmtId="0" fontId="25" fillId="0" borderId="0" xfId="1" applyNumberFormat="1" applyFont="1" applyAlignment="1">
      <alignment horizontal="center" vertical="center" wrapText="1"/>
    </xf>
    <xf numFmtId="0" fontId="97" fillId="0" borderId="118" xfId="0" applyFont="1" applyBorder="1" applyAlignment="1">
      <alignment horizontal="center"/>
    </xf>
    <xf numFmtId="169" fontId="9" fillId="0" borderId="120" xfId="0" applyNumberFormat="1" applyFont="1" applyBorder="1" applyAlignment="1">
      <alignment horizontal="center" vertical="center"/>
    </xf>
    <xf numFmtId="169" fontId="9" fillId="0" borderId="121" xfId="0" applyNumberFormat="1" applyFont="1" applyBorder="1" applyAlignment="1">
      <alignment horizontal="center" vertical="center"/>
    </xf>
    <xf numFmtId="0" fontId="28" fillId="0" borderId="0" xfId="1" applyNumberFormat="1" applyFont="1" applyAlignment="1">
      <alignment horizontal="center" vertical="center" wrapText="1"/>
    </xf>
    <xf numFmtId="0" fontId="28" fillId="0" borderId="0" xfId="1" applyNumberFormat="1" applyFont="1" applyAlignment="1">
      <alignment horizontal="center" vertical="center"/>
    </xf>
    <xf numFmtId="2" fontId="77" fillId="0" borderId="0" xfId="1" applyNumberFormat="1" applyFont="1" applyAlignment="1">
      <alignment horizontal="left" vertical="center" indent="1"/>
    </xf>
    <xf numFmtId="2" fontId="77" fillId="0" borderId="93" xfId="1" applyNumberFormat="1" applyFont="1" applyBorder="1" applyAlignment="1">
      <alignment horizontal="left" vertical="center" indent="1"/>
    </xf>
    <xf numFmtId="0" fontId="97" fillId="0" borderId="117" xfId="0" applyFont="1" applyBorder="1" applyAlignment="1">
      <alignment horizontal="center" vertical="center"/>
    </xf>
    <xf numFmtId="0" fontId="97" fillId="0" borderId="104" xfId="0" applyFont="1" applyBorder="1" applyAlignment="1">
      <alignment horizontal="center" vertical="center"/>
    </xf>
    <xf numFmtId="0" fontId="97" fillId="0" borderId="119" xfId="0" applyFont="1" applyBorder="1" applyAlignment="1">
      <alignment horizontal="center" vertical="center"/>
    </xf>
    <xf numFmtId="0" fontId="97" fillId="0" borderId="120" xfId="0" applyFont="1" applyBorder="1" applyAlignment="1">
      <alignment horizontal="center" vertical="center"/>
    </xf>
    <xf numFmtId="2" fontId="28" fillId="2" borderId="67" xfId="1" applyNumberFormat="1" applyFont="1" applyFill="1" applyBorder="1" applyAlignment="1" applyProtection="1">
      <alignment horizontal="center" vertical="center"/>
      <protection locked="0"/>
    </xf>
    <xf numFmtId="2" fontId="28" fillId="2" borderId="37" xfId="1" applyNumberFormat="1" applyFont="1" applyFill="1" applyBorder="1" applyAlignment="1" applyProtection="1">
      <alignment horizontal="center" vertical="center"/>
      <protection locked="0"/>
    </xf>
    <xf numFmtId="0" fontId="95" fillId="0" borderId="162" xfId="0" applyFont="1" applyBorder="1" applyAlignment="1" applyProtection="1">
      <alignment horizontal="center"/>
      <protection hidden="1"/>
    </xf>
    <xf numFmtId="0" fontId="95" fillId="0" borderId="140" xfId="0" applyFont="1" applyBorder="1" applyAlignment="1" applyProtection="1">
      <alignment horizontal="center"/>
      <protection hidden="1"/>
    </xf>
    <xf numFmtId="0" fontId="95" fillId="0" borderId="163" xfId="0" applyFont="1" applyBorder="1" applyAlignment="1" applyProtection="1">
      <alignment horizontal="center"/>
      <protection hidden="1"/>
    </xf>
    <xf numFmtId="0" fontId="5" fillId="0" borderId="0" xfId="0" applyFont="1" applyAlignment="1">
      <alignment horizontal="center" vertical="center"/>
    </xf>
    <xf numFmtId="0" fontId="101" fillId="0" borderId="133" xfId="0" applyFont="1" applyBorder="1" applyAlignment="1">
      <alignment horizontal="right" vertical="center"/>
    </xf>
    <xf numFmtId="44" fontId="101" fillId="0" borderId="0" xfId="1" applyFont="1" applyFill="1" applyBorder="1" applyAlignment="1" applyProtection="1">
      <alignment horizontal="right" vertical="center" wrapText="1"/>
    </xf>
    <xf numFmtId="2" fontId="101" fillId="0" borderId="0" xfId="0" applyNumberFormat="1" applyFont="1" applyAlignment="1">
      <alignment horizontal="left" vertical="center" wrapText="1"/>
    </xf>
    <xf numFmtId="0" fontId="101" fillId="0" borderId="0" xfId="0" applyFont="1" applyAlignment="1">
      <alignment horizontal="left" vertical="center" wrapText="1"/>
    </xf>
    <xf numFmtId="0" fontId="155" fillId="0" borderId="82" xfId="0" applyFont="1" applyBorder="1" applyAlignment="1">
      <alignment horizontal="center" vertical="center"/>
    </xf>
    <xf numFmtId="0" fontId="155" fillId="0" borderId="0" xfId="0" applyFont="1" applyAlignment="1">
      <alignment horizontal="center" vertical="center"/>
    </xf>
    <xf numFmtId="0" fontId="155" fillId="0" borderId="83" xfId="0" applyFont="1" applyBorder="1" applyAlignment="1">
      <alignment horizontal="center" vertical="center"/>
    </xf>
    <xf numFmtId="2" fontId="95" fillId="0" borderId="155" xfId="0" applyNumberFormat="1" applyFont="1" applyBorder="1" applyAlignment="1" applyProtection="1">
      <alignment horizontal="center"/>
      <protection hidden="1"/>
    </xf>
    <xf numFmtId="2" fontId="95" fillId="0" borderId="161" xfId="0" applyNumberFormat="1" applyFont="1" applyBorder="1" applyAlignment="1" applyProtection="1">
      <alignment horizontal="center"/>
      <protection hidden="1"/>
    </xf>
    <xf numFmtId="0" fontId="128" fillId="0" borderId="0" xfId="0" applyFont="1" applyAlignment="1" applyProtection="1">
      <alignment horizontal="center"/>
      <protection hidden="1"/>
    </xf>
    <xf numFmtId="0" fontId="128" fillId="0" borderId="160" xfId="0" applyFont="1" applyBorder="1" applyAlignment="1" applyProtection="1">
      <alignment horizontal="center"/>
      <protection hidden="1"/>
    </xf>
    <xf numFmtId="0" fontId="124" fillId="0" borderId="136" xfId="0" applyFont="1" applyBorder="1" applyAlignment="1">
      <alignment horizontal="center" vertical="center"/>
    </xf>
    <xf numFmtId="0" fontId="124" fillId="0" borderId="137" xfId="0" applyFont="1" applyBorder="1" applyAlignment="1">
      <alignment horizontal="center" vertical="center"/>
    </xf>
    <xf numFmtId="0" fontId="124" fillId="0" borderId="138" xfId="0" applyFont="1" applyBorder="1" applyAlignment="1">
      <alignment horizontal="center" vertical="center"/>
    </xf>
    <xf numFmtId="0" fontId="128" fillId="0" borderId="140" xfId="0" applyFont="1" applyBorder="1" applyAlignment="1" applyProtection="1">
      <alignment horizontal="center"/>
      <protection hidden="1"/>
    </xf>
    <xf numFmtId="0" fontId="128" fillId="0" borderId="162" xfId="0" applyFont="1" applyBorder="1" applyAlignment="1" applyProtection="1">
      <alignment horizontal="center"/>
      <protection hidden="1"/>
    </xf>
    <xf numFmtId="0" fontId="0" fillId="0" borderId="82" xfId="0" applyBorder="1" applyAlignment="1">
      <alignment horizontal="center"/>
    </xf>
    <xf numFmtId="4" fontId="18" fillId="0" borderId="77" xfId="0" applyNumberFormat="1" applyFont="1" applyBorder="1" applyAlignment="1">
      <alignment horizontal="center" vertical="center"/>
    </xf>
    <xf numFmtId="4" fontId="18" fillId="0" borderId="2" xfId="0" applyNumberFormat="1" applyFont="1" applyBorder="1" applyAlignment="1">
      <alignment horizontal="center" vertical="center"/>
    </xf>
    <xf numFmtId="4" fontId="18" fillId="0" borderId="78" xfId="0" applyNumberFormat="1" applyFont="1" applyBorder="1" applyAlignment="1">
      <alignment horizontal="center" vertical="center"/>
    </xf>
    <xf numFmtId="4" fontId="18" fillId="0" borderId="79" xfId="0" applyNumberFormat="1" applyFont="1" applyBorder="1" applyAlignment="1">
      <alignment horizontal="center" vertical="center"/>
    </xf>
    <xf numFmtId="4" fontId="18" fillId="0" borderId="1" xfId="0" applyNumberFormat="1" applyFont="1" applyBorder="1" applyAlignment="1">
      <alignment horizontal="center" vertical="center"/>
    </xf>
    <xf numFmtId="4" fontId="18" fillId="0" borderId="53" xfId="0" applyNumberFormat="1" applyFont="1" applyBorder="1" applyAlignment="1">
      <alignment horizontal="center" vertical="center"/>
    </xf>
    <xf numFmtId="0" fontId="12" fillId="0" borderId="82" xfId="0" applyFont="1" applyBorder="1" applyAlignment="1">
      <alignment horizontal="center" vertical="center" wrapText="1"/>
    </xf>
    <xf numFmtId="0" fontId="16" fillId="0" borderId="0" xfId="0" applyFont="1" applyAlignment="1">
      <alignment horizontal="center" vertical="center" wrapText="1"/>
    </xf>
    <xf numFmtId="49" fontId="78" fillId="0" borderId="0" xfId="0" applyNumberFormat="1" applyFont="1" applyAlignment="1">
      <alignment horizontal="center" vertical="center"/>
    </xf>
    <xf numFmtId="49" fontId="130" fillId="0" borderId="0" xfId="0" applyNumberFormat="1" applyFont="1" applyAlignment="1">
      <alignment horizontal="center" vertical="center"/>
    </xf>
    <xf numFmtId="0" fontId="3" fillId="0" borderId="82" xfId="0" applyFont="1" applyBorder="1" applyAlignment="1">
      <alignment horizontal="center" vertical="center" wrapText="1"/>
    </xf>
    <xf numFmtId="49" fontId="9" fillId="0" borderId="0" xfId="0" applyNumberFormat="1" applyFont="1" applyAlignment="1">
      <alignment horizontal="center" vertical="top" wrapText="1"/>
    </xf>
    <xf numFmtId="49" fontId="9" fillId="0" borderId="1" xfId="0" applyNumberFormat="1" applyFont="1" applyBorder="1" applyAlignment="1">
      <alignment horizontal="center" vertical="top" wrapText="1"/>
    </xf>
    <xf numFmtId="2" fontId="84" fillId="0" borderId="82" xfId="0" applyNumberFormat="1" applyFont="1" applyBorder="1" applyAlignment="1">
      <alignment horizontal="center" vertical="center"/>
    </xf>
    <xf numFmtId="2" fontId="84" fillId="0" borderId="0" xfId="0" applyNumberFormat="1" applyFont="1" applyAlignment="1">
      <alignment horizontal="center" vertical="center"/>
    </xf>
    <xf numFmtId="2" fontId="11" fillId="0" borderId="0" xfId="0" applyNumberFormat="1" applyFont="1" applyAlignment="1">
      <alignment horizontal="center" vertical="center"/>
    </xf>
    <xf numFmtId="2" fontId="11" fillId="0" borderId="83" xfId="0" applyNumberFormat="1" applyFont="1" applyBorder="1" applyAlignment="1">
      <alignment horizontal="center" vertical="center"/>
    </xf>
    <xf numFmtId="0" fontId="134" fillId="0" borderId="130" xfId="0" applyFont="1" applyBorder="1" applyAlignment="1">
      <alignment horizontal="center" vertical="center"/>
    </xf>
    <xf numFmtId="0" fontId="134" fillId="0" borderId="131" xfId="0" applyFont="1" applyBorder="1" applyAlignment="1">
      <alignment horizontal="center" vertical="center"/>
    </xf>
    <xf numFmtId="0" fontId="134" fillId="0" borderId="132" xfId="0" applyFont="1" applyBorder="1" applyAlignment="1">
      <alignment horizontal="center" vertical="center"/>
    </xf>
    <xf numFmtId="0" fontId="134" fillId="0" borderId="133" xfId="0" applyFont="1" applyBorder="1" applyAlignment="1">
      <alignment horizontal="center" vertical="center"/>
    </xf>
    <xf numFmtId="0" fontId="134" fillId="0" borderId="0" xfId="0" applyFont="1" applyAlignment="1">
      <alignment horizontal="center" vertical="center"/>
    </xf>
    <xf numFmtId="0" fontId="134" fillId="0" borderId="134" xfId="0" applyFont="1" applyBorder="1" applyAlignment="1">
      <alignment horizontal="center" vertical="center"/>
    </xf>
    <xf numFmtId="44" fontId="89" fillId="0" borderId="82" xfId="1" applyFont="1" applyFill="1" applyBorder="1" applyAlignment="1" applyProtection="1">
      <alignment horizontal="center" vertical="center" wrapText="1"/>
    </xf>
    <xf numFmtId="44" fontId="89" fillId="0" borderId="0" xfId="1" applyFont="1" applyFill="1" applyBorder="1" applyAlignment="1" applyProtection="1">
      <alignment horizontal="center" vertical="center" wrapText="1"/>
    </xf>
    <xf numFmtId="44" fontId="3" fillId="0" borderId="77" xfId="0" applyNumberFormat="1" applyFont="1" applyBorder="1" applyAlignment="1">
      <alignment horizontal="center" vertical="center"/>
    </xf>
    <xf numFmtId="44" fontId="3" fillId="0" borderId="2" xfId="0" applyNumberFormat="1" applyFont="1" applyBorder="1" applyAlignment="1">
      <alignment horizontal="center" vertical="center"/>
    </xf>
    <xf numFmtId="44" fontId="3" fillId="0" borderId="78" xfId="0" applyNumberFormat="1" applyFont="1" applyBorder="1" applyAlignment="1">
      <alignment horizontal="center" vertical="center"/>
    </xf>
    <xf numFmtId="44" fontId="3" fillId="0" borderId="71" xfId="0" applyNumberFormat="1" applyFont="1" applyBorder="1" applyAlignment="1">
      <alignment horizontal="center" vertical="center"/>
    </xf>
    <xf numFmtId="44" fontId="3" fillId="0" borderId="0" xfId="0" applyNumberFormat="1" applyFont="1" applyAlignment="1">
      <alignment horizontal="center" vertical="center"/>
    </xf>
    <xf numFmtId="44" fontId="3" fillId="0" borderId="70" xfId="0" applyNumberFormat="1" applyFont="1" applyBorder="1" applyAlignment="1">
      <alignment horizontal="center" vertical="center"/>
    </xf>
    <xf numFmtId="44" fontId="3" fillId="0" borderId="79" xfId="0" applyNumberFormat="1" applyFont="1" applyBorder="1" applyAlignment="1">
      <alignment horizontal="center" vertical="center"/>
    </xf>
    <xf numFmtId="44" fontId="3" fillId="0" borderId="1" xfId="0" applyNumberFormat="1" applyFont="1" applyBorder="1" applyAlignment="1">
      <alignment horizontal="center" vertical="center"/>
    </xf>
    <xf numFmtId="44" fontId="3" fillId="0" borderId="53" xfId="0" applyNumberFormat="1" applyFont="1" applyBorder="1" applyAlignment="1">
      <alignment horizontal="center" vertical="center"/>
    </xf>
    <xf numFmtId="49" fontId="18" fillId="0" borderId="0" xfId="0" applyNumberFormat="1" applyFont="1" applyAlignment="1">
      <alignment vertical="center" shrinkToFit="1"/>
    </xf>
    <xf numFmtId="49" fontId="28" fillId="2" borderId="67" xfId="0" applyNumberFormat="1" applyFont="1" applyFill="1" applyBorder="1" applyAlignment="1" applyProtection="1">
      <alignment horizontal="center" vertical="center"/>
      <protection locked="0"/>
    </xf>
    <xf numFmtId="49" fontId="28" fillId="2" borderId="3" xfId="0" applyNumberFormat="1" applyFont="1" applyFill="1" applyBorder="1" applyAlignment="1" applyProtection="1">
      <alignment horizontal="center" vertical="center"/>
      <protection locked="0"/>
    </xf>
    <xf numFmtId="49" fontId="28" fillId="2" borderId="37" xfId="0" applyNumberFormat="1" applyFont="1" applyFill="1" applyBorder="1" applyAlignment="1" applyProtection="1">
      <alignment horizontal="center" vertical="center"/>
      <protection locked="0"/>
    </xf>
    <xf numFmtId="49" fontId="18" fillId="0" borderId="0" xfId="0" applyNumberFormat="1" applyFont="1" applyAlignment="1">
      <alignment shrinkToFit="1"/>
    </xf>
    <xf numFmtId="49" fontId="36" fillId="0" borderId="0" xfId="0" quotePrefix="1" applyNumberFormat="1" applyFont="1" applyAlignment="1">
      <alignment horizontal="left" vertical="center" wrapText="1"/>
    </xf>
    <xf numFmtId="0" fontId="30" fillId="6" borderId="0" xfId="0" applyFont="1" applyFill="1" applyAlignment="1">
      <alignment horizontal="center" vertical="center" wrapText="1"/>
    </xf>
    <xf numFmtId="49" fontId="18" fillId="0" borderId="0" xfId="0" applyNumberFormat="1" applyFont="1" applyAlignment="1">
      <alignment horizontal="left" vertical="center" shrinkToFit="1"/>
    </xf>
    <xf numFmtId="0" fontId="9" fillId="0" borderId="0" xfId="0" applyFont="1" applyAlignment="1">
      <alignment horizontal="left" vertical="center" wrapText="1" indent="2"/>
    </xf>
    <xf numFmtId="0" fontId="7" fillId="0" borderId="82" xfId="0" applyFont="1" applyBorder="1" applyAlignment="1">
      <alignment horizontal="center" vertical="center"/>
    </xf>
    <xf numFmtId="0" fontId="7" fillId="0" borderId="0" xfId="0" applyFont="1" applyAlignment="1">
      <alignment horizontal="center" vertical="center"/>
    </xf>
    <xf numFmtId="0" fontId="7" fillId="0" borderId="83" xfId="0" applyFont="1" applyBorder="1" applyAlignment="1">
      <alignment horizontal="center" vertical="center"/>
    </xf>
    <xf numFmtId="0" fontId="95" fillId="0" borderId="0" xfId="0" applyFont="1" applyAlignment="1">
      <alignment horizontal="center" vertical="center" wrapText="1"/>
    </xf>
    <xf numFmtId="0" fontId="95" fillId="0" borderId="1" xfId="0" applyFont="1" applyBorder="1" applyAlignment="1">
      <alignment horizontal="center" vertical="center" wrapText="1"/>
    </xf>
    <xf numFmtId="169" fontId="18" fillId="2" borderId="77" xfId="1" applyNumberFormat="1" applyFont="1" applyFill="1" applyBorder="1" applyAlignment="1" applyProtection="1">
      <alignment horizontal="center" vertical="center" shrinkToFit="1"/>
      <protection locked="0"/>
    </xf>
    <xf numFmtId="169" fontId="18" fillId="2" borderId="78" xfId="1" applyNumberFormat="1" applyFont="1" applyFill="1" applyBorder="1" applyAlignment="1" applyProtection="1">
      <alignment horizontal="center" vertical="center" shrinkToFit="1"/>
      <protection locked="0"/>
    </xf>
    <xf numFmtId="169" fontId="18" fillId="2" borderId="79" xfId="1" applyNumberFormat="1" applyFont="1" applyFill="1" applyBorder="1" applyAlignment="1" applyProtection="1">
      <alignment horizontal="center" vertical="center" shrinkToFit="1"/>
      <protection locked="0"/>
    </xf>
    <xf numFmtId="169" fontId="18" fillId="2" borderId="53" xfId="1" applyNumberFormat="1" applyFont="1" applyFill="1" applyBorder="1" applyAlignment="1" applyProtection="1">
      <alignment horizontal="center" vertical="center" shrinkToFit="1"/>
      <protection locked="0"/>
    </xf>
    <xf numFmtId="14" fontId="13" fillId="2" borderId="67" xfId="0" applyNumberFormat="1" applyFont="1" applyFill="1" applyBorder="1" applyAlignment="1" applyProtection="1">
      <alignment horizontal="center" vertical="center"/>
      <protection locked="0"/>
    </xf>
    <xf numFmtId="14" fontId="13" fillId="2" borderId="37" xfId="0" applyNumberFormat="1" applyFont="1" applyFill="1" applyBorder="1" applyAlignment="1" applyProtection="1">
      <alignment horizontal="center" vertical="center"/>
      <protection locked="0"/>
    </xf>
    <xf numFmtId="49" fontId="39" fillId="0" borderId="0" xfId="0" applyNumberFormat="1" applyFont="1" applyAlignment="1">
      <alignment vertical="center" wrapText="1"/>
    </xf>
    <xf numFmtId="0" fontId="9" fillId="0" borderId="15" xfId="0" applyFont="1" applyBorder="1" applyAlignment="1">
      <alignment horizontal="center" vertical="top"/>
    </xf>
    <xf numFmtId="49" fontId="28" fillId="2" borderId="67" xfId="0" applyNumberFormat="1" applyFont="1" applyFill="1" applyBorder="1" applyAlignment="1" applyProtection="1">
      <alignment horizontal="center" vertical="center" shrinkToFit="1"/>
      <protection locked="0"/>
    </xf>
    <xf numFmtId="49" fontId="28" fillId="2" borderId="3" xfId="0" applyNumberFormat="1" applyFont="1" applyFill="1" applyBorder="1" applyAlignment="1" applyProtection="1">
      <alignment horizontal="center" vertical="center" shrinkToFit="1"/>
      <protection locked="0"/>
    </xf>
    <xf numFmtId="49" fontId="28" fillId="2" borderId="37" xfId="0" applyNumberFormat="1" applyFont="1" applyFill="1" applyBorder="1" applyAlignment="1" applyProtection="1">
      <alignment horizontal="center" vertical="center" shrinkToFit="1"/>
      <protection locked="0"/>
    </xf>
    <xf numFmtId="49" fontId="12" fillId="0" borderId="0" xfId="0" applyNumberFormat="1" applyFont="1" applyAlignment="1">
      <alignment horizontal="left" wrapText="1"/>
    </xf>
    <xf numFmtId="49" fontId="18" fillId="0" borderId="0" xfId="0" applyNumberFormat="1" applyFont="1" applyAlignment="1">
      <alignment horizontal="left" shrinkToFit="1"/>
    </xf>
    <xf numFmtId="0" fontId="23" fillId="0" borderId="0" xfId="0" applyFont="1" applyAlignment="1">
      <alignment horizontal="center" shrinkToFit="1"/>
    </xf>
    <xf numFmtId="0" fontId="40" fillId="0" borderId="0" xfId="0" applyFont="1" applyAlignment="1">
      <alignment horizontal="center"/>
    </xf>
    <xf numFmtId="0" fontId="23" fillId="0" borderId="0" xfId="0" applyFont="1" applyAlignment="1" applyProtection="1">
      <alignment horizontal="center"/>
      <protection hidden="1"/>
    </xf>
    <xf numFmtId="0" fontId="23" fillId="0" borderId="0" xfId="0" applyFont="1" applyAlignment="1">
      <alignment horizontal="center" vertical="top" wrapText="1"/>
    </xf>
    <xf numFmtId="0" fontId="23" fillId="0" borderId="0" xfId="0" applyFont="1" applyAlignment="1">
      <alignment horizontal="center" vertical="top"/>
    </xf>
    <xf numFmtId="44" fontId="119" fillId="0" borderId="117" xfId="0" applyNumberFormat="1" applyFont="1" applyBorder="1" applyAlignment="1">
      <alignment horizontal="center" vertical="center"/>
    </xf>
    <xf numFmtId="44" fontId="119" fillId="0" borderId="104" xfId="0" applyNumberFormat="1" applyFont="1" applyBorder="1" applyAlignment="1">
      <alignment horizontal="center" vertical="center"/>
    </xf>
    <xf numFmtId="44" fontId="119" fillId="0" borderId="118" xfId="0" applyNumberFormat="1" applyFont="1" applyBorder="1" applyAlignment="1">
      <alignment horizontal="center" vertical="center"/>
    </xf>
    <xf numFmtId="44" fontId="119" fillId="0" borderId="135" xfId="0" applyNumberFormat="1" applyFont="1" applyBorder="1" applyAlignment="1">
      <alignment horizontal="center" vertical="center"/>
    </xf>
    <xf numFmtId="44" fontId="119" fillId="0" borderId="0" xfId="0" applyNumberFormat="1" applyFont="1" applyAlignment="1">
      <alignment horizontal="center" vertical="center"/>
    </xf>
    <xf numFmtId="44" fontId="119" fillId="0" borderId="93" xfId="0" applyNumberFormat="1" applyFont="1" applyBorder="1" applyAlignment="1">
      <alignment horizontal="center" vertical="center"/>
    </xf>
    <xf numFmtId="44" fontId="119" fillId="0" borderId="119" xfId="0" applyNumberFormat="1" applyFont="1" applyBorder="1" applyAlignment="1">
      <alignment horizontal="center" vertical="center"/>
    </xf>
    <xf numFmtId="44" fontId="119" fillId="0" borderId="120" xfId="0" applyNumberFormat="1" applyFont="1" applyBorder="1" applyAlignment="1">
      <alignment horizontal="center" vertical="center"/>
    </xf>
    <xf numFmtId="44" fontId="119" fillId="0" borderId="121" xfId="0" applyNumberFormat="1" applyFont="1" applyBorder="1" applyAlignment="1">
      <alignment horizontal="center" vertical="center"/>
    </xf>
    <xf numFmtId="0" fontId="119" fillId="0" borderId="133" xfId="0" applyFont="1" applyBorder="1" applyAlignment="1">
      <alignment horizontal="center" wrapText="1"/>
    </xf>
    <xf numFmtId="0" fontId="135" fillId="0" borderId="0" xfId="0" applyFont="1" applyAlignment="1">
      <alignment horizontal="center" wrapText="1"/>
    </xf>
    <xf numFmtId="4" fontId="119" fillId="0" borderId="6" xfId="0" applyNumberFormat="1" applyFont="1" applyBorder="1" applyAlignment="1">
      <alignment horizontal="center" vertical="center"/>
    </xf>
    <xf numFmtId="4" fontId="119" fillId="0" borderId="7" xfId="0" applyNumberFormat="1" applyFont="1" applyBorder="1" applyAlignment="1">
      <alignment horizontal="center" vertical="center"/>
    </xf>
    <xf numFmtId="4" fontId="119" fillId="0" borderId="9" xfId="0" applyNumberFormat="1" applyFont="1" applyBorder="1" applyAlignment="1">
      <alignment horizontal="center" vertical="center"/>
    </xf>
    <xf numFmtId="4" fontId="119" fillId="0" borderId="10" xfId="0" applyNumberFormat="1" applyFont="1" applyBorder="1" applyAlignment="1">
      <alignment horizontal="center" vertical="center"/>
    </xf>
    <xf numFmtId="4" fontId="119" fillId="0" borderId="0" xfId="0" applyNumberFormat="1" applyFont="1" applyAlignment="1">
      <alignment horizontal="center" vertical="center"/>
    </xf>
    <xf numFmtId="4" fontId="119" fillId="0" borderId="11" xfId="0" applyNumberFormat="1" applyFont="1" applyBorder="1" applyAlignment="1">
      <alignment horizontal="center" vertical="center"/>
    </xf>
    <xf numFmtId="4" fontId="119" fillId="0" borderId="12" xfId="0" applyNumberFormat="1" applyFont="1" applyBorder="1" applyAlignment="1">
      <alignment horizontal="center" vertical="center"/>
    </xf>
    <xf numFmtId="4" fontId="119" fillId="0" borderId="5" xfId="0" applyNumberFormat="1" applyFont="1" applyBorder="1" applyAlignment="1">
      <alignment horizontal="center" vertical="center"/>
    </xf>
    <xf numFmtId="4" fontId="119" fillId="0" borderId="13" xfId="0" applyNumberFormat="1" applyFont="1" applyBorder="1" applyAlignment="1">
      <alignment horizontal="center" vertical="center"/>
    </xf>
    <xf numFmtId="0" fontId="124" fillId="0" borderId="133" xfId="0" applyFont="1" applyBorder="1" applyAlignment="1">
      <alignment horizontal="center" vertical="top" wrapText="1"/>
    </xf>
    <xf numFmtId="0" fontId="124" fillId="0" borderId="0" xfId="0" applyFont="1" applyAlignment="1">
      <alignment horizontal="center" vertical="top" wrapText="1"/>
    </xf>
    <xf numFmtId="0" fontId="124" fillId="0" borderId="11" xfId="0" applyFont="1" applyBorder="1" applyAlignment="1">
      <alignment horizontal="center" vertical="top" wrapText="1"/>
    </xf>
    <xf numFmtId="44" fontId="99" fillId="0" borderId="133" xfId="1" applyFont="1" applyFill="1" applyBorder="1" applyAlignment="1" applyProtection="1">
      <alignment horizontal="center" vertical="center" wrapText="1"/>
    </xf>
    <xf numFmtId="44" fontId="99" fillId="0" borderId="0" xfId="1" applyFont="1" applyFill="1" applyBorder="1" applyAlignment="1" applyProtection="1">
      <alignment horizontal="center" vertical="center" wrapText="1"/>
    </xf>
    <xf numFmtId="49" fontId="24" fillId="0" borderId="0" xfId="0" applyNumberFormat="1" applyFont="1" applyAlignment="1">
      <alignment horizontal="right"/>
    </xf>
    <xf numFmtId="49" fontId="28" fillId="0" borderId="0" xfId="0" applyNumberFormat="1" applyFont="1" applyAlignment="1">
      <alignment horizontal="left" vertical="center" wrapText="1"/>
    </xf>
    <xf numFmtId="0" fontId="26" fillId="0" borderId="0" xfId="0" applyFont="1" applyAlignment="1">
      <alignment horizontal="left" vertical="center" shrinkToFit="1"/>
    </xf>
    <xf numFmtId="0" fontId="26" fillId="0" borderId="83" xfId="0" applyFont="1" applyBorder="1" applyAlignment="1">
      <alignment horizontal="left" vertical="center" shrinkToFit="1"/>
    </xf>
    <xf numFmtId="0" fontId="28" fillId="0" borderId="79" xfId="0" applyFont="1" applyBorder="1" applyAlignment="1">
      <alignment horizontal="center" vertical="center"/>
    </xf>
    <xf numFmtId="0" fontId="28" fillId="0" borderId="1" xfId="0" applyFont="1" applyBorder="1" applyAlignment="1">
      <alignment horizontal="center" vertical="center"/>
    </xf>
    <xf numFmtId="0" fontId="28" fillId="0" borderId="53" xfId="0" applyFont="1" applyBorder="1" applyAlignment="1">
      <alignment horizontal="center" vertical="center"/>
    </xf>
    <xf numFmtId="0" fontId="28" fillId="0" borderId="77" xfId="0" applyFont="1" applyBorder="1" applyAlignment="1">
      <alignment horizontal="center" vertical="center"/>
    </xf>
    <xf numFmtId="0" fontId="28" fillId="0" borderId="2" xfId="0" applyFont="1" applyBorder="1" applyAlignment="1">
      <alignment horizontal="center" vertical="center"/>
    </xf>
    <xf numFmtId="0" fontId="28" fillId="0" borderId="78" xfId="0" applyFont="1" applyBorder="1" applyAlignment="1">
      <alignment horizontal="center" vertical="center"/>
    </xf>
    <xf numFmtId="2" fontId="28" fillId="0" borderId="2" xfId="0" applyNumberFormat="1" applyFont="1" applyBorder="1" applyAlignment="1">
      <alignment horizontal="center" vertical="center"/>
    </xf>
    <xf numFmtId="0" fontId="23" fillId="0" borderId="0" xfId="0" applyFont="1" applyAlignment="1">
      <alignment wrapText="1"/>
    </xf>
    <xf numFmtId="0" fontId="23" fillId="2" borderId="0" xfId="0" applyFont="1" applyFill="1" applyAlignment="1" applyProtection="1">
      <alignment horizontal="left" vertical="top" wrapText="1"/>
      <protection locked="0"/>
    </xf>
    <xf numFmtId="0" fontId="45" fillId="0" borderId="1" xfId="0" applyFont="1" applyBorder="1" applyAlignment="1">
      <alignment horizontal="right" vertical="top"/>
    </xf>
    <xf numFmtId="2" fontId="95" fillId="0" borderId="0" xfId="1" applyNumberFormat="1" applyFont="1" applyBorder="1" applyAlignment="1" applyProtection="1">
      <alignment horizontal="center"/>
      <protection hidden="1"/>
    </xf>
    <xf numFmtId="2" fontId="95" fillId="0" borderId="160" xfId="1" applyNumberFormat="1" applyFont="1" applyBorder="1" applyAlignment="1" applyProtection="1">
      <alignment horizontal="center"/>
      <protection hidden="1"/>
    </xf>
    <xf numFmtId="0" fontId="0" fillId="0" borderId="0" xfId="0" applyAlignment="1" applyProtection="1">
      <alignment horizontal="center"/>
      <protection hidden="1"/>
    </xf>
    <xf numFmtId="49" fontId="18" fillId="0" borderId="70" xfId="0" applyNumberFormat="1" applyFont="1" applyBorder="1" applyAlignment="1">
      <alignment horizontal="right" vertical="center"/>
    </xf>
    <xf numFmtId="0" fontId="156" fillId="0" borderId="156" xfId="0" applyFont="1" applyBorder="1" applyAlignment="1" applyProtection="1">
      <alignment horizontal="center" vertical="center"/>
      <protection hidden="1"/>
    </xf>
    <xf numFmtId="0" fontId="156" fillId="0" borderId="157" xfId="0" applyFont="1" applyBorder="1" applyAlignment="1" applyProtection="1">
      <alignment horizontal="center" vertical="center"/>
      <protection hidden="1"/>
    </xf>
    <xf numFmtId="0" fontId="156" fillId="0" borderId="158" xfId="0" applyFont="1" applyBorder="1" applyAlignment="1" applyProtection="1">
      <alignment horizontal="center" vertical="center"/>
      <protection hidden="1"/>
    </xf>
    <xf numFmtId="0" fontId="156" fillId="0" borderId="159" xfId="0" applyFont="1" applyBorder="1" applyAlignment="1" applyProtection="1">
      <alignment horizontal="center" vertical="center"/>
      <protection hidden="1"/>
    </xf>
    <xf numFmtId="0" fontId="156" fillId="0" borderId="0" xfId="0" applyFont="1" applyAlignment="1" applyProtection="1">
      <alignment horizontal="center" vertical="center"/>
      <protection hidden="1"/>
    </xf>
    <xf numFmtId="0" fontId="156" fillId="0" borderId="160" xfId="0" applyFont="1" applyBorder="1" applyAlignment="1" applyProtection="1">
      <alignment horizontal="center" vertical="center"/>
      <protection hidden="1"/>
    </xf>
    <xf numFmtId="0" fontId="157" fillId="0" borderId="156" xfId="0" applyFont="1" applyBorder="1" applyAlignment="1" applyProtection="1">
      <alignment horizontal="center" vertical="center"/>
      <protection hidden="1"/>
    </xf>
    <xf numFmtId="0" fontId="157" fillId="0" borderId="157" xfId="0" applyFont="1" applyBorder="1" applyAlignment="1" applyProtection="1">
      <alignment horizontal="center" vertical="center"/>
      <protection hidden="1"/>
    </xf>
    <xf numFmtId="0" fontId="157" fillId="0" borderId="158" xfId="0" applyFont="1" applyBorder="1" applyAlignment="1" applyProtection="1">
      <alignment horizontal="center" vertical="center"/>
      <protection hidden="1"/>
    </xf>
    <xf numFmtId="0" fontId="157" fillId="0" borderId="159" xfId="0" applyFont="1" applyBorder="1" applyAlignment="1" applyProtection="1">
      <alignment horizontal="center" vertical="center"/>
      <protection hidden="1"/>
    </xf>
    <xf numFmtId="0" fontId="157" fillId="0" borderId="0" xfId="0" applyFont="1" applyAlignment="1" applyProtection="1">
      <alignment horizontal="center" vertical="center"/>
      <protection hidden="1"/>
    </xf>
    <xf numFmtId="0" fontId="157" fillId="0" borderId="160" xfId="0" applyFont="1" applyBorder="1" applyAlignment="1" applyProtection="1">
      <alignment horizontal="center" vertical="center"/>
      <protection hidden="1"/>
    </xf>
    <xf numFmtId="180" fontId="0" fillId="0" borderId="0" xfId="0" applyNumberFormat="1" applyProtection="1">
      <protection hidden="1"/>
    </xf>
    <xf numFmtId="0" fontId="112" fillId="0" borderId="0" xfId="0" applyFont="1" applyAlignment="1" applyProtection="1">
      <alignment horizontal="right"/>
      <protection hidden="1"/>
    </xf>
    <xf numFmtId="10" fontId="108" fillId="0" borderId="0" xfId="2" applyNumberFormat="1" applyFont="1" applyBorder="1" applyAlignment="1" applyProtection="1">
      <alignment horizontal="center"/>
      <protection hidden="1"/>
    </xf>
    <xf numFmtId="10" fontId="108" fillId="0" borderId="160" xfId="2" applyNumberFormat="1" applyFont="1" applyBorder="1" applyAlignment="1" applyProtection="1">
      <alignment horizontal="center"/>
      <protection hidden="1"/>
    </xf>
    <xf numFmtId="44" fontId="95" fillId="0" borderId="0" xfId="1" applyFont="1" applyBorder="1" applyAlignment="1" applyProtection="1">
      <alignment horizontal="center"/>
      <protection hidden="1"/>
    </xf>
    <xf numFmtId="44" fontId="95" fillId="0" borderId="160" xfId="1" applyFont="1" applyBorder="1" applyAlignment="1" applyProtection="1">
      <alignment horizontal="center"/>
      <protection hidden="1"/>
    </xf>
    <xf numFmtId="0" fontId="95" fillId="0" borderId="162" xfId="0" applyFont="1" applyBorder="1" applyAlignment="1" applyProtection="1">
      <alignment horizontal="center" vertical="center"/>
      <protection hidden="1"/>
    </xf>
    <xf numFmtId="0" fontId="95" fillId="0" borderId="140" xfId="0" applyFont="1" applyBorder="1" applyAlignment="1" applyProtection="1">
      <alignment horizontal="center" vertical="center"/>
      <protection hidden="1"/>
    </xf>
    <xf numFmtId="0" fontId="95" fillId="0" borderId="163" xfId="0" applyFont="1" applyBorder="1" applyAlignment="1" applyProtection="1">
      <alignment horizontal="center" vertical="center"/>
      <protection hidden="1"/>
    </xf>
    <xf numFmtId="0" fontId="118" fillId="0" borderId="0" xfId="0" applyFont="1" applyAlignment="1">
      <alignment horizontal="center" vertical="top"/>
    </xf>
    <xf numFmtId="0" fontId="2" fillId="0" borderId="0" xfId="0" applyFont="1"/>
    <xf numFmtId="0" fontId="3" fillId="2" borderId="0" xfId="1" applyNumberFormat="1" applyFont="1" applyFill="1" applyAlignment="1" applyProtection="1">
      <alignment horizontal="center" shrinkToFit="1"/>
      <protection locked="0"/>
    </xf>
    <xf numFmtId="0" fontId="119" fillId="0" borderId="0" xfId="0" applyFont="1" applyAlignment="1">
      <alignment horizontal="center"/>
    </xf>
    <xf numFmtId="0" fontId="18" fillId="0" borderId="0" xfId="1" applyNumberFormat="1" applyFont="1" applyAlignment="1">
      <alignment horizontal="left"/>
    </xf>
    <xf numFmtId="14" fontId="3" fillId="2" borderId="0" xfId="1" applyNumberFormat="1" applyFont="1" applyFill="1" applyAlignment="1" applyProtection="1">
      <alignment horizontal="center" shrinkToFit="1"/>
      <protection locked="0"/>
    </xf>
    <xf numFmtId="0" fontId="118" fillId="0" borderId="0" xfId="0" applyFont="1" applyAlignment="1">
      <alignment horizontal="center"/>
    </xf>
    <xf numFmtId="0" fontId="101" fillId="0" borderId="0" xfId="0" applyFont="1" applyAlignment="1">
      <alignment horizontal="center" vertical="top"/>
    </xf>
    <xf numFmtId="49" fontId="2" fillId="0" borderId="0" xfId="0" applyNumberFormat="1" applyFont="1" applyAlignment="1">
      <alignment horizontal="right" vertical="top"/>
    </xf>
    <xf numFmtId="0" fontId="24" fillId="0" borderId="0" xfId="0" applyFont="1" applyAlignment="1">
      <alignment horizontal="left" vertical="top" wrapText="1"/>
    </xf>
    <xf numFmtId="0" fontId="24" fillId="0" borderId="0" xfId="0" applyFont="1" applyAlignment="1">
      <alignment horizontal="left" vertical="top"/>
    </xf>
    <xf numFmtId="0" fontId="13" fillId="0" borderId="0" xfId="0" applyFont="1" applyAlignment="1">
      <alignment horizontal="center" vertical="center" wrapText="1"/>
    </xf>
    <xf numFmtId="0" fontId="13" fillId="0" borderId="0" xfId="0" applyFont="1" applyAlignment="1">
      <alignment horizontal="center" wrapText="1"/>
    </xf>
    <xf numFmtId="0" fontId="44" fillId="0" borderId="0" xfId="0" applyFont="1" applyAlignment="1">
      <alignment horizontal="center" wrapText="1"/>
    </xf>
    <xf numFmtId="0" fontId="18" fillId="0" borderId="0" xfId="0" applyFont="1"/>
    <xf numFmtId="0" fontId="118" fillId="0" borderId="0" xfId="0" applyFont="1" applyAlignment="1">
      <alignment horizontal="center" vertical="center"/>
    </xf>
    <xf numFmtId="0" fontId="44" fillId="0" borderId="0" xfId="0" applyFont="1" applyAlignment="1">
      <alignment horizontal="center" vertical="center"/>
    </xf>
    <xf numFmtId="0" fontId="122" fillId="0" borderId="0" xfId="0" applyFont="1" applyAlignment="1">
      <alignment horizontal="left" vertical="center" indent="2"/>
    </xf>
    <xf numFmtId="0" fontId="119" fillId="0" borderId="0" xfId="0" applyFont="1" applyAlignment="1">
      <alignment horizontal="center" vertical="center" wrapText="1"/>
    </xf>
    <xf numFmtId="0" fontId="42" fillId="0" borderId="0" xfId="0" applyFont="1" applyAlignment="1">
      <alignment horizontal="left" vertical="center"/>
    </xf>
    <xf numFmtId="0" fontId="42" fillId="0" borderId="0" xfId="0" applyFont="1" applyAlignment="1">
      <alignment horizontal="center" vertical="center"/>
    </xf>
    <xf numFmtId="0" fontId="18" fillId="2" borderId="0" xfId="0" applyFont="1" applyFill="1" applyAlignment="1" applyProtection="1">
      <alignment horizontal="left"/>
      <protection locked="0"/>
    </xf>
    <xf numFmtId="0" fontId="18" fillId="2" borderId="0" xfId="0" applyFont="1" applyFill="1" applyAlignment="1" applyProtection="1">
      <alignment horizontal="center"/>
      <protection locked="0"/>
    </xf>
    <xf numFmtId="44" fontId="18" fillId="2" borderId="0" xfId="0" applyNumberFormat="1" applyFont="1" applyFill="1" applyAlignment="1" applyProtection="1">
      <alignment horizontal="center"/>
      <protection locked="0"/>
    </xf>
    <xf numFmtId="0" fontId="123" fillId="0" borderId="0" xfId="0" applyFont="1" applyAlignment="1" applyProtection="1">
      <alignment horizontal="center" vertical="center"/>
      <protection hidden="1"/>
    </xf>
    <xf numFmtId="0" fontId="123" fillId="0" borderId="0" xfId="0" applyFont="1" applyAlignment="1">
      <alignment horizontal="center" vertical="center"/>
    </xf>
    <xf numFmtId="0" fontId="44" fillId="0" borderId="0" xfId="0" applyFont="1" applyAlignment="1">
      <alignment horizontal="center"/>
    </xf>
    <xf numFmtId="0" fontId="110" fillId="0" borderId="0" xfId="0" applyFont="1" applyAlignment="1" applyProtection="1">
      <alignment horizontal="center" vertical="center"/>
      <protection hidden="1"/>
    </xf>
    <xf numFmtId="0" fontId="110" fillId="0" borderId="0" xfId="0" applyFont="1" applyAlignment="1">
      <alignment horizontal="center" vertical="center"/>
    </xf>
    <xf numFmtId="0" fontId="34" fillId="0" borderId="0" xfId="0" applyFont="1" applyAlignment="1">
      <alignment horizontal="center" vertical="top" wrapText="1"/>
    </xf>
    <xf numFmtId="0" fontId="22" fillId="0" borderId="0" xfId="0" quotePrefix="1" applyFont="1" applyAlignment="1">
      <alignment horizontal="left" indent="2"/>
    </xf>
    <xf numFmtId="0" fontId="22" fillId="0" borderId="0" xfId="0" applyFont="1" applyAlignment="1">
      <alignment horizontal="left" indent="2"/>
    </xf>
    <xf numFmtId="44" fontId="30" fillId="0" borderId="0" xfId="0" applyNumberFormat="1" applyFont="1" applyAlignment="1">
      <alignment horizontal="left" vertical="top" indent="4"/>
    </xf>
    <xf numFmtId="0" fontId="95" fillId="0" borderId="0" xfId="0" applyFont="1" applyAlignment="1">
      <alignment horizontal="center" vertical="center"/>
    </xf>
    <xf numFmtId="0" fontId="2" fillId="0" borderId="0" xfId="0" applyFont="1" applyAlignment="1">
      <alignment horizontal="left" vertical="center"/>
    </xf>
    <xf numFmtId="0" fontId="125" fillId="0" borderId="0" xfId="0" applyFont="1" applyAlignment="1" applyProtection="1">
      <alignment horizontal="center" vertical="center"/>
      <protection hidden="1"/>
    </xf>
    <xf numFmtId="0" fontId="125" fillId="0" borderId="0" xfId="0" applyFont="1" applyAlignment="1">
      <alignment horizontal="center" vertical="center"/>
    </xf>
    <xf numFmtId="0" fontId="44" fillId="0" borderId="0" xfId="0" applyFont="1" applyAlignment="1">
      <alignment horizontal="center" vertical="center" wrapText="1"/>
    </xf>
    <xf numFmtId="49" fontId="77" fillId="0" borderId="19" xfId="0" applyNumberFormat="1" applyFont="1" applyBorder="1" applyAlignment="1">
      <alignment horizontal="left" vertical="center" indent="3"/>
    </xf>
    <xf numFmtId="49" fontId="77" fillId="0" borderId="0" xfId="0" applyNumberFormat="1" applyFont="1" applyAlignment="1">
      <alignment horizontal="left" vertical="center" indent="3"/>
    </xf>
    <xf numFmtId="49" fontId="77" fillId="0" borderId="20" xfId="0" applyNumberFormat="1" applyFont="1" applyBorder="1" applyAlignment="1">
      <alignment horizontal="left" vertical="center" indent="3"/>
    </xf>
    <xf numFmtId="49" fontId="77" fillId="0" borderId="21" xfId="0" applyNumberFormat="1" applyFont="1" applyBorder="1" applyAlignment="1">
      <alignment horizontal="left" vertical="center" indent="3"/>
    </xf>
    <xf numFmtId="0" fontId="127" fillId="0" borderId="0" xfId="0" applyFont="1" applyAlignment="1">
      <alignment horizontal="center" vertical="center"/>
    </xf>
    <xf numFmtId="0" fontId="127" fillId="0" borderId="21" xfId="0" applyFont="1" applyBorder="1" applyAlignment="1">
      <alignment horizontal="center" vertical="center"/>
    </xf>
    <xf numFmtId="0" fontId="128" fillId="0" borderId="0" xfId="0" applyFont="1" applyAlignment="1">
      <alignment horizontal="left" vertical="center" wrapText="1" indent="1"/>
    </xf>
    <xf numFmtId="0" fontId="128" fillId="0" borderId="64" xfId="0" applyFont="1" applyBorder="1" applyAlignment="1">
      <alignment horizontal="left" vertical="center" wrapText="1" indent="1"/>
    </xf>
    <xf numFmtId="0" fontId="128" fillId="0" borderId="21" xfId="0" applyFont="1" applyBorder="1" applyAlignment="1">
      <alignment horizontal="left" vertical="center" wrapText="1" indent="1"/>
    </xf>
    <xf numFmtId="0" fontId="128" fillId="0" borderId="22" xfId="0" applyFont="1" applyBorder="1" applyAlignment="1">
      <alignment horizontal="left" vertical="center" wrapText="1" indent="1"/>
    </xf>
    <xf numFmtId="0" fontId="18" fillId="0" borderId="0" xfId="0" applyFont="1" applyAlignment="1">
      <alignment horizontal="left" vertical="center" wrapText="1" indent="1"/>
    </xf>
    <xf numFmtId="0" fontId="8" fillId="0" borderId="0" xfId="0" applyFont="1" applyAlignment="1">
      <alignment horizontal="left"/>
    </xf>
    <xf numFmtId="0" fontId="95" fillId="0" borderId="0" xfId="0" applyFont="1" applyAlignment="1">
      <alignment horizontal="left" vertical="center" indent="1"/>
    </xf>
    <xf numFmtId="49" fontId="111" fillId="0" borderId="17" xfId="0" applyNumberFormat="1" applyFont="1" applyBorder="1" applyAlignment="1">
      <alignment horizontal="center" vertical="center"/>
    </xf>
    <xf numFmtId="49" fontId="111" fillId="0" borderId="18" xfId="0" applyNumberFormat="1" applyFont="1" applyBorder="1" applyAlignment="1">
      <alignment horizontal="center" vertical="center"/>
    </xf>
    <xf numFmtId="49" fontId="39" fillId="0" borderId="18" xfId="0" applyNumberFormat="1" applyFont="1" applyBorder="1" applyAlignment="1">
      <alignment vertical="center"/>
    </xf>
    <xf numFmtId="49" fontId="39" fillId="0" borderId="65" xfId="0" applyNumberFormat="1" applyFont="1" applyBorder="1" applyAlignment="1">
      <alignment vertical="center"/>
    </xf>
    <xf numFmtId="0" fontId="104" fillId="0" borderId="0" xfId="0" applyFont="1" applyAlignment="1">
      <alignment horizontal="center" vertical="center"/>
    </xf>
    <xf numFmtId="44" fontId="3" fillId="0" borderId="3" xfId="0" applyNumberFormat="1" applyFont="1" applyBorder="1" applyAlignment="1">
      <alignment horizontal="left" shrinkToFit="1"/>
    </xf>
    <xf numFmtId="0" fontId="83" fillId="0" borderId="0" xfId="0" applyFont="1" applyAlignment="1">
      <alignment horizontal="center"/>
    </xf>
    <xf numFmtId="44" fontId="2" fillId="0" borderId="3" xfId="0" applyNumberFormat="1" applyFont="1" applyBorder="1" applyAlignment="1">
      <alignment horizontal="left" shrinkToFit="1"/>
    </xf>
    <xf numFmtId="0" fontId="2" fillId="0" borderId="0" xfId="0" quotePrefix="1" applyFont="1"/>
    <xf numFmtId="44" fontId="24" fillId="2" borderId="3" xfId="0" applyNumberFormat="1" applyFont="1" applyFill="1" applyBorder="1" applyAlignment="1" applyProtection="1">
      <alignment horizontal="left" shrinkToFit="1"/>
      <protection locked="0"/>
    </xf>
    <xf numFmtId="0" fontId="0" fillId="0" borderId="0" xfId="0" applyAlignment="1">
      <alignment horizontal="center" vertical="center"/>
    </xf>
    <xf numFmtId="0" fontId="8" fillId="0" borderId="0" xfId="0" applyFont="1"/>
    <xf numFmtId="44" fontId="3" fillId="0" borderId="4" xfId="0" applyNumberFormat="1" applyFont="1" applyBorder="1" applyAlignment="1">
      <alignment horizontal="left" shrinkToFit="1"/>
    </xf>
    <xf numFmtId="0" fontId="22" fillId="0" borderId="0" xfId="0" applyFont="1" applyAlignment="1">
      <alignment horizontal="left" vertical="center" wrapText="1"/>
    </xf>
    <xf numFmtId="0" fontId="109" fillId="0" borderId="0" xfId="0" applyFont="1" applyAlignment="1">
      <alignment horizontal="right"/>
    </xf>
    <xf numFmtId="0" fontId="18" fillId="2" borderId="1" xfId="0" applyFont="1" applyFill="1" applyBorder="1" applyAlignment="1" applyProtection="1">
      <alignment horizontal="center"/>
      <protection locked="0"/>
    </xf>
    <xf numFmtId="0" fontId="22" fillId="0" borderId="0" xfId="0" applyFont="1" applyAlignment="1">
      <alignment horizontal="left" vertical="center" shrinkToFit="1"/>
    </xf>
    <xf numFmtId="0" fontId="34" fillId="0" borderId="0" xfId="0" applyFont="1" applyAlignment="1">
      <alignment horizontal="center" vertical="center" wrapText="1"/>
    </xf>
    <xf numFmtId="49" fontId="3" fillId="0" borderId="0" xfId="0" applyNumberFormat="1" applyFont="1" applyAlignment="1">
      <alignment horizontal="left" vertical="top" wrapText="1"/>
    </xf>
    <xf numFmtId="49" fontId="9" fillId="0" borderId="0" xfId="0" applyNumberFormat="1" applyFont="1" applyAlignment="1">
      <alignment horizontal="center" vertical="center" wrapText="1"/>
    </xf>
    <xf numFmtId="49" fontId="0" fillId="2" borderId="0" xfId="0" applyNumberFormat="1" applyFill="1" applyProtection="1">
      <protection locked="0"/>
    </xf>
    <xf numFmtId="49" fontId="3" fillId="0" borderId="0" xfId="0" applyNumberFormat="1" applyFont="1" applyAlignment="1">
      <alignment vertical="top" wrapText="1"/>
    </xf>
    <xf numFmtId="49" fontId="13" fillId="2" borderId="0" xfId="0" applyNumberFormat="1" applyFont="1" applyFill="1" applyAlignment="1" applyProtection="1">
      <alignment horizontal="left"/>
      <protection locked="0"/>
    </xf>
    <xf numFmtId="49" fontId="17" fillId="0" borderId="0" xfId="0" applyNumberFormat="1" applyFont="1" applyAlignment="1">
      <alignment horizontal="left" vertical="top"/>
    </xf>
    <xf numFmtId="49" fontId="36" fillId="0" borderId="0" xfId="0" applyNumberFormat="1" applyFont="1" applyAlignment="1">
      <alignment horizontal="left" indent="3"/>
    </xf>
    <xf numFmtId="0" fontId="36" fillId="0" borderId="0" xfId="1" quotePrefix="1" applyNumberFormat="1" applyFont="1" applyAlignment="1">
      <alignment horizontal="left" vertical="top" wrapText="1" indent="3"/>
    </xf>
    <xf numFmtId="49" fontId="21" fillId="0" borderId="0" xfId="0" applyNumberFormat="1" applyFont="1" applyAlignment="1">
      <alignment vertical="center"/>
    </xf>
    <xf numFmtId="44" fontId="31" fillId="0" borderId="0" xfId="1" applyFont="1" applyAlignment="1" applyProtection="1">
      <alignment horizontal="center" vertical="center"/>
      <protection locked="0"/>
    </xf>
    <xf numFmtId="10" fontId="77" fillId="0" borderId="0" xfId="2" applyNumberFormat="1" applyFont="1" applyAlignment="1">
      <alignment horizontal="center" vertical="center" shrinkToFit="1"/>
    </xf>
    <xf numFmtId="0" fontId="3" fillId="0" borderId="0" xfId="1" applyNumberFormat="1" applyFont="1" applyAlignment="1">
      <alignment horizontal="center" vertical="center"/>
    </xf>
    <xf numFmtId="44" fontId="8" fillId="0" borderId="4" xfId="0" applyNumberFormat="1" applyFont="1" applyBorder="1" applyAlignment="1">
      <alignment horizontal="center" vertical="center"/>
    </xf>
    <xf numFmtId="0" fontId="8" fillId="0" borderId="4" xfId="0" applyFont="1" applyBorder="1" applyAlignment="1">
      <alignment horizontal="center" vertical="center"/>
    </xf>
    <xf numFmtId="0" fontId="3" fillId="0" borderId="0" xfId="1" applyNumberFormat="1" applyFont="1" applyAlignment="1">
      <alignment horizontal="left" vertical="center"/>
    </xf>
    <xf numFmtId="49" fontId="8" fillId="0" borderId="0" xfId="0" applyNumberFormat="1" applyFont="1" applyAlignment="1">
      <alignment horizontal="center" vertical="center"/>
    </xf>
    <xf numFmtId="0" fontId="21" fillId="0" borderId="0" xfId="0" applyFont="1" applyAlignment="1">
      <alignment horizontal="left" vertical="center"/>
    </xf>
    <xf numFmtId="0" fontId="3" fillId="0" borderId="0" xfId="0" applyFont="1" applyAlignment="1">
      <alignment vertical="top" wrapText="1"/>
    </xf>
    <xf numFmtId="0" fontId="13" fillId="6" borderId="67" xfId="0" applyFont="1" applyFill="1" applyBorder="1" applyAlignment="1">
      <alignment horizontal="left" vertical="top" wrapText="1" indent="1"/>
    </xf>
    <xf numFmtId="0" fontId="13" fillId="6" borderId="3" xfId="0" applyFont="1" applyFill="1" applyBorder="1" applyAlignment="1">
      <alignment horizontal="left" vertical="top" wrapText="1" indent="1"/>
    </xf>
    <xf numFmtId="0" fontId="13" fillId="6" borderId="37" xfId="0" applyFont="1" applyFill="1" applyBorder="1" applyAlignment="1">
      <alignment horizontal="left" vertical="top" wrapText="1" indent="1"/>
    </xf>
    <xf numFmtId="0" fontId="0" fillId="0" borderId="71" xfId="0" applyBorder="1" applyAlignment="1">
      <alignment horizontal="right"/>
    </xf>
    <xf numFmtId="0" fontId="0" fillId="0" borderId="0" xfId="0"/>
    <xf numFmtId="0" fontId="0" fillId="0" borderId="70" xfId="0" applyBorder="1"/>
    <xf numFmtId="0" fontId="10" fillId="0" borderId="71" xfId="0" applyFont="1" applyBorder="1" applyAlignment="1">
      <alignment horizontal="left" indent="1" shrinkToFit="1"/>
    </xf>
    <xf numFmtId="0" fontId="10" fillId="0" borderId="0" xfId="0" applyFont="1" applyAlignment="1">
      <alignment horizontal="left" indent="1" shrinkToFit="1"/>
    </xf>
    <xf numFmtId="0" fontId="10" fillId="0" borderId="70" xfId="0" applyFont="1" applyBorder="1" applyAlignment="1">
      <alignment horizontal="left" indent="1" shrinkToFit="1"/>
    </xf>
    <xf numFmtId="0" fontId="0" fillId="0" borderId="71" xfId="0" applyBorder="1" applyAlignment="1">
      <alignment horizontal="left" indent="1"/>
    </xf>
    <xf numFmtId="0" fontId="0" fillId="0" borderId="0" xfId="0" applyAlignment="1">
      <alignment horizontal="left" indent="1"/>
    </xf>
    <xf numFmtId="0" fontId="0" fillId="0" borderId="70" xfId="0" applyBorder="1" applyAlignment="1">
      <alignment horizontal="left" indent="1"/>
    </xf>
    <xf numFmtId="0" fontId="13" fillId="0" borderId="77" xfId="0" applyFont="1" applyBorder="1" applyAlignment="1">
      <alignment horizontal="left" indent="1"/>
    </xf>
    <xf numFmtId="0" fontId="13" fillId="0" borderId="2" xfId="0" applyFont="1" applyBorder="1" applyAlignment="1">
      <alignment horizontal="left" indent="1"/>
    </xf>
    <xf numFmtId="0" fontId="13" fillId="0" borderId="0" xfId="0" applyFont="1" applyAlignment="1">
      <alignment horizontal="center" vertical="center" shrinkToFit="1"/>
    </xf>
    <xf numFmtId="49" fontId="2" fillId="0" borderId="0" xfId="0" applyNumberFormat="1" applyFont="1" applyAlignment="1">
      <alignment horizontal="center" vertical="center"/>
    </xf>
    <xf numFmtId="44" fontId="3" fillId="0" borderId="2" xfId="1" applyFont="1" applyBorder="1" applyAlignment="1" applyProtection="1">
      <alignment horizontal="center" vertical="center"/>
    </xf>
    <xf numFmtId="44" fontId="3" fillId="0" borderId="15" xfId="1" applyFont="1" applyBorder="1" applyAlignment="1" applyProtection="1">
      <alignment horizontal="center" vertical="center"/>
    </xf>
    <xf numFmtId="0" fontId="155" fillId="0" borderId="117" xfId="0" applyFont="1" applyBorder="1" applyAlignment="1">
      <alignment horizontal="center" vertical="center" wrapText="1"/>
    </xf>
    <xf numFmtId="0" fontId="155" fillId="0" borderId="104" xfId="0" applyFont="1" applyBorder="1" applyAlignment="1">
      <alignment horizontal="center" vertical="center" wrapText="1"/>
    </xf>
    <xf numFmtId="0" fontId="155" fillId="0" borderId="119" xfId="0" applyFont="1" applyBorder="1" applyAlignment="1">
      <alignment horizontal="center" vertical="center" wrapText="1"/>
    </xf>
    <xf numFmtId="0" fontId="155" fillId="0" borderId="120" xfId="0" applyFont="1" applyBorder="1" applyAlignment="1">
      <alignment horizontal="center" vertical="center" wrapText="1"/>
    </xf>
    <xf numFmtId="0" fontId="3" fillId="0" borderId="0" xfId="0" applyFont="1" applyAlignment="1">
      <alignment horizontal="left" vertical="center"/>
    </xf>
    <xf numFmtId="0" fontId="71" fillId="0" borderId="0" xfId="0" applyFont="1" applyAlignment="1">
      <alignment horizontal="center" vertical="center" wrapText="1" shrinkToFit="1"/>
    </xf>
    <xf numFmtId="0" fontId="71" fillId="0" borderId="0" xfId="0" applyFont="1" applyAlignment="1">
      <alignment horizontal="center" vertical="center" shrinkToFit="1"/>
    </xf>
    <xf numFmtId="0" fontId="3" fillId="0" borderId="0" xfId="0" applyFont="1" applyAlignment="1">
      <alignment vertical="center"/>
    </xf>
    <xf numFmtId="0" fontId="44" fillId="0" borderId="0" xfId="0" quotePrefix="1" applyFont="1" applyAlignment="1">
      <alignment horizontal="left" vertical="center" wrapText="1" indent="1"/>
    </xf>
    <xf numFmtId="0" fontId="44" fillId="0" borderId="0" xfId="0" applyFont="1" applyAlignment="1">
      <alignment horizontal="left" vertical="center" indent="1"/>
    </xf>
    <xf numFmtId="44" fontId="112" fillId="0" borderId="0" xfId="0" applyNumberFormat="1" applyFont="1" applyAlignment="1">
      <alignment horizontal="center" vertical="top"/>
    </xf>
    <xf numFmtId="0" fontId="143" fillId="0" borderId="104" xfId="0" applyFont="1" applyBorder="1" applyAlignment="1">
      <alignment horizontal="center" vertical="center"/>
    </xf>
    <xf numFmtId="0" fontId="143" fillId="0" borderId="120" xfId="0" applyFont="1" applyBorder="1" applyAlignment="1">
      <alignment horizontal="center" vertical="center"/>
    </xf>
    <xf numFmtId="44" fontId="112" fillId="0" borderId="0" xfId="0" applyNumberFormat="1" applyFont="1" applyAlignment="1">
      <alignment horizontal="left" vertical="top" wrapText="1"/>
    </xf>
    <xf numFmtId="44" fontId="112" fillId="0" borderId="0" xfId="0" applyNumberFormat="1" applyFont="1" applyAlignment="1">
      <alignment horizontal="left" vertical="top"/>
    </xf>
    <xf numFmtId="44" fontId="143" fillId="0" borderId="104" xfId="1" applyFont="1" applyBorder="1" applyAlignment="1" applyProtection="1">
      <alignment horizontal="left" vertical="center" indent="1"/>
    </xf>
    <xf numFmtId="44" fontId="143" fillId="0" borderId="118" xfId="1" applyFont="1" applyBorder="1" applyAlignment="1" applyProtection="1">
      <alignment horizontal="left" vertical="center" indent="1"/>
    </xf>
    <xf numFmtId="44" fontId="143" fillId="0" borderId="120" xfId="1" applyFont="1" applyBorder="1" applyAlignment="1" applyProtection="1">
      <alignment horizontal="left" vertical="center" indent="1"/>
    </xf>
    <xf numFmtId="44" fontId="143" fillId="0" borderId="121" xfId="1" applyFont="1" applyBorder="1" applyAlignment="1" applyProtection="1">
      <alignment horizontal="left" vertical="center" indent="1"/>
    </xf>
    <xf numFmtId="44" fontId="44" fillId="0" borderId="0" xfId="1" applyFont="1" applyFill="1" applyAlignment="1" applyProtection="1">
      <alignment horizontal="center" vertical="top"/>
    </xf>
    <xf numFmtId="44" fontId="44" fillId="0" borderId="0" xfId="1" applyFont="1" applyFill="1" applyBorder="1" applyAlignment="1" applyProtection="1">
      <alignment horizontal="center" vertical="top"/>
    </xf>
    <xf numFmtId="0" fontId="0" fillId="0" borderId="0" xfId="0" quotePrefix="1"/>
    <xf numFmtId="44" fontId="3" fillId="0" borderId="1" xfId="1" applyFont="1" applyBorder="1" applyAlignment="1" applyProtection="1">
      <alignment horizontal="center"/>
    </xf>
    <xf numFmtId="0" fontId="9" fillId="0" borderId="0" xfId="0" applyFont="1" applyAlignment="1">
      <alignment horizontal="left" vertical="top"/>
    </xf>
    <xf numFmtId="44" fontId="3" fillId="2" borderId="1" xfId="1" applyFont="1" applyFill="1" applyBorder="1" applyAlignment="1" applyProtection="1">
      <alignment horizontal="left"/>
      <protection locked="0"/>
    </xf>
    <xf numFmtId="0" fontId="9" fillId="0" borderId="0" xfId="0" applyFont="1" applyAlignment="1">
      <alignment horizontal="left" vertical="top" wrapText="1"/>
    </xf>
    <xf numFmtId="0" fontId="7" fillId="0" borderId="0" xfId="0" applyFont="1"/>
    <xf numFmtId="0" fontId="51" fillId="0" borderId="0" xfId="0" applyFont="1" applyAlignment="1">
      <alignment horizontal="left" indent="2"/>
    </xf>
    <xf numFmtId="0" fontId="0" fillId="0" borderId="0" xfId="0" applyAlignment="1">
      <alignment horizontal="left" vertical="top" wrapText="1" indent="2"/>
    </xf>
    <xf numFmtId="0" fontId="0" fillId="0" borderId="0" xfId="0" applyAlignment="1">
      <alignment horizontal="left" indent="2"/>
    </xf>
    <xf numFmtId="0" fontId="0" fillId="0" borderId="0" xfId="0" applyAlignment="1">
      <alignment horizontal="left" indent="3"/>
    </xf>
    <xf numFmtId="0" fontId="13" fillId="0" borderId="0" xfId="0" applyFont="1"/>
    <xf numFmtId="44" fontId="3" fillId="2" borderId="3" xfId="0" applyNumberFormat="1" applyFont="1" applyFill="1" applyBorder="1" applyAlignment="1" applyProtection="1">
      <alignment horizontal="center"/>
      <protection locked="0"/>
    </xf>
    <xf numFmtId="44" fontId="3" fillId="0" borderId="0" xfId="0" applyNumberFormat="1" applyFont="1" applyAlignment="1">
      <alignment horizontal="center"/>
    </xf>
    <xf numFmtId="0" fontId="23" fillId="0" borderId="0" xfId="0" applyFont="1" applyAlignment="1">
      <alignment horizontal="center"/>
    </xf>
    <xf numFmtId="44" fontId="25" fillId="0" borderId="0" xfId="0" applyNumberFormat="1" applyFont="1"/>
    <xf numFmtId="49" fontId="3" fillId="0" borderId="0" xfId="0" applyNumberFormat="1" applyFont="1" applyAlignment="1">
      <alignment horizontal="left" wrapText="1" indent="2"/>
    </xf>
    <xf numFmtId="49" fontId="3" fillId="0" borderId="0" xfId="0" applyNumberFormat="1" applyFont="1" applyAlignment="1">
      <alignment horizontal="left" vertical="center" wrapText="1" indent="1"/>
    </xf>
    <xf numFmtId="49" fontId="3" fillId="0" borderId="0" xfId="0" applyNumberFormat="1" applyFont="1" applyAlignment="1">
      <alignment horizontal="left" vertical="center" wrapText="1" indent="2"/>
    </xf>
    <xf numFmtId="49" fontId="3" fillId="0" borderId="0" xfId="0" applyNumberFormat="1" applyFont="1" applyAlignment="1">
      <alignment horizontal="left" vertical="center" wrapText="1" indent="7"/>
    </xf>
    <xf numFmtId="0" fontId="71" fillId="0" borderId="0" xfId="0" applyFont="1" applyAlignment="1">
      <alignment horizontal="left" vertical="center" indent="1"/>
    </xf>
    <xf numFmtId="0" fontId="28" fillId="0" borderId="0" xfId="0" applyFont="1" applyAlignment="1">
      <alignment horizontal="center" vertical="center"/>
    </xf>
    <xf numFmtId="49" fontId="3" fillId="2" borderId="1" xfId="0" applyNumberFormat="1" applyFont="1" applyFill="1" applyBorder="1" applyAlignment="1" applyProtection="1">
      <alignment wrapText="1"/>
      <protection locked="0"/>
    </xf>
    <xf numFmtId="0" fontId="31" fillId="0" borderId="0" xfId="0" applyFont="1" applyAlignment="1" applyProtection="1">
      <alignment horizontal="center" vertical="center" wrapText="1" shrinkToFit="1"/>
      <protection hidden="1"/>
    </xf>
    <xf numFmtId="49" fontId="3" fillId="0" borderId="0" xfId="0" applyNumberFormat="1" applyFont="1" applyAlignment="1">
      <alignment horizontal="center" vertical="center" wrapText="1"/>
    </xf>
    <xf numFmtId="49" fontId="71" fillId="0" borderId="0" xfId="0" applyNumberFormat="1" applyFont="1" applyAlignment="1">
      <alignment horizontal="left" vertical="center" indent="1"/>
    </xf>
    <xf numFmtId="0" fontId="21" fillId="0" borderId="0" xfId="0" applyFont="1" applyAlignment="1" applyProtection="1">
      <alignment horizontal="left"/>
      <protection hidden="1"/>
    </xf>
    <xf numFmtId="0" fontId="3" fillId="2" borderId="3" xfId="0" applyFont="1" applyFill="1" applyBorder="1" applyAlignment="1" applyProtection="1">
      <alignment horizontal="center" shrinkToFit="1"/>
      <protection locked="0"/>
    </xf>
    <xf numFmtId="0" fontId="53" fillId="0" borderId="0" xfId="1" applyNumberFormat="1" applyFont="1" applyAlignment="1" applyProtection="1">
      <alignment horizontal="center" vertical="center" wrapText="1"/>
    </xf>
    <xf numFmtId="44" fontId="3" fillId="0" borderId="4" xfId="0" applyNumberFormat="1" applyFont="1" applyBorder="1" applyAlignment="1">
      <alignment horizontal="center" vertical="center"/>
    </xf>
    <xf numFmtId="0" fontId="104" fillId="0" borderId="0" xfId="0" applyFont="1" applyAlignment="1">
      <alignment horizontal="center" vertical="center" wrapText="1"/>
    </xf>
    <xf numFmtId="0" fontId="71" fillId="0" borderId="0" xfId="1" applyNumberFormat="1" applyFont="1" applyAlignment="1" applyProtection="1">
      <alignment horizontal="left" vertical="center" indent="1"/>
    </xf>
    <xf numFmtId="0" fontId="0" fillId="0" borderId="0" xfId="0" applyAlignment="1">
      <alignment horizontal="left" vertical="top" wrapText="1"/>
    </xf>
    <xf numFmtId="49" fontId="0" fillId="0" borderId="0" xfId="0" applyNumberFormat="1" applyAlignment="1">
      <alignment horizontal="left"/>
    </xf>
    <xf numFmtId="0" fontId="2" fillId="0" borderId="0" xfId="0" applyFont="1" applyAlignment="1">
      <alignment horizontal="center"/>
    </xf>
    <xf numFmtId="0" fontId="24" fillId="0" borderId="0" xfId="0" applyFont="1" applyAlignment="1">
      <alignment horizontal="center"/>
    </xf>
    <xf numFmtId="0" fontId="3" fillId="0" borderId="0" xfId="1" applyNumberFormat="1" applyFont="1" applyAlignment="1">
      <alignment horizontal="center"/>
    </xf>
    <xf numFmtId="0" fontId="17" fillId="0" borderId="0" xfId="0" applyFont="1" applyAlignment="1">
      <alignment horizontal="center" vertical="center"/>
    </xf>
    <xf numFmtId="2" fontId="77" fillId="0" borderId="0" xfId="1" applyNumberFormat="1" applyFont="1" applyBorder="1" applyAlignment="1">
      <alignment horizontal="left" vertical="center" indent="1"/>
    </xf>
    <xf numFmtId="0" fontId="0" fillId="2" borderId="0" xfId="0" applyFill="1" applyAlignment="1" applyProtection="1">
      <alignment horizontal="left" wrapText="1"/>
      <protection locked="0"/>
    </xf>
    <xf numFmtId="49" fontId="3" fillId="0" borderId="0" xfId="0" applyNumberFormat="1" applyFont="1" applyAlignment="1">
      <alignment vertical="center" wrapText="1"/>
    </xf>
    <xf numFmtId="44" fontId="27" fillId="0" borderId="0" xfId="1" applyFont="1" applyAlignment="1">
      <alignment horizontal="center" vertical="top"/>
    </xf>
    <xf numFmtId="49" fontId="3" fillId="0" borderId="0" xfId="0" applyNumberFormat="1" applyFont="1" applyAlignment="1">
      <alignment horizontal="left"/>
    </xf>
    <xf numFmtId="0" fontId="13" fillId="0" borderId="0" xfId="1" applyNumberFormat="1" applyFont="1" applyAlignment="1">
      <alignment vertical="top"/>
    </xf>
    <xf numFmtId="0" fontId="13" fillId="0" borderId="0" xfId="1" applyNumberFormat="1" applyFont="1" applyAlignment="1">
      <alignment vertical="top" wrapText="1"/>
    </xf>
    <xf numFmtId="44" fontId="3" fillId="2" borderId="3" xfId="1" applyFont="1" applyFill="1" applyBorder="1" applyAlignment="1" applyProtection="1">
      <alignment horizontal="left" shrinkToFit="1"/>
      <protection locked="0"/>
    </xf>
    <xf numFmtId="44" fontId="2" fillId="0" borderId="0" xfId="1" applyFont="1" applyBorder="1" applyAlignment="1" applyProtection="1">
      <alignment horizontal="center"/>
    </xf>
    <xf numFmtId="44" fontId="18" fillId="0" borderId="3" xfId="1" applyFont="1" applyBorder="1" applyAlignment="1" applyProtection="1">
      <alignment horizontal="center" vertical="center" wrapText="1"/>
    </xf>
    <xf numFmtId="169" fontId="25" fillId="0" borderId="0" xfId="0" applyNumberFormat="1" applyFont="1" applyAlignment="1" applyProtection="1">
      <alignment shrinkToFit="1"/>
      <protection hidden="1"/>
    </xf>
    <xf numFmtId="0" fontId="109" fillId="0" borderId="0" xfId="0" applyFont="1" applyAlignment="1">
      <alignment shrinkToFit="1"/>
    </xf>
    <xf numFmtId="0" fontId="109" fillId="0" borderId="0" xfId="0" applyFont="1" applyAlignment="1">
      <alignment horizontal="center"/>
    </xf>
    <xf numFmtId="0" fontId="2" fillId="0" borderId="0" xfId="0" applyFont="1" applyAlignment="1">
      <alignment horizontal="left"/>
    </xf>
    <xf numFmtId="0" fontId="3" fillId="2" borderId="1" xfId="0" applyFont="1" applyFill="1" applyBorder="1" applyAlignment="1" applyProtection="1">
      <alignment horizontal="center"/>
      <protection locked="0"/>
    </xf>
    <xf numFmtId="0" fontId="2" fillId="0" borderId="0" xfId="0" applyFont="1" applyAlignment="1">
      <alignment vertical="center"/>
    </xf>
    <xf numFmtId="0" fontId="19" fillId="0" borderId="2" xfId="0" applyFont="1" applyBorder="1" applyAlignment="1" applyProtection="1">
      <alignment horizontal="center" vertical="center"/>
      <protection hidden="1"/>
    </xf>
    <xf numFmtId="0" fontId="45" fillId="0" borderId="0" xfId="0" applyFont="1" applyAlignment="1">
      <alignment horizontal="left" vertical="top"/>
    </xf>
    <xf numFmtId="44" fontId="2" fillId="0" borderId="3" xfId="1" applyFont="1" applyBorder="1" applyAlignment="1" applyProtection="1">
      <alignment horizontal="center" vertical="center"/>
    </xf>
    <xf numFmtId="169" fontId="109" fillId="0" borderId="0" xfId="0" applyNumberFormat="1" applyFont="1" applyAlignment="1">
      <alignment shrinkToFit="1"/>
    </xf>
    <xf numFmtId="0" fontId="109" fillId="0" borderId="0" xfId="0" applyFont="1" applyAlignment="1">
      <alignment horizontal="center" shrinkToFit="1"/>
    </xf>
    <xf numFmtId="0" fontId="109" fillId="0" borderId="0" xfId="0" applyFont="1" applyAlignment="1">
      <alignment horizontal="center" vertical="center"/>
    </xf>
    <xf numFmtId="0" fontId="7" fillId="0" borderId="2" xfId="0" applyFont="1" applyBorder="1" applyAlignment="1">
      <alignment horizontal="center" vertical="top" shrinkToFit="1"/>
    </xf>
    <xf numFmtId="0" fontId="152" fillId="0" borderId="0" xfId="4" applyFont="1" applyAlignment="1" applyProtection="1">
      <alignment vertical="top"/>
    </xf>
    <xf numFmtId="0" fontId="3" fillId="2" borderId="0" xfId="0" applyFont="1" applyFill="1" applyAlignment="1" applyProtection="1">
      <alignment horizontal="left" vertical="top" wrapText="1"/>
      <protection locked="0"/>
    </xf>
    <xf numFmtId="0" fontId="19" fillId="0" borderId="0" xfId="0" applyFont="1" applyProtection="1">
      <protection hidden="1"/>
    </xf>
    <xf numFmtId="44" fontId="8" fillId="0" borderId="4" xfId="1" applyFont="1" applyBorder="1" applyAlignment="1" applyProtection="1">
      <alignment horizontal="center" vertical="center"/>
    </xf>
    <xf numFmtId="0" fontId="8" fillId="0" borderId="82" xfId="0" applyFont="1" applyBorder="1" applyAlignment="1">
      <alignment horizontal="right" vertical="center"/>
    </xf>
    <xf numFmtId="0" fontId="8" fillId="0" borderId="0" xfId="0" applyFont="1" applyAlignment="1">
      <alignment horizontal="right" vertical="center"/>
    </xf>
    <xf numFmtId="0" fontId="7" fillId="0" borderId="84" xfId="0" applyFont="1" applyBorder="1" applyAlignment="1">
      <alignment horizontal="center"/>
    </xf>
    <xf numFmtId="0" fontId="7" fillId="0" borderId="15" xfId="0" applyFont="1" applyBorder="1" applyAlignment="1">
      <alignment horizontal="center"/>
    </xf>
    <xf numFmtId="0" fontId="7" fillId="0" borderId="85" xfId="0" applyFont="1" applyBorder="1" applyAlignment="1">
      <alignment horizontal="center"/>
    </xf>
    <xf numFmtId="0" fontId="44" fillId="0" borderId="14" xfId="0" applyFont="1" applyBorder="1" applyAlignment="1">
      <alignment horizontal="center"/>
    </xf>
    <xf numFmtId="0" fontId="150" fillId="0" borderId="0" xfId="4" applyAlignment="1" applyProtection="1">
      <alignment horizontal="left" vertical="top" shrinkToFit="1"/>
      <protection locked="0"/>
    </xf>
    <xf numFmtId="44" fontId="3" fillId="0" borderId="4" xfId="1" applyFont="1" applyBorder="1" applyAlignment="1" applyProtection="1">
      <alignment horizontal="center" vertical="center"/>
    </xf>
    <xf numFmtId="0" fontId="19" fillId="0" borderId="0" xfId="0" applyFont="1" applyAlignment="1">
      <alignment horizontal="center"/>
    </xf>
    <xf numFmtId="0" fontId="15" fillId="0" borderId="0" xfId="0" applyFont="1" applyAlignment="1">
      <alignment horizontal="right" vertical="center"/>
    </xf>
    <xf numFmtId="0" fontId="16" fillId="0" borderId="0" xfId="0" applyFont="1" applyAlignment="1">
      <alignment vertical="center"/>
    </xf>
    <xf numFmtId="2" fontId="0" fillId="0" borderId="0" xfId="0" applyNumberFormat="1" applyAlignment="1">
      <alignment horizontal="left"/>
    </xf>
    <xf numFmtId="2" fontId="0" fillId="0" borderId="1" xfId="0" applyNumberFormat="1" applyBorder="1" applyAlignment="1">
      <alignment horizontal="left"/>
    </xf>
    <xf numFmtId="0" fontId="0" fillId="0" borderId="0" xfId="0" applyAlignment="1">
      <alignment horizontal="left"/>
    </xf>
    <xf numFmtId="0" fontId="29" fillId="0" borderId="0" xfId="0" applyFont="1" applyAlignment="1">
      <alignment horizontal="center" vertical="center"/>
    </xf>
    <xf numFmtId="0" fontId="29" fillId="0" borderId="21" xfId="0" applyFont="1" applyBorder="1" applyAlignment="1">
      <alignment horizontal="center"/>
    </xf>
    <xf numFmtId="0" fontId="0" fillId="0" borderId="0" xfId="0" applyAlignment="1">
      <alignment horizontal="center" wrapText="1"/>
    </xf>
    <xf numFmtId="0" fontId="0" fillId="6" borderId="0" xfId="0" applyFill="1" applyAlignment="1">
      <alignment horizontal="center" vertical="center"/>
    </xf>
    <xf numFmtId="0" fontId="0" fillId="0" borderId="0" xfId="0" applyAlignment="1">
      <alignment horizontal="center" vertical="center" wrapText="1"/>
    </xf>
    <xf numFmtId="49" fontId="3" fillId="2" borderId="1" xfId="0" applyNumberFormat="1" applyFont="1" applyFill="1" applyBorder="1" applyAlignment="1" applyProtection="1">
      <alignment horizontal="left"/>
      <protection locked="0"/>
    </xf>
    <xf numFmtId="0" fontId="5" fillId="0" borderId="0" xfId="0" applyFont="1" applyAlignment="1">
      <alignment horizontal="left" vertical="top" indent="6"/>
    </xf>
    <xf numFmtId="0" fontId="95" fillId="0" borderId="0" xfId="0" applyFont="1" applyAlignment="1">
      <alignment horizontal="center" vertical="top" wrapText="1"/>
    </xf>
    <xf numFmtId="0" fontId="95" fillId="0" borderId="0" xfId="0" applyFont="1" applyAlignment="1">
      <alignment horizontal="center"/>
    </xf>
    <xf numFmtId="0" fontId="18" fillId="0" borderId="0" xfId="0" applyFont="1" applyAlignment="1">
      <alignment horizontal="center" vertical="center"/>
    </xf>
    <xf numFmtId="0" fontId="71" fillId="0" borderId="0" xfId="0" applyFont="1" applyAlignment="1">
      <alignment horizontal="left" vertical="center" indent="6"/>
    </xf>
    <xf numFmtId="44" fontId="3" fillId="0" borderId="15" xfId="1" applyFont="1" applyBorder="1" applyAlignment="1">
      <alignment horizontal="center" vertical="center"/>
    </xf>
    <xf numFmtId="0" fontId="77" fillId="0" borderId="0" xfId="0" applyFont="1" applyAlignment="1" applyProtection="1">
      <alignment horizontal="center" vertical="center"/>
      <protection locked="0"/>
    </xf>
    <xf numFmtId="44" fontId="3" fillId="2" borderId="3" xfId="1" applyFont="1" applyFill="1" applyBorder="1" applyAlignment="1" applyProtection="1">
      <alignment horizontal="center"/>
      <protection locked="0"/>
    </xf>
    <xf numFmtId="0" fontId="7" fillId="0" borderId="0" xfId="0" applyFont="1" applyAlignment="1">
      <alignment horizontal="center" wrapText="1"/>
    </xf>
    <xf numFmtId="0" fontId="6" fillId="0" borderId="0" xfId="0" applyFont="1" applyAlignment="1">
      <alignment horizontal="center" wrapText="1"/>
    </xf>
    <xf numFmtId="0" fontId="3" fillId="2" borderId="0" xfId="1" applyNumberFormat="1" applyFont="1" applyFill="1" applyAlignment="1" applyProtection="1">
      <protection locked="0"/>
    </xf>
    <xf numFmtId="0" fontId="169" fillId="0" borderId="0" xfId="0" applyFont="1" applyAlignment="1">
      <alignment shrinkToFit="1"/>
    </xf>
    <xf numFmtId="49" fontId="2" fillId="0" borderId="0" xfId="0" applyNumberFormat="1" applyFont="1"/>
    <xf numFmtId="0" fontId="3" fillId="0" borderId="0" xfId="0" applyFont="1" applyAlignment="1">
      <alignment horizontal="left" vertical="center" indent="3"/>
    </xf>
    <xf numFmtId="10" fontId="3" fillId="0" borderId="0" xfId="2" applyNumberFormat="1" applyFont="1" applyBorder="1" applyAlignment="1">
      <alignment horizontal="center" vertical="center"/>
    </xf>
    <xf numFmtId="44" fontId="3" fillId="2" borderId="4" xfId="1" applyFont="1" applyFill="1" applyBorder="1" applyAlignment="1" applyProtection="1">
      <alignment horizontal="center"/>
      <protection locked="0"/>
    </xf>
    <xf numFmtId="37" fontId="3" fillId="2" borderId="3" xfId="1" applyNumberFormat="1" applyFont="1" applyFill="1" applyBorder="1" applyAlignment="1" applyProtection="1">
      <alignment horizontal="right"/>
      <protection locked="0"/>
    </xf>
    <xf numFmtId="44" fontId="12" fillId="0" borderId="3" xfId="1" applyFont="1" applyBorder="1" applyAlignment="1">
      <alignment horizontal="center"/>
    </xf>
    <xf numFmtId="44" fontId="11" fillId="0" borderId="3" xfId="1" applyFont="1" applyBorder="1" applyAlignment="1">
      <alignment horizontal="center"/>
    </xf>
    <xf numFmtId="0" fontId="28" fillId="0" borderId="0" xfId="0" applyFont="1" applyAlignment="1">
      <alignment horizontal="center" vertical="center" wrapText="1"/>
    </xf>
    <xf numFmtId="0" fontId="36" fillId="0" borderId="0" xfId="0" applyFont="1" applyAlignment="1">
      <alignment horizontal="center" vertical="top" wrapText="1"/>
    </xf>
    <xf numFmtId="0" fontId="18" fillId="2" borderId="0" xfId="0" applyFont="1" applyFill="1" applyAlignment="1" applyProtection="1">
      <alignment horizontal="center" vertical="center" wrapText="1"/>
      <protection locked="0"/>
    </xf>
    <xf numFmtId="0" fontId="18" fillId="0" borderId="0" xfId="0" applyFont="1" applyAlignment="1">
      <alignment horizontal="right" vertical="center" wrapText="1" indent="1"/>
    </xf>
    <xf numFmtId="44" fontId="3" fillId="0" borderId="15" xfId="1" applyFont="1" applyBorder="1" applyAlignment="1">
      <alignment horizontal="center"/>
    </xf>
    <xf numFmtId="49" fontId="17" fillId="0" borderId="0" xfId="0" applyNumberFormat="1" applyFont="1" applyAlignment="1">
      <alignment horizontal="left" vertical="center" indent="6"/>
    </xf>
    <xf numFmtId="0" fontId="17" fillId="0" borderId="0" xfId="0" applyFont="1" applyAlignment="1">
      <alignment horizontal="left" vertical="center" indent="6"/>
    </xf>
    <xf numFmtId="49" fontId="3" fillId="0" borderId="0" xfId="0" applyNumberFormat="1" applyFont="1" applyAlignment="1">
      <alignment horizontal="left" indent="1"/>
    </xf>
    <xf numFmtId="44" fontId="13" fillId="0" borderId="3" xfId="1" applyFont="1" applyBorder="1" applyAlignment="1">
      <alignment horizontal="center" vertical="center"/>
    </xf>
    <xf numFmtId="44" fontId="12" fillId="0" borderId="3" xfId="1" applyFont="1" applyBorder="1" applyAlignment="1">
      <alignment horizontal="center" vertical="center"/>
    </xf>
    <xf numFmtId="10" fontId="12" fillId="0" borderId="0" xfId="0" applyNumberFormat="1" applyFont="1" applyAlignment="1">
      <alignment horizontal="right" vertical="center" indent="1"/>
    </xf>
    <xf numFmtId="49" fontId="22" fillId="0" borderId="0" xfId="0" applyNumberFormat="1" applyFont="1" applyAlignment="1">
      <alignment vertical="center"/>
    </xf>
    <xf numFmtId="0" fontId="0" fillId="2" borderId="0" xfId="0" applyFill="1" applyAlignment="1" applyProtection="1">
      <alignment horizontal="left" vertical="top"/>
      <protection locked="0"/>
    </xf>
    <xf numFmtId="0" fontId="22" fillId="0" borderId="0" xfId="0" applyFont="1" applyAlignment="1">
      <alignment horizontal="left" vertical="top" indent="2"/>
    </xf>
    <xf numFmtId="1" fontId="36" fillId="0" borderId="1" xfId="0" applyNumberFormat="1" applyFont="1" applyBorder="1" applyAlignment="1">
      <alignment horizontal="center" vertical="top"/>
    </xf>
    <xf numFmtId="1" fontId="77" fillId="0" borderId="0" xfId="0" applyNumberFormat="1" applyFont="1" applyAlignment="1" applyProtection="1">
      <alignment horizontal="center" vertical="center"/>
      <protection locked="0"/>
    </xf>
    <xf numFmtId="1" fontId="77" fillId="0" borderId="0" xfId="0" applyNumberFormat="1" applyFont="1" applyAlignment="1">
      <alignment horizontal="center" vertical="center"/>
    </xf>
    <xf numFmtId="44" fontId="3" fillId="2" borderId="2" xfId="0" applyNumberFormat="1" applyFont="1" applyFill="1" applyBorder="1" applyAlignment="1" applyProtection="1">
      <alignment horizontal="center"/>
      <protection locked="0"/>
    </xf>
    <xf numFmtId="0" fontId="104" fillId="0" borderId="0" xfId="0" applyFont="1" applyAlignment="1">
      <alignment horizontal="left" vertical="center" wrapText="1" indent="2"/>
    </xf>
    <xf numFmtId="0" fontId="60" fillId="0" borderId="0" xfId="0" applyFont="1" applyAlignment="1">
      <alignment horizontal="center" vertical="center" wrapText="1"/>
    </xf>
    <xf numFmtId="0" fontId="0" fillId="6" borderId="67" xfId="0" applyFill="1" applyBorder="1" applyAlignment="1">
      <alignment horizontal="center" vertical="top" wrapText="1"/>
    </xf>
    <xf numFmtId="0" fontId="0" fillId="6" borderId="3" xfId="0" applyFill="1" applyBorder="1" applyAlignment="1">
      <alignment horizontal="center" vertical="top" wrapText="1"/>
    </xf>
    <xf numFmtId="0" fontId="0" fillId="6" borderId="37" xfId="0" applyFill="1" applyBorder="1" applyAlignment="1">
      <alignment horizontal="center" vertical="top" wrapText="1"/>
    </xf>
    <xf numFmtId="0" fontId="0" fillId="0" borderId="77" xfId="0" applyBorder="1" applyAlignment="1">
      <alignment horizontal="left" vertical="top" wrapText="1"/>
    </xf>
    <xf numFmtId="0" fontId="0" fillId="0" borderId="2" xfId="0" applyBorder="1" applyAlignment="1">
      <alignment horizontal="left" vertical="top" wrapText="1"/>
    </xf>
    <xf numFmtId="0" fontId="0" fillId="0" borderId="78" xfId="0" applyBorder="1" applyAlignment="1">
      <alignment horizontal="left" vertical="top" wrapText="1"/>
    </xf>
    <xf numFmtId="0" fontId="24" fillId="2" borderId="1" xfId="0" applyFont="1" applyFill="1" applyBorder="1" applyAlignment="1" applyProtection="1">
      <alignment horizontal="left"/>
      <protection locked="0"/>
    </xf>
    <xf numFmtId="0" fontId="110" fillId="0" borderId="0" xfId="0" applyFont="1" applyAlignment="1">
      <alignment horizontal="center" vertical="center" wrapText="1"/>
    </xf>
    <xf numFmtId="44" fontId="3" fillId="2" borderId="1" xfId="1" applyFont="1" applyFill="1" applyBorder="1" applyAlignment="1" applyProtection="1">
      <alignment horizontal="right"/>
      <protection locked="0"/>
    </xf>
    <xf numFmtId="0" fontId="7" fillId="0" borderId="0" xfId="0" applyFont="1" applyAlignment="1">
      <alignment horizontal="right" vertical="center"/>
    </xf>
    <xf numFmtId="44" fontId="3" fillId="0" borderId="4" xfId="1" applyFont="1" applyBorder="1" applyAlignment="1">
      <alignment horizontal="right" vertical="center"/>
    </xf>
    <xf numFmtId="0" fontId="15" fillId="0" borderId="0" xfId="0" applyFont="1"/>
    <xf numFmtId="0" fontId="2" fillId="0" borderId="0" xfId="0" applyFont="1" applyAlignment="1">
      <alignment shrinkToFit="1"/>
    </xf>
    <xf numFmtId="0" fontId="0" fillId="0" borderId="0" xfId="0" applyAlignment="1">
      <alignment horizontal="left" vertical="center"/>
    </xf>
    <xf numFmtId="44" fontId="3" fillId="0" borderId="4" xfId="1" applyFont="1" applyBorder="1" applyAlignment="1">
      <alignment horizontal="center"/>
    </xf>
    <xf numFmtId="0" fontId="51" fillId="0" borderId="0" xfId="0" applyFont="1"/>
    <xf numFmtId="0" fontId="13" fillId="0" borderId="71" xfId="0" applyFont="1" applyBorder="1" applyAlignment="1">
      <alignment horizontal="left"/>
    </xf>
    <xf numFmtId="0" fontId="30" fillId="0" borderId="79"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53" xfId="0" applyFont="1" applyBorder="1" applyAlignment="1">
      <alignment horizontal="center" vertical="center" shrinkToFit="1"/>
    </xf>
    <xf numFmtId="0" fontId="53" fillId="0" borderId="0" xfId="0" applyFont="1" applyAlignment="1">
      <alignment horizontal="center" vertical="center" wrapText="1"/>
    </xf>
    <xf numFmtId="0" fontId="6" fillId="0" borderId="0" xfId="0" applyFont="1" applyAlignment="1">
      <alignment horizontal="center" vertical="top"/>
    </xf>
    <xf numFmtId="0" fontId="95" fillId="0" borderId="84" xfId="0" applyFont="1" applyBorder="1" applyAlignment="1">
      <alignment horizontal="center" vertical="center" wrapText="1"/>
    </xf>
    <xf numFmtId="0" fontId="95" fillId="0" borderId="15" xfId="0" applyFont="1" applyBorder="1" applyAlignment="1">
      <alignment horizontal="center" vertical="center" wrapText="1"/>
    </xf>
    <xf numFmtId="0" fontId="95" fillId="0" borderId="85" xfId="0" applyFont="1" applyBorder="1" applyAlignment="1">
      <alignment horizontal="center" vertical="center" wrapText="1"/>
    </xf>
    <xf numFmtId="0" fontId="13" fillId="0" borderId="82" xfId="0" applyFont="1" applyBorder="1" applyAlignment="1">
      <alignment horizontal="left" vertical="center" indent="2"/>
    </xf>
    <xf numFmtId="0" fontId="13" fillId="0" borderId="0" xfId="0" applyFont="1" applyAlignment="1">
      <alignment horizontal="left" vertical="center" indent="2"/>
    </xf>
    <xf numFmtId="0" fontId="28" fillId="2" borderId="1" xfId="0" applyFont="1" applyFill="1" applyBorder="1" applyAlignment="1" applyProtection="1">
      <alignment horizontal="center" vertical="center"/>
      <protection locked="0"/>
    </xf>
    <xf numFmtId="0" fontId="13" fillId="2" borderId="1" xfId="0" applyFont="1" applyFill="1" applyBorder="1" applyAlignment="1" applyProtection="1">
      <alignment horizontal="center" vertical="center"/>
      <protection locked="0"/>
    </xf>
    <xf numFmtId="0" fontId="25" fillId="0" borderId="0" xfId="0" applyFont="1" applyAlignment="1">
      <alignment horizontal="left" vertical="top" wrapText="1" indent="2"/>
    </xf>
    <xf numFmtId="0" fontId="3" fillId="2" borderId="1" xfId="0" applyFont="1" applyFill="1" applyBorder="1" applyAlignment="1" applyProtection="1">
      <alignment horizontal="left"/>
      <protection locked="0"/>
    </xf>
    <xf numFmtId="0" fontId="13" fillId="2" borderId="1" xfId="0" applyFont="1" applyFill="1" applyBorder="1" applyAlignment="1" applyProtection="1">
      <alignment horizontal="center" vertical="center" shrinkToFit="1"/>
      <protection locked="0"/>
    </xf>
    <xf numFmtId="2" fontId="44" fillId="0" borderId="0" xfId="0" applyNumberFormat="1" applyFont="1" applyAlignment="1">
      <alignment horizontal="center"/>
    </xf>
    <xf numFmtId="0" fontId="16" fillId="0" borderId="82" xfId="0" applyFont="1" applyBorder="1" applyAlignment="1">
      <alignment horizontal="left" vertical="center" indent="2"/>
    </xf>
    <xf numFmtId="0" fontId="16" fillId="0" borderId="0" xfId="0" applyFont="1" applyAlignment="1">
      <alignment horizontal="left" vertical="center" indent="2"/>
    </xf>
    <xf numFmtId="0" fontId="16" fillId="0" borderId="0" xfId="0" applyFont="1" applyAlignment="1">
      <alignment horizontal="left" indent="1"/>
    </xf>
    <xf numFmtId="44" fontId="3" fillId="2" borderId="3" xfId="1" applyFont="1" applyFill="1" applyBorder="1" applyAlignment="1" applyProtection="1">
      <alignment horizontal="right"/>
      <protection locked="0"/>
    </xf>
    <xf numFmtId="0" fontId="8" fillId="0" borderId="0" xfId="0" applyFont="1" applyAlignment="1">
      <alignment horizontal="center" vertical="center"/>
    </xf>
    <xf numFmtId="0" fontId="8" fillId="0" borderId="1" xfId="0" applyFont="1" applyBorder="1" applyAlignment="1">
      <alignment horizontal="center" vertical="center"/>
    </xf>
    <xf numFmtId="0" fontId="77" fillId="0" borderId="1" xfId="0" applyFont="1" applyBorder="1" applyAlignment="1" applyProtection="1">
      <alignment horizontal="center" vertical="center"/>
      <protection locked="0"/>
    </xf>
    <xf numFmtId="169" fontId="44" fillId="0" borderId="14" xfId="1" applyNumberFormat="1" applyFont="1" applyBorder="1" applyAlignment="1">
      <alignment horizontal="right" vertical="center"/>
    </xf>
    <xf numFmtId="44" fontId="3" fillId="0" borderId="3" xfId="0" applyNumberFormat="1" applyFont="1" applyBorder="1" applyAlignment="1">
      <alignment horizontal="center"/>
    </xf>
    <xf numFmtId="173" fontId="45" fillId="0" borderId="0" xfId="1" applyNumberFormat="1" applyFont="1" applyAlignment="1">
      <alignment horizontal="center" vertical="center"/>
    </xf>
    <xf numFmtId="0" fontId="39" fillId="0" borderId="0" xfId="0" applyFont="1" applyAlignment="1">
      <alignment horizontal="center" shrinkToFit="1"/>
    </xf>
    <xf numFmtId="0" fontId="7" fillId="0" borderId="97" xfId="0" applyFont="1" applyBorder="1" applyAlignment="1">
      <alignment horizontal="center" vertical="center"/>
    </xf>
    <xf numFmtId="0" fontId="7" fillId="0" borderId="98" xfId="0" applyFont="1" applyBorder="1" applyAlignment="1">
      <alignment horizontal="center" vertical="center"/>
    </xf>
    <xf numFmtId="0" fontId="7" fillId="0" borderId="99" xfId="0" applyFont="1" applyBorder="1" applyAlignment="1">
      <alignment horizontal="center" vertical="center"/>
    </xf>
    <xf numFmtId="0" fontId="7" fillId="0" borderId="105" xfId="0" applyFont="1" applyBorder="1" applyAlignment="1">
      <alignment horizontal="center" vertical="center"/>
    </xf>
    <xf numFmtId="0" fontId="7" fillId="0" borderId="94" xfId="0" applyFont="1" applyBorder="1" applyAlignment="1">
      <alignment horizontal="center" vertical="center"/>
    </xf>
    <xf numFmtId="166" fontId="17" fillId="2" borderId="106" xfId="1" applyNumberFormat="1" applyFont="1" applyFill="1" applyBorder="1" applyAlignment="1" applyProtection="1">
      <alignment horizontal="center" vertical="center"/>
      <protection locked="0"/>
    </xf>
    <xf numFmtId="166" fontId="17" fillId="2" borderId="103" xfId="1" applyNumberFormat="1" applyFont="1" applyFill="1" applyBorder="1" applyAlignment="1" applyProtection="1">
      <alignment horizontal="center" vertical="center"/>
      <protection locked="0"/>
    </xf>
    <xf numFmtId="0" fontId="83" fillId="0" borderId="0" xfId="0" applyFont="1" applyAlignment="1">
      <alignment horizontal="center" vertical="top" wrapText="1"/>
    </xf>
    <xf numFmtId="0" fontId="13" fillId="0" borderId="0" xfId="0" applyFont="1" applyAlignment="1">
      <alignment horizontal="right" vertical="top" wrapText="1"/>
    </xf>
    <xf numFmtId="0" fontId="16" fillId="0" borderId="125" xfId="0" applyFont="1" applyBorder="1" applyAlignment="1">
      <alignment horizontal="left" vertical="top" wrapText="1" indent="1"/>
    </xf>
    <xf numFmtId="0" fontId="16" fillId="0" borderId="0" xfId="0" applyFont="1" applyAlignment="1">
      <alignment horizontal="left" vertical="top" wrapText="1" indent="1"/>
    </xf>
    <xf numFmtId="0" fontId="3" fillId="0" borderId="0" xfId="0" applyFont="1" applyAlignment="1">
      <alignment horizontal="center" vertical="center" wrapText="1"/>
    </xf>
    <xf numFmtId="44" fontId="3" fillId="0" borderId="0" xfId="1" applyFont="1" applyAlignment="1">
      <alignment horizontal="right"/>
    </xf>
    <xf numFmtId="44" fontId="53" fillId="0" borderId="0" xfId="1" applyFont="1" applyAlignment="1">
      <alignment horizontal="center" vertical="center"/>
    </xf>
    <xf numFmtId="44" fontId="25" fillId="0" borderId="0" xfId="1" applyFont="1" applyAlignment="1" applyProtection="1">
      <alignment horizontal="center"/>
      <protection locked="0"/>
    </xf>
    <xf numFmtId="44" fontId="25" fillId="0" borderId="0" xfId="1" applyFont="1" applyAlignment="1">
      <alignment horizontal="right" vertical="center"/>
    </xf>
    <xf numFmtId="0" fontId="31" fillId="0" borderId="0" xfId="0" applyFont="1" applyAlignment="1">
      <alignment horizontal="center" vertical="center"/>
    </xf>
    <xf numFmtId="9" fontId="25" fillId="0" borderId="0" xfId="2" applyFont="1" applyAlignment="1">
      <alignment horizontal="center" vertical="center"/>
    </xf>
    <xf numFmtId="0" fontId="53" fillId="0" borderId="0" xfId="0" applyFont="1" applyAlignment="1">
      <alignment horizontal="center" vertical="center"/>
    </xf>
    <xf numFmtId="9" fontId="25" fillId="0" borderId="0" xfId="2" applyFont="1" applyAlignment="1" applyProtection="1">
      <alignment horizontal="center"/>
      <protection locked="0"/>
    </xf>
    <xf numFmtId="0" fontId="11" fillId="0" borderId="128" xfId="0" applyFont="1" applyBorder="1" applyAlignment="1">
      <alignment horizontal="center" vertical="center" shrinkToFit="1"/>
    </xf>
    <xf numFmtId="0" fontId="31" fillId="0" borderId="128" xfId="0" applyFont="1" applyBorder="1" applyAlignment="1" applyProtection="1">
      <alignment horizontal="center" vertical="center"/>
      <protection locked="0"/>
    </xf>
    <xf numFmtId="0" fontId="13" fillId="0" borderId="127" xfId="0" applyFont="1" applyBorder="1" applyAlignment="1">
      <alignment horizontal="left" vertical="center" indent="1" shrinkToFit="1"/>
    </xf>
    <xf numFmtId="0" fontId="13" fillId="0" borderId="128" xfId="0" applyFont="1" applyBorder="1" applyAlignment="1">
      <alignment horizontal="left" vertical="center" indent="1" shrinkToFit="1"/>
    </xf>
    <xf numFmtId="0" fontId="36" fillId="0" borderId="0" xfId="0" applyFont="1" applyAlignment="1">
      <alignment horizontal="center" vertical="center" shrinkToFit="1"/>
    </xf>
    <xf numFmtId="0" fontId="104" fillId="0" borderId="123" xfId="0" applyFont="1" applyBorder="1" applyAlignment="1">
      <alignment horizontal="center" vertical="top" wrapText="1"/>
    </xf>
    <xf numFmtId="0" fontId="13" fillId="0" borderId="125" xfId="0" applyFont="1" applyBorder="1" applyAlignment="1">
      <alignment horizontal="left" vertical="top" indent="1" shrinkToFit="1"/>
    </xf>
    <xf numFmtId="0" fontId="13" fillId="0" borderId="0" xfId="0" applyFont="1" applyAlignment="1">
      <alignment horizontal="left" vertical="top" indent="1" shrinkToFit="1"/>
    </xf>
    <xf numFmtId="0" fontId="34" fillId="0" borderId="0" xfId="0" applyFont="1" applyAlignment="1">
      <alignment horizontal="left" vertical="center" wrapText="1"/>
    </xf>
    <xf numFmtId="44" fontId="95" fillId="0" borderId="0" xfId="0" applyNumberFormat="1" applyFont="1" applyAlignment="1">
      <alignment horizontal="center" vertical="center" shrinkToFit="1"/>
    </xf>
    <xf numFmtId="0" fontId="21" fillId="0" borderId="0" xfId="0" applyFont="1" applyAlignment="1" applyProtection="1">
      <alignment horizontal="left" vertical="top" wrapText="1"/>
      <protection locked="0"/>
    </xf>
    <xf numFmtId="0" fontId="54" fillId="0" borderId="0" xfId="0" applyFont="1" applyAlignment="1">
      <alignment wrapText="1"/>
    </xf>
    <xf numFmtId="0" fontId="36" fillId="0" borderId="0" xfId="0" applyFont="1" applyAlignment="1">
      <alignment horizontal="center" vertical="center"/>
    </xf>
    <xf numFmtId="0" fontId="170" fillId="0" borderId="0" xfId="4" applyFont="1" applyAlignment="1" applyProtection="1">
      <alignment horizontal="center" vertical="top" shrinkToFit="1"/>
      <protection locked="0"/>
    </xf>
    <xf numFmtId="0" fontId="16" fillId="0" borderId="0" xfId="0" applyFont="1"/>
    <xf numFmtId="0" fontId="95" fillId="0" borderId="0" xfId="0" applyFont="1" applyAlignment="1">
      <alignment horizontal="center" vertical="top"/>
    </xf>
    <xf numFmtId="0" fontId="3" fillId="2" borderId="107" xfId="1" applyNumberFormat="1" applyFont="1" applyFill="1" applyBorder="1" applyAlignment="1" applyProtection="1">
      <alignment horizontal="left"/>
      <protection locked="0"/>
    </xf>
    <xf numFmtId="0" fontId="88" fillId="0" borderId="0" xfId="0" applyFont="1" applyAlignment="1">
      <alignment horizontal="right" shrinkToFit="1"/>
    </xf>
    <xf numFmtId="0" fontId="3" fillId="2" borderId="92" xfId="1" applyNumberFormat="1" applyFont="1" applyFill="1" applyBorder="1" applyAlignment="1" applyProtection="1">
      <alignment horizontal="left"/>
      <protection locked="0"/>
    </xf>
    <xf numFmtId="0" fontId="103" fillId="0" borderId="0" xfId="0" applyFont="1" applyAlignment="1">
      <alignment horizontal="center"/>
    </xf>
    <xf numFmtId="0" fontId="103" fillId="0" borderId="0" xfId="0" applyFont="1" applyAlignment="1">
      <alignment horizontal="right" vertical="center"/>
    </xf>
    <xf numFmtId="169" fontId="7" fillId="0" borderId="0" xfId="0" applyNumberFormat="1" applyFont="1" applyAlignment="1">
      <alignment horizontal="center" vertical="center"/>
    </xf>
    <xf numFmtId="49" fontId="2" fillId="0" borderId="0" xfId="0" applyNumberFormat="1" applyFont="1" applyAlignment="1">
      <alignment horizontal="center"/>
    </xf>
    <xf numFmtId="10" fontId="15" fillId="0" borderId="14" xfId="2" applyNumberFormat="1" applyFont="1" applyBorder="1" applyAlignment="1">
      <alignment horizontal="center" vertical="center" wrapText="1"/>
    </xf>
    <xf numFmtId="10" fontId="15" fillId="0" borderId="0" xfId="2" applyNumberFormat="1" applyFont="1" applyAlignment="1">
      <alignment horizontal="center" vertical="center" wrapText="1"/>
    </xf>
    <xf numFmtId="0" fontId="23" fillId="0" borderId="0" xfId="0" applyFont="1" applyAlignment="1">
      <alignment horizontal="center" wrapText="1"/>
    </xf>
    <xf numFmtId="44" fontId="32" fillId="0" borderId="0" xfId="0" applyNumberFormat="1" applyFont="1" applyAlignment="1">
      <alignment horizontal="center" vertical="center" wrapText="1"/>
    </xf>
    <xf numFmtId="0" fontId="88" fillId="0" borderId="0" xfId="0" applyFont="1" applyAlignment="1">
      <alignment horizontal="right" vertical="center"/>
    </xf>
    <xf numFmtId="0" fontId="77" fillId="0" borderId="1" xfId="0" applyFont="1" applyBorder="1" applyAlignment="1" applyProtection="1">
      <alignment horizontal="right" vertical="center"/>
      <protection locked="0"/>
    </xf>
    <xf numFmtId="0" fontId="8" fillId="0" borderId="1" xfId="0" applyFont="1" applyBorder="1" applyAlignment="1">
      <alignment horizontal="right" vertical="center"/>
    </xf>
    <xf numFmtId="171" fontId="30" fillId="2" borderId="0" xfId="1" applyNumberFormat="1" applyFont="1" applyFill="1" applyAlignment="1" applyProtection="1">
      <alignment horizontal="center"/>
      <protection locked="0"/>
    </xf>
    <xf numFmtId="171" fontId="30" fillId="0" borderId="0" xfId="1" applyNumberFormat="1" applyFont="1" applyAlignment="1">
      <alignment horizontal="center"/>
    </xf>
    <xf numFmtId="0" fontId="104" fillId="0" borderId="0" xfId="1" applyNumberFormat="1" applyFont="1" applyAlignment="1">
      <alignment horizontal="center" vertical="center" wrapText="1"/>
    </xf>
    <xf numFmtId="2" fontId="13" fillId="0" borderId="0" xfId="0" applyNumberFormat="1" applyFont="1" applyAlignment="1">
      <alignment horizontal="center" vertical="top"/>
    </xf>
    <xf numFmtId="0" fontId="151" fillId="0" borderId="0" xfId="0" applyFont="1" applyAlignment="1">
      <alignment horizontal="center" vertical="center"/>
    </xf>
    <xf numFmtId="169" fontId="44" fillId="0" borderId="0" xfId="0" applyNumberFormat="1" applyFont="1" applyAlignment="1">
      <alignment horizontal="center" vertical="center"/>
    </xf>
    <xf numFmtId="0" fontId="101" fillId="0" borderId="0" xfId="0" applyFont="1" applyAlignment="1">
      <alignment horizontal="center"/>
    </xf>
    <xf numFmtId="0" fontId="3" fillId="0" borderId="0" xfId="0" applyFont="1" applyAlignment="1">
      <alignment horizontal="left" vertical="center" wrapText="1" indent="3"/>
    </xf>
    <xf numFmtId="0" fontId="99" fillId="0" borderId="0" xfId="0" applyFont="1" applyAlignment="1">
      <alignment horizontal="left" indent="1"/>
    </xf>
    <xf numFmtId="0" fontId="88" fillId="0" borderId="0" xfId="0" applyFont="1" applyAlignment="1">
      <alignment horizontal="right" vertical="top"/>
    </xf>
    <xf numFmtId="0" fontId="99" fillId="0" borderId="0" xfId="0" applyFont="1" applyAlignment="1">
      <alignment horizontal="left" vertical="top" indent="1" shrinkToFit="1"/>
    </xf>
    <xf numFmtId="44" fontId="12" fillId="0" borderId="0" xfId="1" applyFont="1" applyAlignment="1">
      <alignment horizontal="right"/>
    </xf>
    <xf numFmtId="44" fontId="12" fillId="0" borderId="3" xfId="1" applyFont="1" applyBorder="1" applyAlignment="1">
      <alignment horizontal="right"/>
    </xf>
    <xf numFmtId="44" fontId="11" fillId="0" borderId="2" xfId="1" applyFont="1" applyBorder="1" applyAlignment="1">
      <alignment horizontal="right"/>
    </xf>
    <xf numFmtId="44" fontId="11" fillId="0" borderId="3" xfId="1" applyFont="1" applyBorder="1" applyAlignment="1">
      <alignment horizontal="right"/>
    </xf>
    <xf numFmtId="44" fontId="3" fillId="0" borderId="4" xfId="1" applyFont="1" applyBorder="1" applyAlignment="1">
      <alignment horizontal="center" vertical="center"/>
    </xf>
    <xf numFmtId="44" fontId="15" fillId="0" borderId="0" xfId="1" applyFont="1" applyAlignment="1">
      <alignment horizontal="center" vertical="top"/>
    </xf>
    <xf numFmtId="44" fontId="3" fillId="0" borderId="2" xfId="1" applyFont="1" applyBorder="1" applyAlignment="1">
      <alignment horizontal="center" vertical="center"/>
    </xf>
    <xf numFmtId="49" fontId="2" fillId="0" borderId="0" xfId="0" applyNumberFormat="1" applyFont="1" applyAlignment="1">
      <alignment horizontal="right" vertical="center"/>
    </xf>
    <xf numFmtId="0" fontId="15" fillId="0" borderId="0" xfId="0" applyFont="1" applyAlignment="1">
      <alignment horizontal="left" vertical="top"/>
    </xf>
    <xf numFmtId="0" fontId="75" fillId="0" borderId="0" xfId="0" applyFont="1" applyAlignment="1" applyProtection="1">
      <alignment horizontal="center" vertical="center"/>
      <protection locked="0" hidden="1"/>
      <extLst>
        <ext xmlns:xfpb="http://schemas.microsoft.com/office/spreadsheetml/2022/featurepropertybag" uri="{C7286773-470A-42A8-94C5-96B5CB345126}">
          <xfpb:xfComplement i="0"/>
        </ext>
      </extLst>
    </xf>
    <xf numFmtId="0" fontId="102" fillId="0" borderId="0" xfId="0" applyFont="1" applyAlignment="1">
      <alignment horizontal="center" vertical="top" wrapText="1"/>
    </xf>
    <xf numFmtId="0" fontId="3" fillId="0" borderId="0" xfId="0" applyFont="1" applyAlignment="1">
      <alignment horizontal="right" shrinkToFit="1"/>
    </xf>
    <xf numFmtId="0" fontId="99" fillId="0" borderId="0" xfId="0" applyFont="1" applyAlignment="1">
      <alignment horizontal="left" indent="1" shrinkToFit="1"/>
    </xf>
    <xf numFmtId="169" fontId="44" fillId="0" borderId="0" xfId="0" applyNumberFormat="1" applyFont="1" applyAlignment="1">
      <alignment horizontal="center"/>
    </xf>
    <xf numFmtId="44" fontId="3" fillId="0" borderId="1" xfId="0" applyNumberFormat="1" applyFont="1" applyBorder="1" applyAlignment="1">
      <alignment horizontal="center"/>
    </xf>
    <xf numFmtId="44" fontId="3" fillId="0" borderId="2" xfId="1" applyFont="1" applyBorder="1" applyAlignment="1">
      <alignment horizontal="center"/>
    </xf>
    <xf numFmtId="49" fontId="3" fillId="0" borderId="77" xfId="0" applyNumberFormat="1" applyFont="1" applyBorder="1" applyAlignment="1">
      <alignment horizontal="center" vertical="top" wrapText="1"/>
    </xf>
    <xf numFmtId="49" fontId="3" fillId="0" borderId="78" xfId="0" applyNumberFormat="1" applyFont="1" applyBorder="1" applyAlignment="1">
      <alignment horizontal="center" vertical="top" wrapText="1"/>
    </xf>
    <xf numFmtId="49" fontId="3" fillId="0" borderId="71" xfId="0" applyNumberFormat="1" applyFont="1" applyBorder="1" applyAlignment="1">
      <alignment horizontal="center" vertical="top" wrapText="1"/>
    </xf>
    <xf numFmtId="49" fontId="3" fillId="0" borderId="70" xfId="0" applyNumberFormat="1" applyFont="1" applyBorder="1" applyAlignment="1">
      <alignment horizontal="center" vertical="top" wrapText="1"/>
    </xf>
    <xf numFmtId="49" fontId="3" fillId="0" borderId="79" xfId="0" applyNumberFormat="1" applyFont="1" applyBorder="1" applyAlignment="1">
      <alignment horizontal="center" vertical="top" wrapText="1"/>
    </xf>
    <xf numFmtId="49" fontId="3" fillId="0" borderId="53" xfId="0" applyNumberFormat="1" applyFont="1" applyBorder="1" applyAlignment="1">
      <alignment horizontal="center" vertical="top" wrapText="1"/>
    </xf>
    <xf numFmtId="0" fontId="60" fillId="0" borderId="0" xfId="0" applyFont="1" applyAlignment="1">
      <alignment horizontal="left" vertical="center" wrapText="1"/>
    </xf>
    <xf numFmtId="0" fontId="0" fillId="0" borderId="0" xfId="0" applyAlignment="1">
      <alignment horizontal="left" wrapText="1"/>
    </xf>
    <xf numFmtId="0" fontId="23" fillId="0" borderId="0" xfId="0" applyFont="1" applyAlignment="1">
      <alignment horizontal="left"/>
    </xf>
    <xf numFmtId="0" fontId="14" fillId="0" borderId="0" xfId="0" applyFont="1" applyAlignment="1">
      <alignment horizontal="left" indent="1"/>
    </xf>
    <xf numFmtId="0" fontId="3" fillId="2" borderId="0" xfId="1" applyNumberFormat="1" applyFont="1" applyFill="1" applyAlignment="1" applyProtection="1">
      <alignment horizontal="left"/>
      <protection locked="0"/>
    </xf>
    <xf numFmtId="0" fontId="7" fillId="0" borderId="0" xfId="0" applyFont="1" applyAlignment="1">
      <alignment horizontal="center"/>
    </xf>
    <xf numFmtId="0" fontId="53" fillId="0" borderId="0" xfId="0" applyFont="1" applyAlignment="1" applyProtection="1">
      <alignment horizontal="center" vertical="center" wrapText="1"/>
      <protection locked="0"/>
    </xf>
    <xf numFmtId="0" fontId="14" fillId="0" borderId="0" xfId="0" applyFont="1" applyAlignment="1">
      <alignment horizontal="left"/>
    </xf>
    <xf numFmtId="0" fontId="60" fillId="8" borderId="0" xfId="0" applyFont="1" applyFill="1" applyAlignment="1">
      <alignment horizontal="center" vertical="center" wrapText="1"/>
    </xf>
    <xf numFmtId="0" fontId="7" fillId="0" borderId="0" xfId="0" applyFont="1" applyAlignment="1">
      <alignment horizontal="left"/>
    </xf>
    <xf numFmtId="0" fontId="0" fillId="0" borderId="0" xfId="0" applyAlignment="1">
      <alignment horizontal="left" vertical="top"/>
    </xf>
    <xf numFmtId="166" fontId="17" fillId="2" borderId="101" xfId="1" applyNumberFormat="1" applyFont="1" applyFill="1" applyBorder="1" applyAlignment="1" applyProtection="1">
      <alignment horizontal="center" vertical="center"/>
      <protection locked="0"/>
    </xf>
    <xf numFmtId="0" fontId="7" fillId="0" borderId="13" xfId="0" applyFont="1" applyBorder="1" applyAlignment="1">
      <alignment horizontal="center" vertical="center"/>
    </xf>
    <xf numFmtId="49" fontId="18" fillId="0" borderId="77" xfId="0" applyNumberFormat="1" applyFont="1" applyBorder="1" applyAlignment="1">
      <alignment horizontal="center" vertical="top" wrapText="1"/>
    </xf>
    <xf numFmtId="49" fontId="18" fillId="0" borderId="78" xfId="0" applyNumberFormat="1" applyFont="1" applyBorder="1" applyAlignment="1">
      <alignment horizontal="center" vertical="top" wrapText="1"/>
    </xf>
    <xf numFmtId="49" fontId="18" fillId="0" borderId="71" xfId="0" applyNumberFormat="1" applyFont="1" applyBorder="1" applyAlignment="1">
      <alignment horizontal="center" vertical="top" wrapText="1"/>
    </xf>
    <xf numFmtId="49" fontId="18" fillId="0" borderId="70" xfId="0" applyNumberFormat="1" applyFont="1" applyBorder="1" applyAlignment="1">
      <alignment horizontal="center" vertical="top" wrapText="1"/>
    </xf>
    <xf numFmtId="49" fontId="18" fillId="0" borderId="79" xfId="0" applyNumberFormat="1" applyFont="1" applyBorder="1" applyAlignment="1">
      <alignment horizontal="center" vertical="top" wrapText="1"/>
    </xf>
    <xf numFmtId="49" fontId="18" fillId="0" borderId="53" xfId="0" applyNumberFormat="1" applyFont="1" applyBorder="1" applyAlignment="1">
      <alignment horizontal="center" vertical="top" wrapText="1"/>
    </xf>
    <xf numFmtId="0" fontId="39" fillId="0" borderId="0" xfId="0" applyFont="1" applyAlignment="1">
      <alignment horizontal="center" vertical="center" wrapText="1"/>
    </xf>
    <xf numFmtId="44" fontId="3" fillId="2" borderId="2" xfId="1" applyFont="1" applyFill="1" applyBorder="1" applyAlignment="1" applyProtection="1">
      <alignment horizontal="right" vertical="center"/>
      <protection locked="0"/>
    </xf>
    <xf numFmtId="44" fontId="3" fillId="2" borderId="1" xfId="1" applyFont="1" applyFill="1" applyBorder="1" applyAlignment="1" applyProtection="1">
      <alignment horizontal="right" vertical="center"/>
      <protection locked="0"/>
    </xf>
    <xf numFmtId="0" fontId="15" fillId="0" borderId="0" xfId="0" applyFont="1" applyAlignment="1">
      <alignment horizontal="left" vertical="center"/>
    </xf>
    <xf numFmtId="10" fontId="8" fillId="2" borderId="2" xfId="2" applyNumberFormat="1" applyFont="1" applyFill="1" applyBorder="1" applyAlignment="1" applyProtection="1">
      <alignment horizontal="center" vertical="center"/>
      <protection locked="0"/>
    </xf>
    <xf numFmtId="10" fontId="8" fillId="2" borderId="1" xfId="2" applyNumberFormat="1" applyFont="1" applyFill="1" applyBorder="1" applyAlignment="1" applyProtection="1">
      <alignment horizontal="center" vertical="center"/>
      <protection locked="0"/>
    </xf>
    <xf numFmtId="0" fontId="103" fillId="0" borderId="0" xfId="0" applyFont="1" applyAlignment="1">
      <alignment horizontal="center" vertical="center"/>
    </xf>
    <xf numFmtId="0" fontId="88" fillId="0" borderId="0" xfId="0" applyFont="1" applyAlignment="1">
      <alignment horizontal="right"/>
    </xf>
    <xf numFmtId="44" fontId="3" fillId="0" borderId="3" xfId="1" applyFont="1" applyBorder="1" applyAlignment="1">
      <alignment horizontal="right"/>
    </xf>
    <xf numFmtId="44" fontId="3" fillId="2" borderId="2" xfId="1" applyFont="1" applyFill="1" applyBorder="1" applyAlignment="1" applyProtection="1">
      <alignment horizontal="right"/>
      <protection locked="0"/>
    </xf>
    <xf numFmtId="0" fontId="3" fillId="0" borderId="0" xfId="0" applyFont="1" applyAlignment="1">
      <alignment horizontal="center"/>
    </xf>
    <xf numFmtId="0" fontId="9" fillId="0" borderId="0" xfId="0" applyFont="1" applyAlignment="1">
      <alignment horizontal="left"/>
    </xf>
    <xf numFmtId="0" fontId="7" fillId="0" borderId="0" xfId="0" applyFont="1" applyAlignment="1">
      <alignment horizontal="left" shrinkToFit="1"/>
    </xf>
    <xf numFmtId="0" fontId="16" fillId="0" borderId="0" xfId="0" applyFont="1" applyAlignment="1">
      <alignment horizontal="left" indent="1" shrinkToFit="1"/>
    </xf>
    <xf numFmtId="0" fontId="110" fillId="0" borderId="0" xfId="0" applyFont="1" applyAlignment="1">
      <alignment horizontal="center" vertical="center" shrinkToFit="1"/>
    </xf>
    <xf numFmtId="0" fontId="84" fillId="0" borderId="0" xfId="0" applyFont="1" applyAlignment="1">
      <alignment shrinkToFit="1"/>
    </xf>
    <xf numFmtId="0" fontId="84" fillId="0" borderId="0" xfId="0" applyFont="1" applyAlignment="1">
      <alignment horizontal="left" vertical="top" wrapText="1"/>
    </xf>
    <xf numFmtId="0" fontId="12" fillId="0" borderId="0" xfId="0" applyFont="1" applyAlignment="1">
      <alignment horizontal="left" vertical="center"/>
    </xf>
    <xf numFmtId="44" fontId="25" fillId="0" borderId="0" xfId="1" applyFont="1" applyBorder="1" applyAlignment="1">
      <alignment horizontal="center" vertical="center"/>
    </xf>
    <xf numFmtId="44" fontId="84" fillId="0" borderId="90" xfId="1" applyFont="1" applyBorder="1" applyAlignment="1">
      <alignment horizontal="center" vertical="center"/>
    </xf>
    <xf numFmtId="44" fontId="129" fillId="2" borderId="89" xfId="1" applyFont="1" applyFill="1" applyBorder="1" applyAlignment="1" applyProtection="1">
      <alignment horizontal="center" vertical="center"/>
      <protection locked="0"/>
    </xf>
    <xf numFmtId="44" fontId="129" fillId="2" borderId="91" xfId="1" applyFont="1" applyFill="1" applyBorder="1" applyAlignment="1" applyProtection="1">
      <alignment horizontal="center" vertical="center"/>
      <protection locked="0"/>
    </xf>
    <xf numFmtId="0" fontId="12" fillId="0" borderId="0" xfId="0" applyFont="1" applyAlignment="1">
      <alignment vertical="center"/>
    </xf>
    <xf numFmtId="44" fontId="11" fillId="2" borderId="90" xfId="0" applyNumberFormat="1" applyFont="1" applyFill="1" applyBorder="1" applyAlignment="1" applyProtection="1">
      <alignment horizontal="center" vertical="center"/>
      <protection locked="0"/>
    </xf>
    <xf numFmtId="0" fontId="7" fillId="0" borderId="0" xfId="0" applyFont="1" applyAlignment="1">
      <alignment vertical="center"/>
    </xf>
    <xf numFmtId="44" fontId="104" fillId="0" borderId="8" xfId="1" applyFont="1" applyBorder="1" applyAlignment="1">
      <alignment horizontal="center" vertical="center" wrapText="1"/>
    </xf>
    <xf numFmtId="0" fontId="103" fillId="0" borderId="0" xfId="0" applyFont="1" applyAlignment="1">
      <alignment horizontal="center" wrapText="1"/>
    </xf>
    <xf numFmtId="44" fontId="18" fillId="0" borderId="4" xfId="1" applyFont="1" applyBorder="1" applyAlignment="1">
      <alignment horizontal="center" vertical="center"/>
    </xf>
    <xf numFmtId="44" fontId="18" fillId="2" borderId="3" xfId="1" applyFont="1" applyFill="1" applyBorder="1" applyAlignment="1" applyProtection="1">
      <alignment horizontal="right"/>
      <protection locked="0"/>
    </xf>
    <xf numFmtId="44" fontId="3" fillId="0" borderId="4" xfId="1" applyFont="1" applyBorder="1" applyAlignment="1">
      <alignment horizontal="left" vertical="center"/>
    </xf>
    <xf numFmtId="10" fontId="15" fillId="0" borderId="1" xfId="2" applyNumberFormat="1" applyFont="1" applyBorder="1" applyAlignment="1">
      <alignment horizontal="center" vertical="center" wrapText="1"/>
    </xf>
    <xf numFmtId="44" fontId="3" fillId="2" borderId="2" xfId="1" applyFont="1" applyFill="1" applyBorder="1" applyAlignment="1" applyProtection="1">
      <alignment horizontal="center" vertical="center"/>
      <protection locked="0"/>
    </xf>
    <xf numFmtId="44" fontId="3" fillId="2" borderId="1" xfId="1" applyFont="1" applyFill="1" applyBorder="1" applyAlignment="1" applyProtection="1">
      <alignment horizontal="center" vertical="center"/>
      <protection locked="0"/>
    </xf>
    <xf numFmtId="44" fontId="18" fillId="0" borderId="4" xfId="1" applyFont="1" applyBorder="1" applyAlignment="1">
      <alignment horizontal="right" vertical="center"/>
    </xf>
    <xf numFmtId="0" fontId="2" fillId="0" borderId="0" xfId="0" applyFont="1" applyAlignment="1">
      <alignment horizontal="left" vertical="top"/>
    </xf>
    <xf numFmtId="0" fontId="9" fillId="0" borderId="0" xfId="0" applyFont="1" applyAlignment="1">
      <alignment vertical="top"/>
    </xf>
    <xf numFmtId="0" fontId="151" fillId="0" borderId="0" xfId="1" applyNumberFormat="1" applyFont="1" applyAlignment="1">
      <alignment horizontal="center"/>
    </xf>
    <xf numFmtId="0" fontId="102" fillId="0" borderId="0" xfId="0" applyFont="1" applyAlignment="1">
      <alignment horizontal="center" vertical="center" wrapText="1"/>
    </xf>
    <xf numFmtId="0" fontId="99" fillId="0" borderId="0" xfId="0" applyFont="1" applyAlignment="1">
      <alignment horizontal="left" vertical="center" wrapText="1" indent="1"/>
    </xf>
    <xf numFmtId="0" fontId="15" fillId="0" borderId="0" xfId="0" applyFont="1" applyAlignment="1">
      <alignment vertical="top"/>
    </xf>
    <xf numFmtId="0" fontId="151" fillId="0" borderId="0" xfId="0" applyFont="1" applyAlignment="1">
      <alignment horizontal="center"/>
    </xf>
    <xf numFmtId="0" fontId="7" fillId="0" borderId="0" xfId="0" applyFont="1" applyAlignment="1">
      <alignment horizontal="center" vertical="center" wrapText="1" shrinkToFit="1"/>
    </xf>
    <xf numFmtId="49" fontId="11" fillId="0" borderId="0" xfId="0" applyNumberFormat="1" applyFont="1" applyAlignment="1">
      <alignment horizontal="left" wrapText="1"/>
    </xf>
    <xf numFmtId="44" fontId="53" fillId="0" borderId="0" xfId="0" applyNumberFormat="1" applyFont="1" applyAlignment="1">
      <alignment horizontal="center" vertical="center"/>
    </xf>
    <xf numFmtId="44" fontId="31" fillId="0" borderId="0" xfId="1" applyFont="1" applyBorder="1" applyAlignment="1">
      <alignment horizontal="center" vertical="center" wrapText="1"/>
    </xf>
    <xf numFmtId="44" fontId="3" fillId="0" borderId="3" xfId="1" applyFont="1" applyBorder="1" applyAlignment="1">
      <alignment horizontal="center"/>
    </xf>
    <xf numFmtId="44" fontId="3" fillId="2" borderId="1" xfId="1" applyFont="1" applyFill="1" applyBorder="1" applyAlignment="1" applyProtection="1">
      <alignment horizontal="right" wrapText="1"/>
      <protection locked="0"/>
    </xf>
    <xf numFmtId="0" fontId="9" fillId="0" borderId="0" xfId="0" applyFont="1" applyAlignment="1">
      <alignment horizontal="center" vertical="center" wrapText="1" shrinkToFit="1"/>
    </xf>
    <xf numFmtId="0" fontId="158" fillId="0" borderId="0" xfId="0" applyFont="1" applyAlignment="1">
      <alignment horizontal="center" vertical="center" wrapText="1"/>
    </xf>
    <xf numFmtId="0" fontId="158" fillId="0" borderId="0" xfId="0" applyFont="1" applyAlignment="1">
      <alignment horizontal="center" vertical="center"/>
    </xf>
    <xf numFmtId="0" fontId="16" fillId="0" borderId="0" xfId="0" applyFont="1" applyAlignment="1">
      <alignment horizontal="left" shrinkToFit="1"/>
    </xf>
    <xf numFmtId="0" fontId="9" fillId="0" borderId="0" xfId="0" applyFont="1" applyAlignment="1">
      <alignment horizontal="left" shrinkToFit="1"/>
    </xf>
    <xf numFmtId="0" fontId="2" fillId="0" borderId="0" xfId="0" applyFont="1" applyAlignment="1">
      <alignment vertical="top" wrapText="1"/>
    </xf>
    <xf numFmtId="44" fontId="3" fillId="0" borderId="0" xfId="1" applyFont="1" applyBorder="1" applyAlignment="1">
      <alignment horizontal="center"/>
    </xf>
    <xf numFmtId="49" fontId="84" fillId="0" borderId="0" xfId="0" applyNumberFormat="1" applyFont="1" applyAlignment="1">
      <alignment horizontal="right" vertical="center"/>
    </xf>
    <xf numFmtId="0" fontId="129" fillId="2" borderId="89" xfId="0" applyFont="1" applyFill="1" applyBorder="1" applyAlignment="1" applyProtection="1">
      <alignment horizontal="center" vertical="center" wrapText="1"/>
      <protection locked="0"/>
    </xf>
    <xf numFmtId="0" fontId="129" fillId="2" borderId="91" xfId="0" applyFont="1" applyFill="1" applyBorder="1" applyAlignment="1" applyProtection="1">
      <alignment horizontal="center" vertical="center" wrapText="1"/>
      <protection locked="0"/>
    </xf>
    <xf numFmtId="0" fontId="11" fillId="0" borderId="0" xfId="0" applyFont="1" applyAlignment="1">
      <alignment horizontal="left" wrapText="1"/>
    </xf>
    <xf numFmtId="0" fontId="9" fillId="0" borderId="0" xfId="0" applyFont="1" applyAlignment="1">
      <alignment horizontal="left" vertical="center"/>
    </xf>
    <xf numFmtId="0" fontId="99" fillId="0" borderId="0" xfId="0" applyFont="1" applyAlignment="1">
      <alignment horizontal="left" vertical="top" wrapText="1" indent="1"/>
    </xf>
    <xf numFmtId="44" fontId="11" fillId="0" borderId="90" xfId="1" applyFont="1" applyBorder="1" applyAlignment="1">
      <alignment horizontal="center" vertical="center" wrapText="1"/>
    </xf>
    <xf numFmtId="0" fontId="17" fillId="0" borderId="0" xfId="0" applyFont="1" applyAlignment="1" applyProtection="1">
      <alignment horizontal="center" vertical="center"/>
      <protection locked="0" hidden="1"/>
      <extLst>
        <ext xmlns:xfpb="http://schemas.microsoft.com/office/spreadsheetml/2022/featurepropertybag" uri="{C7286773-470A-42A8-94C5-96B5CB345126}">
          <xfpb:xfComplement i="0"/>
        </ext>
      </extLst>
    </xf>
    <xf numFmtId="0" fontId="13" fillId="0" borderId="0" xfId="0" applyFont="1" applyAlignment="1">
      <alignment horizontal="center" vertical="center"/>
    </xf>
    <xf numFmtId="44" fontId="18" fillId="0" borderId="2" xfId="1" applyFont="1" applyBorder="1" applyAlignment="1">
      <alignment horizontal="center" vertical="center"/>
    </xf>
    <xf numFmtId="44" fontId="18" fillId="0" borderId="15" xfId="1" applyFont="1" applyBorder="1" applyAlignment="1">
      <alignment horizontal="center" vertical="center"/>
    </xf>
    <xf numFmtId="0" fontId="3" fillId="0" borderId="0" xfId="0" applyFont="1" applyAlignment="1">
      <alignment horizontal="right" vertical="center" shrinkToFit="1"/>
    </xf>
    <xf numFmtId="169" fontId="34" fillId="0" borderId="0" xfId="0" applyNumberFormat="1" applyFont="1" applyAlignment="1">
      <alignment horizontal="center" vertical="center"/>
    </xf>
    <xf numFmtId="0" fontId="30" fillId="0" borderId="0" xfId="0" applyFont="1" applyAlignment="1">
      <alignment horizontal="left" wrapText="1"/>
    </xf>
    <xf numFmtId="0" fontId="44" fillId="0" borderId="0" xfId="0" applyFont="1" applyAlignment="1">
      <alignment horizontal="right" vertical="center"/>
    </xf>
    <xf numFmtId="0" fontId="31" fillId="0" borderId="0" xfId="0" applyFont="1" applyAlignment="1">
      <alignment horizontal="center" vertical="center" wrapText="1"/>
    </xf>
    <xf numFmtId="0" fontId="25" fillId="0" borderId="0" xfId="1" applyNumberFormat="1" applyFont="1" applyFill="1" applyBorder="1" applyAlignment="1" applyProtection="1">
      <alignment horizontal="center"/>
      <protection locked="0"/>
    </xf>
    <xf numFmtId="44" fontId="34" fillId="0" borderId="0" xfId="0" applyNumberFormat="1" applyFont="1" applyAlignment="1">
      <alignment horizontal="center" vertical="center" wrapText="1"/>
    </xf>
    <xf numFmtId="14" fontId="8" fillId="0" borderId="0" xfId="0" applyNumberFormat="1" applyFont="1" applyAlignment="1">
      <alignment horizontal="center" vertical="top"/>
    </xf>
    <xf numFmtId="14" fontId="8" fillId="0" borderId="0" xfId="0" applyNumberFormat="1" applyFont="1" applyAlignment="1">
      <alignment horizontal="center" vertical="center"/>
    </xf>
    <xf numFmtId="14" fontId="22" fillId="0" borderId="0" xfId="0" applyNumberFormat="1" applyFont="1" applyAlignment="1">
      <alignment horizontal="center" vertical="top"/>
    </xf>
    <xf numFmtId="14" fontId="36" fillId="0" borderId="0" xfId="0" applyNumberFormat="1" applyFont="1" applyAlignment="1">
      <alignment horizontal="center" vertical="top"/>
    </xf>
    <xf numFmtId="0" fontId="71" fillId="0" borderId="0" xfId="0" applyFont="1" applyAlignment="1">
      <alignment horizontal="center"/>
    </xf>
    <xf numFmtId="0" fontId="78" fillId="0" borderId="0" xfId="0" applyFont="1" applyAlignment="1">
      <alignment horizontal="center"/>
    </xf>
    <xf numFmtId="0" fontId="77" fillId="0" borderId="0" xfId="0" applyFont="1" applyAlignment="1">
      <alignment horizontal="center" vertical="center"/>
    </xf>
    <xf numFmtId="0" fontId="53" fillId="0" borderId="0" xfId="0" applyFont="1" applyAlignment="1">
      <alignment horizontal="center" wrapText="1"/>
    </xf>
    <xf numFmtId="0" fontId="60" fillId="0" borderId="0" xfId="0" applyFont="1" applyAlignment="1">
      <alignment horizontal="center" vertical="center"/>
    </xf>
    <xf numFmtId="10" fontId="15" fillId="0" borderId="2" xfId="2" applyNumberFormat="1" applyFont="1" applyBorder="1" applyAlignment="1">
      <alignment horizontal="center" vertical="center" wrapText="1"/>
    </xf>
    <xf numFmtId="0" fontId="3" fillId="0" borderId="0" xfId="0" applyFont="1" applyAlignment="1">
      <alignment horizontal="center" vertical="center" shrinkToFit="1"/>
    </xf>
    <xf numFmtId="0" fontId="99" fillId="0" borderId="0" xfId="0" applyFont="1" applyAlignment="1">
      <alignment horizontal="left" wrapText="1" indent="1"/>
    </xf>
    <xf numFmtId="44" fontId="3" fillId="0" borderId="1" xfId="1" applyFont="1" applyBorder="1" applyAlignment="1">
      <alignment horizontal="center" vertical="center"/>
    </xf>
    <xf numFmtId="171" fontId="30" fillId="2" borderId="2" xfId="1" applyNumberFormat="1" applyFont="1" applyFill="1" applyBorder="1" applyAlignment="1" applyProtection="1">
      <alignment horizontal="center" vertical="center"/>
      <protection locked="0"/>
    </xf>
    <xf numFmtId="171" fontId="30" fillId="2" borderId="0" xfId="1" applyNumberFormat="1" applyFont="1" applyFill="1" applyAlignment="1" applyProtection="1">
      <alignment horizontal="center" vertical="center"/>
      <protection locked="0"/>
    </xf>
    <xf numFmtId="171" fontId="30" fillId="0" borderId="2" xfId="1" applyNumberFormat="1" applyFont="1" applyBorder="1" applyAlignment="1">
      <alignment horizontal="center" vertical="center"/>
    </xf>
    <xf numFmtId="171" fontId="30" fillId="0" borderId="0" xfId="1" applyNumberFormat="1" applyFont="1" applyAlignment="1">
      <alignment horizontal="center" vertical="center"/>
    </xf>
    <xf numFmtId="0" fontId="8" fillId="0" borderId="1" xfId="0" applyFont="1" applyBorder="1" applyAlignment="1">
      <alignment horizontal="right"/>
    </xf>
    <xf numFmtId="0" fontId="77" fillId="0" borderId="1" xfId="0" applyFont="1" applyBorder="1" applyProtection="1">
      <protection locked="0"/>
    </xf>
    <xf numFmtId="44" fontId="44" fillId="0" borderId="0" xfId="0" applyNumberFormat="1" applyFont="1" applyAlignment="1">
      <alignment horizontal="center" vertical="center" wrapText="1"/>
    </xf>
    <xf numFmtId="0" fontId="18" fillId="0" borderId="0" xfId="0" applyFont="1" applyAlignment="1">
      <alignment horizontal="left" vertical="center" wrapText="1" indent="3"/>
    </xf>
    <xf numFmtId="0" fontId="18" fillId="0" borderId="0" xfId="0" applyFont="1" applyAlignment="1">
      <alignment horizontal="left" vertical="center" indent="3"/>
    </xf>
    <xf numFmtId="0" fontId="3" fillId="2" borderId="1" xfId="1" applyNumberFormat="1" applyFont="1" applyFill="1" applyBorder="1" applyProtection="1">
      <protection locked="0"/>
    </xf>
    <xf numFmtId="0" fontId="77" fillId="0" borderId="1" xfId="0" applyFont="1" applyBorder="1" applyAlignment="1" applyProtection="1">
      <alignment horizontal="center"/>
      <protection locked="0"/>
    </xf>
    <xf numFmtId="0" fontId="8" fillId="0" borderId="1" xfId="0" applyFont="1" applyBorder="1" applyAlignment="1">
      <alignment horizontal="center"/>
    </xf>
    <xf numFmtId="44" fontId="3" fillId="2" borderId="2" xfId="1" applyFont="1" applyFill="1" applyBorder="1" applyAlignment="1" applyProtection="1">
      <alignment horizontal="center"/>
      <protection locked="0"/>
    </xf>
    <xf numFmtId="44" fontId="3" fillId="2" borderId="1" xfId="1" applyFont="1" applyFill="1" applyBorder="1" applyAlignment="1" applyProtection="1">
      <alignment horizontal="center"/>
      <protection locked="0"/>
    </xf>
    <xf numFmtId="0" fontId="2" fillId="2" borderId="0" xfId="0" applyFont="1" applyFill="1" applyProtection="1">
      <protection locked="0"/>
    </xf>
    <xf numFmtId="0" fontId="95" fillId="0" borderId="1" xfId="0" applyFont="1" applyBorder="1" applyAlignment="1">
      <alignment horizontal="center" vertical="center" shrinkToFit="1"/>
    </xf>
    <xf numFmtId="0" fontId="95" fillId="0" borderId="1" xfId="0" applyFont="1" applyBorder="1" applyAlignment="1">
      <alignment horizontal="center" vertical="top"/>
    </xf>
    <xf numFmtId="0" fontId="43" fillId="0" borderId="0" xfId="0" applyFont="1" applyAlignment="1">
      <alignment horizontal="left"/>
    </xf>
    <xf numFmtId="172" fontId="31" fillId="0" borderId="0" xfId="1" applyNumberFormat="1" applyFont="1" applyAlignment="1" applyProtection="1">
      <alignment horizontal="center" vertical="center" shrinkToFit="1"/>
      <protection locked="0"/>
    </xf>
    <xf numFmtId="0" fontId="31" fillId="0" borderId="0" xfId="0" applyFont="1" applyAlignment="1">
      <alignment horizontal="left" indent="8"/>
    </xf>
    <xf numFmtId="0" fontId="3" fillId="0" borderId="0" xfId="0" applyFont="1" applyAlignment="1">
      <alignment horizontal="left" vertical="center" indent="5"/>
    </xf>
    <xf numFmtId="0" fontId="7" fillId="0" borderId="0" xfId="0" applyFont="1" applyAlignment="1">
      <alignment horizontal="left" vertical="center" wrapText="1"/>
    </xf>
    <xf numFmtId="0" fontId="44" fillId="0" borderId="0" xfId="0" applyFont="1" applyAlignment="1">
      <alignment horizontal="left" vertical="center" wrapText="1"/>
    </xf>
    <xf numFmtId="0" fontId="132" fillId="0" borderId="0" xfId="0" applyFont="1" applyAlignment="1">
      <alignment horizontal="right" vertical="top" wrapText="1"/>
    </xf>
    <xf numFmtId="0" fontId="18" fillId="0" borderId="0" xfId="0" applyFont="1" applyAlignment="1">
      <alignment horizontal="center" vertical="center" shrinkToFit="1"/>
    </xf>
    <xf numFmtId="0" fontId="133" fillId="0" borderId="2" xfId="0" applyFont="1" applyBorder="1" applyAlignment="1">
      <alignment horizontal="center" vertical="center" wrapText="1" shrinkToFit="1"/>
    </xf>
    <xf numFmtId="0" fontId="133" fillId="0" borderId="0" xfId="0" applyFont="1" applyAlignment="1">
      <alignment horizontal="center" vertical="center" wrapText="1" shrinkToFit="1"/>
    </xf>
    <xf numFmtId="0" fontId="31" fillId="0" borderId="1" xfId="0" applyFont="1" applyBorder="1" applyAlignment="1" applyProtection="1">
      <alignment horizontal="center" vertical="center"/>
      <protection locked="0"/>
    </xf>
    <xf numFmtId="0" fontId="30" fillId="0" borderId="0" xfId="0" applyFont="1" applyAlignment="1">
      <alignment shrinkToFit="1"/>
    </xf>
    <xf numFmtId="0" fontId="15" fillId="0" borderId="0" xfId="0" applyFont="1" applyAlignment="1">
      <alignment vertical="center"/>
    </xf>
    <xf numFmtId="44" fontId="3" fillId="0" borderId="3" xfId="0" applyNumberFormat="1" applyFont="1" applyBorder="1" applyAlignment="1">
      <alignment horizontal="right" vertical="center"/>
    </xf>
    <xf numFmtId="0" fontId="3" fillId="6" borderId="67" xfId="0" applyFont="1" applyFill="1" applyBorder="1" applyAlignment="1">
      <alignment horizontal="left" vertical="center" wrapText="1"/>
    </xf>
    <xf numFmtId="0" fontId="3" fillId="6" borderId="3" xfId="0" applyFont="1" applyFill="1" applyBorder="1" applyAlignment="1">
      <alignment horizontal="left" vertical="center" wrapText="1"/>
    </xf>
    <xf numFmtId="0" fontId="3" fillId="6" borderId="37" xfId="0" applyFont="1" applyFill="1" applyBorder="1" applyAlignment="1">
      <alignment horizontal="left" vertical="center" wrapText="1"/>
    </xf>
    <xf numFmtId="0" fontId="3" fillId="0" borderId="77" xfId="0" applyFont="1" applyBorder="1" applyAlignment="1">
      <alignment horizontal="left" indent="1"/>
    </xf>
    <xf numFmtId="0" fontId="3" fillId="0" borderId="2" xfId="0" applyFont="1" applyBorder="1" applyAlignment="1">
      <alignment horizontal="left" indent="1"/>
    </xf>
    <xf numFmtId="0" fontId="3" fillId="0" borderId="78" xfId="0" applyFont="1" applyBorder="1" applyAlignment="1">
      <alignment horizontal="left" indent="1"/>
    </xf>
    <xf numFmtId="0" fontId="30" fillId="0" borderId="71" xfId="0" applyFont="1" applyBorder="1" applyAlignment="1">
      <alignment horizontal="center" vertical="center" shrinkToFit="1"/>
    </xf>
    <xf numFmtId="0" fontId="30" fillId="0" borderId="0" xfId="0" applyFont="1" applyAlignment="1">
      <alignment horizontal="center" vertical="center" shrinkToFit="1"/>
    </xf>
    <xf numFmtId="0" fontId="30" fillId="0" borderId="70" xfId="0" applyFont="1" applyBorder="1" applyAlignment="1">
      <alignment horizontal="center" vertical="center" shrinkToFit="1"/>
    </xf>
    <xf numFmtId="0" fontId="2" fillId="0" borderId="79" xfId="0" applyFont="1" applyBorder="1"/>
    <xf numFmtId="0" fontId="2" fillId="0" borderId="1" xfId="0" applyFont="1" applyBorder="1"/>
    <xf numFmtId="0" fontId="2" fillId="0" borderId="53" xfId="0" applyFont="1" applyBorder="1"/>
    <xf numFmtId="0" fontId="45" fillId="0" borderId="0" xfId="0" applyFont="1" applyAlignment="1" applyProtection="1">
      <alignment horizontal="right"/>
      <protection hidden="1"/>
    </xf>
    <xf numFmtId="2" fontId="44" fillId="0" borderId="0" xfId="1" applyNumberFormat="1" applyFont="1" applyAlignment="1">
      <alignment horizontal="center" vertical="center"/>
    </xf>
    <xf numFmtId="0" fontId="9" fillId="0" borderId="113" xfId="0" applyFont="1" applyBorder="1" applyAlignment="1">
      <alignment horizontal="center" vertical="center"/>
    </xf>
    <xf numFmtId="0" fontId="9" fillId="0" borderId="114" xfId="0" applyFont="1" applyBorder="1" applyAlignment="1">
      <alignment horizontal="center" vertical="center"/>
    </xf>
    <xf numFmtId="2" fontId="13" fillId="0" borderId="106" xfId="0" applyNumberFormat="1" applyFont="1" applyBorder="1" applyAlignment="1">
      <alignment horizontal="center" vertical="center"/>
    </xf>
    <xf numFmtId="2" fontId="13" fillId="0" borderId="100" xfId="0" applyNumberFormat="1" applyFont="1" applyBorder="1" applyAlignment="1">
      <alignment horizontal="center" vertical="center"/>
    </xf>
    <xf numFmtId="44" fontId="25" fillId="2" borderId="1" xfId="1" applyFont="1" applyFill="1" applyBorder="1" applyAlignment="1" applyProtection="1">
      <alignment horizontal="right"/>
    </xf>
    <xf numFmtId="44" fontId="25" fillId="0" borderId="0" xfId="1" applyFont="1" applyAlignment="1">
      <alignment horizontal="center"/>
    </xf>
    <xf numFmtId="44" fontId="131" fillId="0" borderId="0" xfId="1" applyFont="1" applyAlignment="1">
      <alignment horizontal="center" vertical="center" wrapText="1"/>
    </xf>
    <xf numFmtId="0" fontId="3" fillId="0" borderId="0" xfId="0" quotePrefix="1" applyFont="1" applyAlignment="1">
      <alignment horizontal="center"/>
    </xf>
    <xf numFmtId="44" fontId="18" fillId="0" borderId="4" xfId="1" applyFont="1" applyBorder="1" applyAlignment="1">
      <alignment horizontal="center"/>
    </xf>
    <xf numFmtId="0" fontId="15" fillId="0" borderId="0" xfId="0" quotePrefix="1" applyFont="1" applyAlignment="1">
      <alignment horizontal="left" vertical="top" wrapText="1" indent="1"/>
    </xf>
    <xf numFmtId="0" fontId="15" fillId="0" borderId="0" xfId="0" applyFont="1" applyAlignment="1">
      <alignment horizontal="left" vertical="top" wrapText="1" indent="1"/>
    </xf>
    <xf numFmtId="44" fontId="84" fillId="0" borderId="0" xfId="0" applyNumberFormat="1" applyFont="1" applyAlignment="1">
      <alignment horizontal="center" vertical="center"/>
    </xf>
    <xf numFmtId="0" fontId="12" fillId="0" borderId="0" xfId="0" applyFont="1" applyAlignment="1">
      <alignment horizontal="center" vertical="center"/>
    </xf>
    <xf numFmtId="0" fontId="31" fillId="0" borderId="0" xfId="0" applyFont="1" applyAlignment="1" applyProtection="1">
      <alignment horizontal="center" vertical="center" shrinkToFit="1"/>
      <protection locked="0"/>
    </xf>
    <xf numFmtId="0" fontId="31" fillId="0" borderId="0" xfId="0" applyFont="1" applyAlignment="1" applyProtection="1">
      <alignment horizontal="center" vertical="center"/>
      <protection locked="0"/>
    </xf>
    <xf numFmtId="0" fontId="18" fillId="0" borderId="2" xfId="0" applyFont="1" applyBorder="1" applyAlignment="1">
      <alignment horizontal="center" vertical="center"/>
    </xf>
    <xf numFmtId="44" fontId="2" fillId="0" borderId="2" xfId="0" applyNumberFormat="1" applyFont="1" applyBorder="1" applyAlignment="1">
      <alignment horizontal="center"/>
    </xf>
    <xf numFmtId="0" fontId="17" fillId="0" borderId="71" xfId="0" applyFont="1" applyBorder="1" applyAlignment="1">
      <alignment horizontal="left" vertical="top" wrapText="1" shrinkToFit="1"/>
    </xf>
    <xf numFmtId="0" fontId="17" fillId="0" borderId="0" xfId="0" applyFont="1" applyAlignment="1">
      <alignment horizontal="left" vertical="top" wrapText="1" shrinkToFit="1"/>
    </xf>
    <xf numFmtId="0" fontId="17" fillId="0" borderId="70" xfId="0" applyFont="1" applyBorder="1" applyAlignment="1">
      <alignment horizontal="left" vertical="top" wrapText="1" shrinkToFit="1"/>
    </xf>
    <xf numFmtId="44" fontId="2" fillId="0" borderId="3" xfId="0" applyNumberFormat="1" applyFont="1" applyBorder="1" applyAlignment="1">
      <alignment horizontal="center"/>
    </xf>
    <xf numFmtId="0" fontId="15" fillId="0" borderId="0" xfId="0" applyFont="1" applyAlignment="1">
      <alignment horizontal="center" vertical="center"/>
    </xf>
    <xf numFmtId="0" fontId="30" fillId="0" borderId="0" xfId="0" applyFont="1" applyAlignment="1">
      <alignment horizontal="center" vertical="center" wrapText="1"/>
    </xf>
    <xf numFmtId="0" fontId="110" fillId="0" borderId="0" xfId="0" applyFont="1" applyAlignment="1">
      <alignment horizontal="center" vertical="top" wrapText="1"/>
    </xf>
    <xf numFmtId="0" fontId="15" fillId="0" borderId="2" xfId="0" applyFont="1" applyBorder="1" applyAlignment="1">
      <alignment horizontal="center" vertical="top" wrapText="1"/>
    </xf>
    <xf numFmtId="0" fontId="15" fillId="0" borderId="0" xfId="0" applyFont="1" applyAlignment="1">
      <alignment horizontal="center" vertical="top" wrapText="1"/>
    </xf>
    <xf numFmtId="0" fontId="3" fillId="2" borderId="1" xfId="0" applyFont="1" applyFill="1" applyBorder="1" applyAlignment="1" applyProtection="1">
      <alignment vertical="center"/>
      <protection locked="0"/>
    </xf>
    <xf numFmtId="44" fontId="3" fillId="0" borderId="4" xfId="0" applyNumberFormat="1" applyFont="1" applyBorder="1" applyAlignment="1">
      <alignment horizontal="right" vertical="center"/>
    </xf>
    <xf numFmtId="44" fontId="15" fillId="0" borderId="0" xfId="0" applyNumberFormat="1" applyFont="1" applyAlignment="1">
      <alignment horizontal="left" vertical="top" wrapText="1"/>
    </xf>
    <xf numFmtId="44" fontId="15" fillId="0" borderId="0" xfId="0" applyNumberFormat="1" applyFont="1" applyAlignment="1">
      <alignment horizontal="left" vertical="top"/>
    </xf>
    <xf numFmtId="0" fontId="83" fillId="0" borderId="0" xfId="0" applyFont="1" applyAlignment="1">
      <alignment horizontal="left" vertical="center" wrapText="1"/>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2" xfId="0" applyFont="1" applyBorder="1" applyAlignment="1">
      <alignment horizontal="center" vertical="center"/>
    </xf>
    <xf numFmtId="0" fontId="83" fillId="0" borderId="0" xfId="0" applyFont="1" applyAlignment="1">
      <alignment vertical="center"/>
    </xf>
    <xf numFmtId="0" fontId="2" fillId="0" borderId="0" xfId="0" applyFont="1" applyAlignment="1">
      <alignment horizontal="center" vertical="center"/>
    </xf>
    <xf numFmtId="44" fontId="25" fillId="0" borderId="0" xfId="1" applyFont="1" applyFill="1" applyBorder="1" applyAlignment="1" applyProtection="1">
      <alignment horizontal="right"/>
    </xf>
    <xf numFmtId="0" fontId="3" fillId="0" borderId="1" xfId="0" applyFont="1" applyBorder="1" applyAlignment="1">
      <alignment horizontal="left"/>
    </xf>
    <xf numFmtId="0" fontId="8" fillId="0" borderId="77" xfId="0" applyFont="1" applyBorder="1" applyAlignment="1">
      <alignment horizontal="center" vertical="center"/>
    </xf>
    <xf numFmtId="0" fontId="8" fillId="0" borderId="2" xfId="0" applyFont="1" applyBorder="1" applyAlignment="1">
      <alignment horizontal="center" vertical="center"/>
    </xf>
    <xf numFmtId="0" fontId="8" fillId="0" borderId="78" xfId="0" applyFont="1" applyBorder="1" applyAlignment="1">
      <alignment horizontal="center" vertical="center"/>
    </xf>
    <xf numFmtId="0" fontId="8" fillId="0" borderId="71" xfId="0" applyFont="1" applyBorder="1" applyAlignment="1">
      <alignment horizontal="center" vertical="center"/>
    </xf>
    <xf numFmtId="0" fontId="8" fillId="0" borderId="70" xfId="0" applyFont="1" applyBorder="1" applyAlignment="1">
      <alignment horizontal="center" vertical="center"/>
    </xf>
    <xf numFmtId="44" fontId="3" fillId="0" borderId="1" xfId="1" applyFont="1" applyBorder="1" applyAlignment="1">
      <alignment horizontal="center"/>
    </xf>
    <xf numFmtId="173" fontId="112" fillId="0" borderId="0" xfId="1" applyNumberFormat="1" applyFont="1" applyAlignment="1">
      <alignment horizontal="center" vertical="center"/>
    </xf>
    <xf numFmtId="44" fontId="83" fillId="0" borderId="0" xfId="1" applyFont="1" applyAlignment="1">
      <alignment horizontal="center"/>
    </xf>
    <xf numFmtId="0" fontId="132" fillId="0" borderId="0" xfId="0" applyFont="1" applyAlignment="1">
      <alignment horizontal="right" vertical="top" wrapText="1" indent="1"/>
    </xf>
    <xf numFmtId="0" fontId="132" fillId="0" borderId="0" xfId="0" applyFont="1" applyAlignment="1">
      <alignment horizontal="right" vertical="top" indent="1"/>
    </xf>
    <xf numFmtId="0" fontId="7" fillId="0" borderId="0" xfId="0" applyFont="1" applyAlignment="1">
      <alignment horizontal="left" vertical="top"/>
    </xf>
    <xf numFmtId="44" fontId="13" fillId="0" borderId="0" xfId="1" applyFont="1" applyAlignment="1">
      <alignment horizontal="center"/>
    </xf>
    <xf numFmtId="44" fontId="13" fillId="0" borderId="1" xfId="1" applyFont="1" applyBorder="1" applyAlignment="1">
      <alignment horizontal="center"/>
    </xf>
    <xf numFmtId="0" fontId="7" fillId="0" borderId="0" xfId="0" applyFont="1" applyAlignment="1">
      <alignment vertical="top"/>
    </xf>
    <xf numFmtId="0" fontId="0" fillId="0" borderId="0" xfId="0" applyAlignment="1">
      <alignment horizontal="right" indent="1"/>
    </xf>
    <xf numFmtId="44" fontId="2" fillId="0" borderId="1" xfId="0" applyNumberFormat="1" applyFont="1" applyBorder="1" applyAlignment="1">
      <alignment horizontal="center"/>
    </xf>
    <xf numFmtId="44" fontId="3" fillId="2" borderId="1" xfId="0" applyNumberFormat="1" applyFont="1" applyFill="1" applyBorder="1" applyAlignment="1" applyProtection="1">
      <alignment horizontal="center"/>
      <protection locked="0"/>
    </xf>
    <xf numFmtId="0" fontId="13" fillId="6" borderId="67" xfId="0" applyFont="1" applyFill="1" applyBorder="1" applyAlignment="1">
      <alignment horizontal="left" vertical="center" wrapText="1" indent="1"/>
    </xf>
    <xf numFmtId="0" fontId="13" fillId="6" borderId="3" xfId="0" applyFont="1" applyFill="1" applyBorder="1" applyAlignment="1">
      <alignment horizontal="left" vertical="center" wrapText="1" indent="1"/>
    </xf>
    <xf numFmtId="0" fontId="13" fillId="6" borderId="37" xfId="0" applyFont="1" applyFill="1" applyBorder="1" applyAlignment="1">
      <alignment horizontal="left" vertical="center" wrapText="1" indent="1"/>
    </xf>
    <xf numFmtId="44" fontId="19" fillId="0" borderId="14" xfId="0" applyNumberFormat="1" applyFont="1" applyBorder="1" applyAlignment="1" applyProtection="1">
      <alignment shrinkToFit="1"/>
      <protection hidden="1"/>
    </xf>
    <xf numFmtId="44" fontId="21" fillId="0" borderId="0" xfId="0" applyNumberFormat="1" applyFont="1" applyAlignment="1" applyProtection="1">
      <alignment vertical="center" shrinkToFit="1"/>
      <protection hidden="1"/>
    </xf>
    <xf numFmtId="0" fontId="0" fillId="0" borderId="79" xfId="0" applyBorder="1" applyAlignment="1">
      <alignment horizontal="center" vertical="top"/>
    </xf>
    <xf numFmtId="0" fontId="0" fillId="0" borderId="1" xfId="0" applyBorder="1" applyAlignment="1">
      <alignment horizontal="center" vertical="top"/>
    </xf>
    <xf numFmtId="0" fontId="0" fillId="0" borderId="53" xfId="0" applyBorder="1" applyAlignment="1">
      <alignment horizontal="center" vertical="top"/>
    </xf>
    <xf numFmtId="44" fontId="52" fillId="0" borderId="0" xfId="0" applyNumberFormat="1" applyFont="1" applyAlignment="1">
      <alignment horizontal="center" vertical="center" wrapText="1"/>
    </xf>
    <xf numFmtId="0" fontId="13" fillId="0" borderId="0" xfId="0" applyFont="1" applyAlignment="1">
      <alignment horizontal="right" vertical="center" indent="1" shrinkToFit="1"/>
    </xf>
    <xf numFmtId="0" fontId="18" fillId="2" borderId="1" xfId="0" applyFont="1" applyFill="1" applyBorder="1" applyAlignment="1" applyProtection="1">
      <alignment horizontal="left"/>
      <protection locked="0"/>
    </xf>
    <xf numFmtId="0" fontId="3" fillId="0" borderId="0" xfId="0" quotePrefix="1" applyFont="1" applyAlignment="1">
      <alignment horizontal="right" vertical="center" indent="1"/>
    </xf>
    <xf numFmtId="49" fontId="0" fillId="0" borderId="0" xfId="0" applyNumberFormat="1" applyAlignment="1">
      <alignment horizontal="center" vertical="center"/>
    </xf>
    <xf numFmtId="44" fontId="18" fillId="0" borderId="4" xfId="0" applyNumberFormat="1" applyFont="1" applyBorder="1" applyAlignment="1">
      <alignment horizontal="center" vertical="center"/>
    </xf>
    <xf numFmtId="0" fontId="114" fillId="0" borderId="0" xfId="0" applyFont="1" applyAlignment="1">
      <alignment horizontal="center" vertical="center" wrapText="1"/>
    </xf>
    <xf numFmtId="0" fontId="3" fillId="0" borderId="18" xfId="0" applyFont="1" applyBorder="1" applyAlignment="1">
      <alignment horizontal="center" vertical="top"/>
    </xf>
    <xf numFmtId="0" fontId="3" fillId="0" borderId="21" xfId="0" applyFont="1" applyBorder="1" applyAlignment="1">
      <alignment horizontal="center"/>
    </xf>
    <xf numFmtId="0" fontId="17" fillId="0" borderId="71" xfId="0" applyFont="1" applyBorder="1" applyAlignment="1">
      <alignment horizontal="left" vertical="top" wrapText="1"/>
    </xf>
    <xf numFmtId="0" fontId="17" fillId="0" borderId="0" xfId="0" applyFont="1" applyAlignment="1">
      <alignment horizontal="left" vertical="top" wrapText="1"/>
    </xf>
    <xf numFmtId="0" fontId="17" fillId="0" borderId="70" xfId="0" applyFont="1" applyBorder="1" applyAlignment="1">
      <alignment horizontal="left" vertical="top" wrapText="1"/>
    </xf>
    <xf numFmtId="44" fontId="3" fillId="0" borderId="14" xfId="0" applyNumberFormat="1" applyFont="1" applyBorder="1" applyAlignment="1">
      <alignment horizontal="center" vertical="center"/>
    </xf>
    <xf numFmtId="0" fontId="31" fillId="0" borderId="0" xfId="0" applyFont="1" applyAlignment="1">
      <alignment horizontal="left" vertical="center" indent="5"/>
    </xf>
    <xf numFmtId="0" fontId="30" fillId="0" borderId="0" xfId="0" applyFont="1" applyAlignment="1">
      <alignment horizontal="left" vertical="top" wrapText="1" shrinkToFit="1"/>
    </xf>
    <xf numFmtId="0" fontId="83" fillId="0" borderId="0" xfId="0" applyFont="1" applyAlignment="1">
      <alignment horizontal="center" vertical="center" shrinkToFit="1"/>
    </xf>
    <xf numFmtId="0" fontId="104" fillId="0" borderId="2" xfId="0" applyFont="1" applyBorder="1" applyAlignment="1">
      <alignment horizontal="center" vertical="center" wrapText="1"/>
    </xf>
    <xf numFmtId="44" fontId="104" fillId="0" borderId="0" xfId="1" applyFont="1" applyAlignment="1">
      <alignment horizontal="center" vertical="center" wrapText="1"/>
    </xf>
    <xf numFmtId="0" fontId="15" fillId="0" borderId="0" xfId="0" applyFont="1" applyAlignment="1">
      <alignment horizontal="left" vertical="top" wrapText="1"/>
    </xf>
    <xf numFmtId="0" fontId="60" fillId="0" borderId="0" xfId="0" applyFont="1" applyAlignment="1">
      <alignment horizontal="center" vertical="top" wrapText="1"/>
    </xf>
    <xf numFmtId="44" fontId="25" fillId="2" borderId="1" xfId="1" applyFont="1" applyFill="1" applyBorder="1" applyAlignment="1" applyProtection="1">
      <alignment horizontal="right"/>
      <protection locked="0"/>
    </xf>
    <xf numFmtId="44" fontId="18" fillId="0" borderId="15" xfId="1" applyFont="1" applyBorder="1" applyAlignment="1">
      <alignment horizontal="center"/>
    </xf>
    <xf numFmtId="0" fontId="15" fillId="0" borderId="0" xfId="0" quotePrefix="1" applyFont="1" applyAlignment="1">
      <alignment horizontal="left" vertical="top" wrapText="1" indent="3"/>
    </xf>
    <xf numFmtId="0" fontId="15" fillId="0" borderId="0" xfId="0" applyFont="1" applyAlignment="1">
      <alignment horizontal="left" vertical="top" wrapText="1" indent="3"/>
    </xf>
    <xf numFmtId="0" fontId="13" fillId="0" borderId="0" xfId="0" applyFont="1" applyAlignment="1">
      <alignment shrinkToFit="1"/>
    </xf>
    <xf numFmtId="0" fontId="3" fillId="2" borderId="0" xfId="0" applyFont="1" applyFill="1" applyAlignment="1" applyProtection="1">
      <alignment horizontal="left"/>
      <protection locked="0"/>
    </xf>
    <xf numFmtId="44" fontId="15" fillId="0" borderId="0" xfId="0" quotePrefix="1" applyNumberFormat="1" applyFont="1" applyAlignment="1">
      <alignment horizontal="left" vertical="top" wrapText="1" indent="3"/>
    </xf>
    <xf numFmtId="44" fontId="15" fillId="0" borderId="0" xfId="0" applyNumberFormat="1" applyFont="1" applyAlignment="1">
      <alignment horizontal="left" vertical="top" indent="3"/>
    </xf>
    <xf numFmtId="0" fontId="11" fillId="0" borderId="0" xfId="0" applyFont="1" applyAlignment="1">
      <alignment horizontal="center" vertical="center"/>
    </xf>
    <xf numFmtId="0" fontId="3" fillId="6" borderId="67" xfId="0" applyFont="1" applyFill="1" applyBorder="1" applyAlignment="1">
      <alignment horizontal="left" vertical="center" wrapText="1" indent="1"/>
    </xf>
    <xf numFmtId="0" fontId="3" fillId="6" borderId="3" xfId="0" applyFont="1" applyFill="1" applyBorder="1" applyAlignment="1">
      <alignment horizontal="left" vertical="center" wrapText="1" indent="1"/>
    </xf>
    <xf numFmtId="0" fontId="3" fillId="6" borderId="37" xfId="0" applyFont="1" applyFill="1" applyBorder="1" applyAlignment="1">
      <alignment horizontal="left" vertical="center" wrapText="1" indent="1"/>
    </xf>
    <xf numFmtId="44" fontId="3" fillId="0" borderId="4" xfId="0" applyNumberFormat="1" applyFont="1" applyBorder="1" applyAlignment="1" applyProtection="1">
      <alignment horizontal="center" vertical="center"/>
      <protection locked="0"/>
    </xf>
    <xf numFmtId="0" fontId="2" fillId="0" borderId="71" xfId="0" applyFont="1" applyBorder="1"/>
    <xf numFmtId="0" fontId="2" fillId="0" borderId="70" xfId="0" applyFont="1" applyBorder="1"/>
    <xf numFmtId="0" fontId="2" fillId="0" borderId="71" xfId="0" applyFont="1" applyBorder="1" applyAlignment="1">
      <alignment horizontal="center" vertical="center"/>
    </xf>
    <xf numFmtId="0" fontId="2" fillId="0" borderId="70" xfId="0" applyFont="1" applyBorder="1" applyAlignment="1">
      <alignment vertical="center"/>
    </xf>
    <xf numFmtId="0" fontId="13" fillId="0" borderId="16" xfId="0" applyFont="1" applyBorder="1" applyAlignment="1">
      <alignment horizontal="center" vertical="center"/>
    </xf>
    <xf numFmtId="172" fontId="0" fillId="0" borderId="16" xfId="0" applyNumberFormat="1" applyBorder="1" applyAlignment="1">
      <alignment horizontal="center" vertical="center"/>
    </xf>
    <xf numFmtId="172" fontId="91" fillId="0" borderId="16" xfId="0" applyNumberFormat="1" applyFont="1" applyBorder="1" applyAlignment="1">
      <alignment horizontal="center" vertical="center" wrapText="1"/>
    </xf>
    <xf numFmtId="0" fontId="90" fillId="0" borderId="16" xfId="0" applyFont="1" applyBorder="1" applyAlignment="1">
      <alignment horizontal="center" vertical="center" wrapText="1"/>
    </xf>
    <xf numFmtId="0" fontId="13" fillId="0" borderId="32" xfId="0" applyFont="1" applyBorder="1" applyAlignment="1">
      <alignment horizontal="center" vertical="center"/>
    </xf>
    <xf numFmtId="0" fontId="13" fillId="0" borderId="33" xfId="0" applyFont="1" applyBorder="1" applyAlignment="1">
      <alignment horizontal="center" vertical="center"/>
    </xf>
    <xf numFmtId="0" fontId="13" fillId="0" borderId="35" xfId="0" applyFont="1"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xf>
    <xf numFmtId="0" fontId="91" fillId="0" borderId="38" xfId="0" applyFont="1" applyBorder="1" applyAlignment="1">
      <alignment horizontal="center" vertical="center" wrapText="1"/>
    </xf>
    <xf numFmtId="0" fontId="91" fillId="0" borderId="30" xfId="0" applyFont="1" applyBorder="1" applyAlignment="1">
      <alignment horizontal="center" vertical="center" wrapText="1"/>
    </xf>
    <xf numFmtId="0" fontId="0" fillId="0" borderId="30" xfId="0" applyBorder="1" applyAlignment="1">
      <alignment horizontal="center" vertical="center"/>
    </xf>
    <xf numFmtId="0" fontId="0" fillId="0" borderId="31" xfId="0" applyBorder="1" applyAlignment="1">
      <alignment horizontal="center" vertical="center"/>
    </xf>
    <xf numFmtId="0" fontId="13" fillId="0" borderId="24" xfId="0" applyFont="1" applyBorder="1" applyAlignment="1">
      <alignment horizontal="center" vertical="center"/>
    </xf>
    <xf numFmtId="0" fontId="13" fillId="0" borderId="25" xfId="0" applyFont="1" applyBorder="1" applyAlignment="1">
      <alignment horizontal="center" vertical="center"/>
    </xf>
    <xf numFmtId="0" fontId="13" fillId="0" borderId="26" xfId="0" applyFont="1" applyBorder="1" applyAlignment="1">
      <alignment horizontal="center" vertical="center"/>
    </xf>
    <xf numFmtId="0" fontId="13" fillId="0" borderId="27" xfId="0" applyFont="1" applyBorder="1" applyAlignment="1">
      <alignment horizontal="center" vertical="center"/>
    </xf>
    <xf numFmtId="0" fontId="13" fillId="0" borderId="23" xfId="0" applyFont="1" applyBorder="1" applyAlignment="1">
      <alignment horizontal="center" vertical="center"/>
    </xf>
    <xf numFmtId="0" fontId="13" fillId="0" borderId="28" xfId="0" applyFont="1" applyBorder="1" applyAlignment="1">
      <alignment horizontal="center" vertical="center"/>
    </xf>
    <xf numFmtId="0" fontId="13" fillId="0" borderId="29" xfId="0" applyFont="1" applyBorder="1" applyAlignment="1">
      <alignment horizontal="center" vertical="center"/>
    </xf>
    <xf numFmtId="0" fontId="13" fillId="0" borderId="30" xfId="0" applyFont="1" applyBorder="1" applyAlignment="1">
      <alignment horizontal="center" vertical="center"/>
    </xf>
    <xf numFmtId="0" fontId="13" fillId="0" borderId="31" xfId="0" applyFont="1" applyBorder="1" applyAlignment="1">
      <alignment horizontal="center" vertical="center"/>
    </xf>
    <xf numFmtId="0" fontId="91" fillId="0" borderId="36" xfId="0" applyFont="1" applyBorder="1" applyAlignment="1">
      <alignment horizontal="center" vertical="center" wrapText="1"/>
    </xf>
    <xf numFmtId="0" fontId="91" fillId="0" borderId="25" xfId="0" applyFont="1" applyBorder="1" applyAlignment="1">
      <alignment horizontal="center" vertical="center" wrapText="1"/>
    </xf>
    <xf numFmtId="0" fontId="0" fillId="0" borderId="25" xfId="0" applyBorder="1" applyAlignment="1">
      <alignment horizontal="center" vertical="center"/>
    </xf>
    <xf numFmtId="0" fontId="0" fillId="0" borderId="26" xfId="0" applyBorder="1" applyAlignment="1">
      <alignment horizontal="center" vertical="center"/>
    </xf>
    <xf numFmtId="0" fontId="91" fillId="0" borderId="37" xfId="0" applyFont="1" applyBorder="1" applyAlignment="1">
      <alignment horizontal="center" vertical="center" wrapText="1"/>
    </xf>
    <xf numFmtId="0" fontId="91" fillId="0" borderId="23" xfId="0" applyFont="1" applyBorder="1" applyAlignment="1">
      <alignment horizontal="center" vertical="center" wrapText="1"/>
    </xf>
    <xf numFmtId="0" fontId="17" fillId="0" borderId="25" xfId="0" applyFont="1" applyBorder="1" applyAlignment="1">
      <alignment horizontal="center" vertical="center"/>
    </xf>
    <xf numFmtId="0" fontId="17" fillId="0" borderId="26" xfId="0" applyFont="1" applyBorder="1" applyAlignment="1">
      <alignment horizontal="center" vertical="center"/>
    </xf>
    <xf numFmtId="0" fontId="13" fillId="0" borderId="88" xfId="0" applyFont="1" applyBorder="1" applyAlignment="1">
      <alignment horizontal="center" vertical="center"/>
    </xf>
    <xf numFmtId="0" fontId="13" fillId="0" borderId="61" xfId="0" applyFont="1" applyBorder="1" applyAlignment="1">
      <alignment horizontal="center" vertical="center"/>
    </xf>
    <xf numFmtId="0" fontId="13" fillId="0" borderId="62" xfId="0" applyFont="1" applyBorder="1" applyAlignment="1">
      <alignment horizontal="center" vertical="center"/>
    </xf>
    <xf numFmtId="0" fontId="90" fillId="0" borderId="24" xfId="0" applyFont="1" applyBorder="1" applyAlignment="1">
      <alignment horizontal="center" vertical="center" wrapText="1"/>
    </xf>
    <xf numFmtId="0" fontId="90" fillId="0" borderId="25" xfId="0" applyFont="1" applyBorder="1" applyAlignment="1">
      <alignment horizontal="center" vertical="center" wrapText="1"/>
    </xf>
    <xf numFmtId="0" fontId="90" fillId="0" borderId="26" xfId="0" applyFont="1" applyBorder="1" applyAlignment="1">
      <alignment horizontal="center" vertical="center" wrapText="1"/>
    </xf>
    <xf numFmtId="0" fontId="90" fillId="0" borderId="27" xfId="0" applyFont="1" applyBorder="1" applyAlignment="1">
      <alignment horizontal="center" vertical="center" wrapText="1"/>
    </xf>
    <xf numFmtId="0" fontId="90" fillId="0" borderId="23" xfId="0" applyFont="1" applyBorder="1" applyAlignment="1">
      <alignment horizontal="center" vertical="center" wrapText="1"/>
    </xf>
    <xf numFmtId="0" fontId="90" fillId="0" borderId="28" xfId="0" applyFont="1" applyBorder="1" applyAlignment="1">
      <alignment horizontal="center" vertical="center" wrapText="1"/>
    </xf>
    <xf numFmtId="0" fontId="90" fillId="0" borderId="29" xfId="0" applyFont="1" applyBorder="1" applyAlignment="1">
      <alignment horizontal="center" vertical="center" wrapText="1"/>
    </xf>
    <xf numFmtId="0" fontId="90" fillId="0" borderId="30" xfId="0" applyFont="1" applyBorder="1" applyAlignment="1">
      <alignment horizontal="center" vertical="center" wrapText="1"/>
    </xf>
    <xf numFmtId="0" fontId="90" fillId="0" borderId="31" xfId="0" applyFont="1" applyBorder="1" applyAlignment="1">
      <alignment horizontal="center" vertical="center" wrapText="1"/>
    </xf>
    <xf numFmtId="0" fontId="88" fillId="0" borderId="0" xfId="0" applyFont="1" applyAlignment="1">
      <alignment vertical="center"/>
    </xf>
    <xf numFmtId="44" fontId="89" fillId="0" borderId="33" xfId="1" applyFont="1" applyBorder="1" applyAlignment="1">
      <alignment horizontal="right" vertical="center"/>
    </xf>
    <xf numFmtId="0" fontId="3" fillId="0" borderId="32" xfId="0" applyFont="1" applyBorder="1" applyAlignment="1">
      <alignment horizontal="center" vertical="center"/>
    </xf>
    <xf numFmtId="0" fontId="3" fillId="0" borderId="35" xfId="0" applyFont="1" applyBorder="1" applyAlignment="1">
      <alignment horizontal="center" vertical="center"/>
    </xf>
    <xf numFmtId="44" fontId="3" fillId="2" borderId="4" xfId="1" applyFont="1" applyFill="1" applyBorder="1" applyAlignment="1" applyProtection="1">
      <alignment horizontal="right"/>
      <protection locked="0"/>
    </xf>
    <xf numFmtId="44" fontId="88" fillId="0" borderId="33" xfId="1" applyFont="1" applyBorder="1" applyAlignment="1">
      <alignment horizontal="right" vertical="center"/>
    </xf>
    <xf numFmtId="44" fontId="3" fillId="0" borderId="18" xfId="1" applyFont="1" applyBorder="1" applyAlignment="1">
      <alignment horizontal="center"/>
    </xf>
    <xf numFmtId="0" fontId="87" fillId="0" borderId="0" xfId="0" applyFont="1" applyAlignment="1">
      <alignment horizontal="left"/>
    </xf>
    <xf numFmtId="44" fontId="3" fillId="0" borderId="4" xfId="1" applyFont="1" applyBorder="1" applyAlignment="1">
      <alignment horizontal="right"/>
    </xf>
    <xf numFmtId="44" fontId="3" fillId="0" borderId="0" xfId="1" applyFont="1" applyAlignment="1">
      <alignment horizontal="right" vertical="center"/>
    </xf>
    <xf numFmtId="44" fontId="11" fillId="0" borderId="0" xfId="1" applyFont="1" applyAlignment="1">
      <alignment horizontal="right"/>
    </xf>
    <xf numFmtId="37" fontId="3" fillId="0" borderId="0" xfId="1" applyNumberFormat="1" applyFont="1" applyAlignment="1">
      <alignment horizontal="right"/>
    </xf>
    <xf numFmtId="44" fontId="3" fillId="0" borderId="1" xfId="1" applyFont="1" applyBorder="1" applyAlignment="1">
      <alignment horizontal="right"/>
    </xf>
    <xf numFmtId="0" fontId="22" fillId="0" borderId="0" xfId="0" applyFont="1" applyAlignment="1">
      <alignment horizontal="center" vertical="center" wrapText="1"/>
    </xf>
    <xf numFmtId="49" fontId="26" fillId="2" borderId="0" xfId="0" applyNumberFormat="1" applyFont="1" applyFill="1" applyAlignment="1" applyProtection="1">
      <alignment horizontal="left"/>
      <protection locked="0"/>
    </xf>
    <xf numFmtId="49" fontId="26" fillId="2" borderId="0" xfId="0" applyNumberFormat="1" applyFont="1" applyFill="1" applyAlignment="1" applyProtection="1">
      <alignment horizontal="center"/>
      <protection locked="0"/>
    </xf>
    <xf numFmtId="0" fontId="26" fillId="0" borderId="0" xfId="0" applyFont="1" applyAlignment="1">
      <alignment horizontal="right"/>
    </xf>
    <xf numFmtId="0" fontId="26" fillId="0" borderId="0" xfId="0" applyFont="1" applyAlignment="1">
      <alignment horizontal="center"/>
    </xf>
    <xf numFmtId="0" fontId="26" fillId="2" borderId="0" xfId="0" applyFont="1" applyFill="1" applyAlignment="1" applyProtection="1">
      <alignment horizontal="left"/>
      <protection locked="0"/>
    </xf>
    <xf numFmtId="49" fontId="26" fillId="2" borderId="0" xfId="0" applyNumberFormat="1" applyFont="1" applyFill="1" applyAlignment="1" applyProtection="1">
      <alignment horizontal="left" vertical="top" wrapText="1"/>
      <protection locked="0"/>
    </xf>
    <xf numFmtId="0" fontId="67" fillId="0" borderId="0" xfId="0" applyFont="1" applyAlignment="1">
      <alignment horizontal="left"/>
    </xf>
    <xf numFmtId="49" fontId="30" fillId="2" borderId="1" xfId="0" applyNumberFormat="1" applyFont="1" applyFill="1" applyBorder="1" applyAlignment="1" applyProtection="1">
      <alignment horizontal="left"/>
      <protection locked="0"/>
    </xf>
    <xf numFmtId="1" fontId="26" fillId="2" borderId="0" xfId="0" applyNumberFormat="1" applyFont="1" applyFill="1" applyAlignment="1" applyProtection="1">
      <alignment horizontal="left"/>
      <protection locked="0"/>
    </xf>
    <xf numFmtId="169" fontId="26" fillId="2" borderId="0" xfId="0" applyNumberFormat="1" applyFont="1" applyFill="1" applyAlignment="1" applyProtection="1">
      <alignment horizontal="left"/>
      <protection locked="0"/>
    </xf>
    <xf numFmtId="0" fontId="33" fillId="0" borderId="0" xfId="0" applyFont="1" applyAlignment="1">
      <alignment horizontal="center" vertical="top" wrapText="1"/>
    </xf>
    <xf numFmtId="0" fontId="0" fillId="2" borderId="27" xfId="0" applyFill="1" applyBorder="1" applyAlignment="1" applyProtection="1">
      <alignment horizontal="left"/>
      <protection locked="0"/>
    </xf>
    <xf numFmtId="14" fontId="13" fillId="0" borderId="0" xfId="0" applyNumberFormat="1" applyFont="1" applyAlignment="1">
      <alignment horizontal="center" vertical="top"/>
    </xf>
    <xf numFmtId="0" fontId="13" fillId="2" borderId="1" xfId="0" applyFont="1" applyFill="1" applyBorder="1" applyAlignment="1" applyProtection="1">
      <alignment horizontal="left"/>
      <protection locked="0"/>
    </xf>
    <xf numFmtId="0" fontId="13" fillId="0" borderId="16" xfId="0" applyFont="1" applyBorder="1"/>
    <xf numFmtId="0" fontId="13" fillId="0" borderId="32" xfId="0" applyFont="1" applyBorder="1" applyAlignment="1">
      <alignment horizontal="center"/>
    </xf>
    <xf numFmtId="0" fontId="13" fillId="0" borderId="35" xfId="0" applyFont="1" applyBorder="1" applyAlignment="1">
      <alignment horizontal="center"/>
    </xf>
    <xf numFmtId="0" fontId="0" fillId="2" borderId="29" xfId="0" applyFill="1" applyBorder="1" applyAlignment="1" applyProtection="1">
      <alignment horizontal="left"/>
      <protection locked="0"/>
    </xf>
    <xf numFmtId="14" fontId="0" fillId="2" borderId="17" xfId="0" applyNumberFormat="1" applyFill="1" applyBorder="1" applyAlignment="1" applyProtection="1">
      <alignment horizontal="left" vertical="top" wrapText="1"/>
      <protection locked="0"/>
    </xf>
    <xf numFmtId="14" fontId="0" fillId="2" borderId="65" xfId="0" applyNumberFormat="1" applyFill="1" applyBorder="1" applyAlignment="1" applyProtection="1">
      <alignment horizontal="left" vertical="top" wrapText="1"/>
      <protection locked="0"/>
    </xf>
    <xf numFmtId="14" fontId="0" fillId="2" borderId="19" xfId="0" applyNumberFormat="1" applyFill="1" applyBorder="1" applyAlignment="1" applyProtection="1">
      <alignment horizontal="left" vertical="top" wrapText="1"/>
      <protection locked="0"/>
    </xf>
    <xf numFmtId="14" fontId="0" fillId="2" borderId="64" xfId="0" applyNumberFormat="1" applyFill="1" applyBorder="1" applyAlignment="1" applyProtection="1">
      <alignment horizontal="left" vertical="top" wrapText="1"/>
      <protection locked="0"/>
    </xf>
    <xf numFmtId="14" fontId="0" fillId="2" borderId="20" xfId="0" applyNumberFormat="1" applyFill="1" applyBorder="1" applyAlignment="1" applyProtection="1">
      <alignment horizontal="left" vertical="top" wrapText="1"/>
      <protection locked="0"/>
    </xf>
    <xf numFmtId="14" fontId="0" fillId="2" borderId="22" xfId="0" applyNumberFormat="1" applyFill="1" applyBorder="1" applyAlignment="1" applyProtection="1">
      <alignment horizontal="left" vertical="top" wrapText="1"/>
      <protection locked="0"/>
    </xf>
    <xf numFmtId="14" fontId="0" fillId="2" borderId="55" xfId="0" applyNumberFormat="1" applyFill="1" applyBorder="1" applyAlignment="1" applyProtection="1">
      <alignment horizontal="left"/>
      <protection locked="0"/>
    </xf>
    <xf numFmtId="0" fontId="0" fillId="2" borderId="44" xfId="0" applyFill="1" applyBorder="1" applyAlignment="1" applyProtection="1">
      <alignment horizontal="left"/>
      <protection locked="0"/>
    </xf>
    <xf numFmtId="44" fontId="3" fillId="0" borderId="14" xfId="1" applyFont="1" applyBorder="1" applyAlignment="1">
      <alignment horizontal="center" vertical="center"/>
    </xf>
    <xf numFmtId="0" fontId="7" fillId="0" borderId="0" xfId="0" applyFont="1" applyAlignment="1">
      <alignment wrapText="1"/>
    </xf>
    <xf numFmtId="0" fontId="7" fillId="0" borderId="0" xfId="0" applyFont="1" applyAlignment="1">
      <alignment horizontal="center" vertical="center" wrapText="1"/>
    </xf>
    <xf numFmtId="49" fontId="16" fillId="0" borderId="0" xfId="0" applyNumberFormat="1" applyFont="1" applyAlignment="1">
      <alignment horizontal="left" wrapText="1"/>
    </xf>
    <xf numFmtId="49" fontId="29" fillId="0" borderId="0" xfId="0" applyNumberFormat="1" applyFont="1" applyAlignment="1">
      <alignment horizontal="left" vertical="center" wrapText="1"/>
    </xf>
    <xf numFmtId="0" fontId="92" fillId="0" borderId="17" xfId="0" applyFont="1" applyBorder="1" applyAlignment="1">
      <alignment horizontal="center"/>
    </xf>
    <xf numFmtId="0" fontId="92" fillId="0" borderId="18" xfId="0" applyFont="1" applyBorder="1" applyAlignment="1">
      <alignment horizontal="center"/>
    </xf>
    <xf numFmtId="0" fontId="92" fillId="0" borderId="19" xfId="0" applyFont="1" applyBorder="1" applyAlignment="1">
      <alignment horizontal="center"/>
    </xf>
    <xf numFmtId="0" fontId="92" fillId="0" borderId="0" xfId="0" applyFont="1" applyAlignment="1">
      <alignment horizontal="center"/>
    </xf>
    <xf numFmtId="0" fontId="96" fillId="0" borderId="65" xfId="0" applyFont="1" applyBorder="1" applyAlignment="1">
      <alignment horizontal="left"/>
    </xf>
    <xf numFmtId="0" fontId="96" fillId="0" borderId="64" xfId="0" applyFont="1" applyBorder="1" applyAlignment="1">
      <alignment horizontal="left"/>
    </xf>
    <xf numFmtId="0" fontId="108" fillId="0" borderId="20" xfId="0" applyFont="1" applyBorder="1" applyAlignment="1">
      <alignment horizontal="center" vertical="center" wrapText="1"/>
    </xf>
    <xf numFmtId="0" fontId="108" fillId="0" borderId="21" xfId="0" applyFont="1" applyBorder="1" applyAlignment="1">
      <alignment horizontal="center" vertical="center" wrapText="1"/>
    </xf>
    <xf numFmtId="0" fontId="108" fillId="0" borderId="22" xfId="0" applyFont="1" applyBorder="1" applyAlignment="1">
      <alignment horizontal="center" vertical="center" wrapText="1"/>
    </xf>
    <xf numFmtId="0" fontId="2" fillId="0" borderId="0" xfId="0" applyFont="1" applyAlignment="1">
      <alignment vertical="top"/>
    </xf>
    <xf numFmtId="0" fontId="96" fillId="0" borderId="65" xfId="0" applyFont="1" applyBorder="1" applyAlignment="1">
      <alignment horizontal="left" shrinkToFit="1"/>
    </xf>
    <xf numFmtId="0" fontId="96" fillId="0" borderId="64" xfId="0" applyFont="1" applyBorder="1" applyAlignment="1">
      <alignment horizontal="left" shrinkToFit="1"/>
    </xf>
    <xf numFmtId="0" fontId="95" fillId="0" borderId="20" xfId="0" applyFont="1" applyBorder="1" applyAlignment="1">
      <alignment horizontal="center" vertical="center" wrapText="1"/>
    </xf>
    <xf numFmtId="0" fontId="95" fillId="0" borderId="21" xfId="0" applyFont="1" applyBorder="1" applyAlignment="1">
      <alignment horizontal="center" vertical="center" wrapText="1"/>
    </xf>
    <xf numFmtId="0" fontId="95" fillId="0" borderId="22" xfId="0" applyFont="1" applyBorder="1" applyAlignment="1">
      <alignment horizontal="center" vertical="center" wrapText="1"/>
    </xf>
    <xf numFmtId="0" fontId="7" fillId="0" borderId="0" xfId="0" applyFont="1" applyAlignment="1">
      <alignment horizontal="right" wrapText="1"/>
    </xf>
    <xf numFmtId="0" fontId="2" fillId="0" borderId="0" xfId="0" applyFont="1" applyAlignment="1">
      <alignment wrapText="1"/>
    </xf>
    <xf numFmtId="10" fontId="3" fillId="0" borderId="4" xfId="2" applyNumberFormat="1" applyFont="1" applyBorder="1" applyAlignment="1">
      <alignment horizontal="center" vertical="center" wrapText="1"/>
    </xf>
    <xf numFmtId="0" fontId="94" fillId="0" borderId="0" xfId="0" applyFont="1" applyAlignment="1">
      <alignment horizontal="center" vertical="top" shrinkToFit="1"/>
    </xf>
    <xf numFmtId="49" fontId="16" fillId="0" borderId="0" xfId="0" applyNumberFormat="1" applyFont="1" applyAlignment="1">
      <alignment horizontal="left"/>
    </xf>
    <xf numFmtId="44" fontId="25" fillId="0" borderId="14" xfId="1" applyFont="1" applyBorder="1" applyAlignment="1">
      <alignment horizontal="center" vertical="center"/>
    </xf>
    <xf numFmtId="0" fontId="92" fillId="0" borderId="1" xfId="0" applyFont="1" applyBorder="1" applyAlignment="1" applyProtection="1">
      <alignment horizontal="center" vertical="center"/>
      <protection locked="0"/>
    </xf>
    <xf numFmtId="0" fontId="10" fillId="0" borderId="0" xfId="0" applyFont="1" applyAlignment="1">
      <alignment horizontal="center" vertical="center" wrapText="1"/>
    </xf>
    <xf numFmtId="0" fontId="10" fillId="0" borderId="0" xfId="0" applyFont="1" applyAlignment="1">
      <alignment horizontal="center" vertical="center"/>
    </xf>
    <xf numFmtId="0" fontId="2" fillId="0" borderId="0" xfId="0" applyFont="1" applyAlignment="1">
      <alignment horizontal="left" vertical="top" wrapText="1"/>
    </xf>
    <xf numFmtId="49" fontId="18" fillId="0" borderId="0" xfId="0" applyNumberFormat="1" applyFont="1" applyAlignment="1">
      <alignment horizontal="center" vertical="center"/>
    </xf>
    <xf numFmtId="0" fontId="2" fillId="0" borderId="0" xfId="0" applyFont="1" applyAlignment="1">
      <alignment horizontal="center" vertical="top" wrapText="1"/>
    </xf>
    <xf numFmtId="0" fontId="7" fillId="0" borderId="0" xfId="0" applyFont="1" applyAlignment="1">
      <alignment horizontal="right" vertical="center" wrapText="1"/>
    </xf>
    <xf numFmtId="44" fontId="18" fillId="2" borderId="0" xfId="0" applyNumberFormat="1" applyFont="1" applyFill="1" applyAlignment="1" applyProtection="1">
      <alignment horizontal="center" vertical="center" wrapText="1"/>
      <protection locked="0"/>
    </xf>
    <xf numFmtId="0" fontId="71" fillId="0" borderId="17" xfId="0" applyFont="1" applyBorder="1" applyAlignment="1">
      <alignment horizontal="left" wrapText="1" indent="1"/>
    </xf>
    <xf numFmtId="0" fontId="71" fillId="0" borderId="18" xfId="0" applyFont="1" applyBorder="1" applyAlignment="1">
      <alignment horizontal="left" wrapText="1" indent="1"/>
    </xf>
    <xf numFmtId="0" fontId="71" fillId="0" borderId="65" xfId="0" applyFont="1" applyBorder="1" applyAlignment="1">
      <alignment horizontal="left" wrapText="1" indent="1"/>
    </xf>
    <xf numFmtId="0" fontId="3" fillId="0" borderId="19" xfId="0" applyFont="1" applyBorder="1" applyAlignment="1">
      <alignment horizontal="left" vertical="center" wrapText="1" indent="2"/>
    </xf>
    <xf numFmtId="0" fontId="3" fillId="0" borderId="0" xfId="0" applyFont="1" applyAlignment="1">
      <alignment horizontal="left" vertical="center" wrapText="1" indent="2"/>
    </xf>
    <xf numFmtId="0" fontId="3" fillId="0" borderId="64" xfId="0" applyFont="1" applyBorder="1" applyAlignment="1">
      <alignment horizontal="left" vertical="center" wrapText="1" indent="2"/>
    </xf>
    <xf numFmtId="0" fontId="3" fillId="0" borderId="19" xfId="0" applyFont="1" applyBorder="1" applyAlignment="1">
      <alignment horizontal="left" vertical="center" wrapText="1" indent="1"/>
    </xf>
    <xf numFmtId="0" fontId="3" fillId="0" borderId="0" xfId="0" applyFont="1" applyAlignment="1">
      <alignment horizontal="left" vertical="center" wrapText="1" indent="1"/>
    </xf>
    <xf numFmtId="0" fontId="3" fillId="0" borderId="64" xfId="0" applyFont="1" applyBorder="1" applyAlignment="1">
      <alignment horizontal="left" vertical="center" wrapText="1" indent="1"/>
    </xf>
    <xf numFmtId="169" fontId="52" fillId="0" borderId="0" xfId="0" applyNumberFormat="1" applyFont="1" applyAlignment="1">
      <alignment horizontal="center" vertical="center" wrapText="1"/>
    </xf>
    <xf numFmtId="0" fontId="23" fillId="0" borderId="0" xfId="0" applyFont="1" applyAlignment="1">
      <alignment vertical="center" wrapText="1"/>
    </xf>
    <xf numFmtId="0" fontId="7" fillId="0" borderId="0" xfId="0" applyFont="1" applyAlignment="1">
      <alignment horizontal="center" vertical="top"/>
    </xf>
    <xf numFmtId="166" fontId="45" fillId="2" borderId="90" xfId="0" applyNumberFormat="1" applyFont="1" applyFill="1" applyBorder="1" applyAlignment="1" applyProtection="1">
      <alignment horizontal="center" vertical="center"/>
      <protection locked="0"/>
    </xf>
    <xf numFmtId="166" fontId="45" fillId="2" borderId="91" xfId="0" applyNumberFormat="1" applyFont="1" applyFill="1" applyBorder="1" applyAlignment="1" applyProtection="1">
      <alignment horizontal="center" vertical="center"/>
      <protection locked="0"/>
    </xf>
    <xf numFmtId="0" fontId="25" fillId="0" borderId="7" xfId="0" applyFont="1" applyBorder="1" applyAlignment="1">
      <alignment horizontal="center"/>
    </xf>
    <xf numFmtId="0" fontId="3" fillId="0" borderId="7" xfId="0" applyFont="1" applyBorder="1" applyAlignment="1">
      <alignment horizontal="center"/>
    </xf>
    <xf numFmtId="166" fontId="45" fillId="2" borderId="89" xfId="0" applyNumberFormat="1" applyFont="1" applyFill="1" applyBorder="1" applyAlignment="1" applyProtection="1">
      <alignment horizontal="center" vertical="center"/>
      <protection locked="0"/>
    </xf>
    <xf numFmtId="44" fontId="8" fillId="0" borderId="0" xfId="1" applyFont="1" applyAlignment="1">
      <alignment horizontal="left" shrinkToFit="1"/>
    </xf>
    <xf numFmtId="44" fontId="18" fillId="0" borderId="3" xfId="1" applyFont="1" applyBorder="1" applyAlignment="1">
      <alignment horizontal="center" vertical="center"/>
    </xf>
    <xf numFmtId="0" fontId="92" fillId="0" borderId="0" xfId="1" applyNumberFormat="1" applyFont="1" applyAlignment="1">
      <alignment horizontal="center" vertical="center"/>
    </xf>
    <xf numFmtId="0" fontId="7" fillId="0" borderId="89" xfId="0" applyFont="1" applyBorder="1" applyAlignment="1">
      <alignment horizontal="center" vertical="center"/>
    </xf>
    <xf numFmtId="0" fontId="7" fillId="0" borderId="90" xfId="0" applyFont="1" applyBorder="1" applyAlignment="1">
      <alignment horizontal="center" vertical="center"/>
    </xf>
    <xf numFmtId="0" fontId="7" fillId="0" borderId="91" xfId="0" applyFont="1" applyBorder="1" applyAlignment="1">
      <alignment horizontal="center" vertical="center"/>
    </xf>
    <xf numFmtId="44" fontId="3" fillId="0" borderId="0" xfId="1" applyFont="1" applyAlignment="1">
      <alignment horizontal="left" vertical="center"/>
    </xf>
    <xf numFmtId="0" fontId="24" fillId="0" borderId="0" xfId="0" quotePrefix="1" applyFont="1" applyAlignment="1">
      <alignment vertical="center" wrapText="1"/>
    </xf>
    <xf numFmtId="169" fontId="44" fillId="0" borderId="0" xfId="0" applyNumberFormat="1" applyFont="1" applyAlignment="1">
      <alignment horizontal="center" vertical="center" wrapText="1"/>
    </xf>
    <xf numFmtId="0" fontId="7" fillId="0" borderId="73" xfId="0" applyFont="1" applyBorder="1" applyAlignment="1">
      <alignment horizontal="center" vertical="center"/>
    </xf>
    <xf numFmtId="0" fontId="8" fillId="0" borderId="77" xfId="0" applyFont="1" applyBorder="1" applyAlignment="1">
      <alignment horizontal="center"/>
    </xf>
    <xf numFmtId="0" fontId="8" fillId="0" borderId="2" xfId="0" applyFont="1" applyBorder="1" applyAlignment="1">
      <alignment horizontal="center"/>
    </xf>
    <xf numFmtId="0" fontId="8" fillId="0" borderId="78" xfId="0" applyFont="1" applyBorder="1" applyAlignment="1">
      <alignment horizontal="center"/>
    </xf>
    <xf numFmtId="0" fontId="8" fillId="0" borderId="71" xfId="0" applyFont="1" applyBorder="1" applyAlignment="1">
      <alignment horizontal="center"/>
    </xf>
    <xf numFmtId="0" fontId="8" fillId="0" borderId="0" xfId="0" applyFont="1" applyAlignment="1">
      <alignment horizontal="center"/>
    </xf>
    <xf numFmtId="0" fontId="8" fillId="0" borderId="70" xfId="0" applyFont="1" applyBorder="1" applyAlignment="1">
      <alignment horizontal="center"/>
    </xf>
    <xf numFmtId="44" fontId="1" fillId="0" borderId="14" xfId="1" applyBorder="1" applyAlignment="1">
      <alignment horizontal="center" vertical="center" wrapText="1"/>
    </xf>
    <xf numFmtId="44" fontId="1" fillId="0" borderId="0" xfId="1" applyAlignment="1">
      <alignment horizontal="center" vertical="center" wrapText="1"/>
    </xf>
    <xf numFmtId="44" fontId="1" fillId="0" borderId="1" xfId="1" applyBorder="1" applyAlignment="1">
      <alignment horizontal="center" vertical="center" wrapText="1"/>
    </xf>
    <xf numFmtId="0" fontId="15" fillId="0" borderId="0" xfId="0" applyFont="1" applyAlignment="1">
      <alignment horizontal="left" vertical="center" wrapText="1"/>
    </xf>
    <xf numFmtId="0" fontId="16" fillId="0" borderId="0" xfId="0" applyFont="1" applyAlignment="1">
      <alignment wrapText="1"/>
    </xf>
    <xf numFmtId="175" fontId="3" fillId="2" borderId="1" xfId="2" applyNumberFormat="1" applyFont="1" applyFill="1" applyBorder="1" applyAlignment="1" applyProtection="1">
      <alignment horizontal="center"/>
      <protection locked="0"/>
    </xf>
    <xf numFmtId="10" fontId="3" fillId="2" borderId="1" xfId="2" applyNumberFormat="1" applyFont="1" applyFill="1" applyBorder="1" applyAlignment="1" applyProtection="1">
      <alignment horizontal="center"/>
      <protection locked="0"/>
    </xf>
    <xf numFmtId="0" fontId="129" fillId="0" borderId="0" xfId="0" applyFont="1" applyAlignment="1">
      <alignment horizontal="center" vertical="center" shrinkToFit="1"/>
    </xf>
    <xf numFmtId="0" fontId="37" fillId="0" borderId="2" xfId="0" applyFont="1" applyBorder="1" applyAlignment="1">
      <alignment horizontal="center" vertical="center"/>
    </xf>
    <xf numFmtId="0" fontId="2" fillId="0" borderId="2" xfId="0" applyFont="1" applyBorder="1" applyAlignment="1">
      <alignment horizontal="center" vertical="center"/>
    </xf>
    <xf numFmtId="0" fontId="2" fillId="0" borderId="1" xfId="0" applyFont="1" applyBorder="1" applyAlignment="1">
      <alignment horizontal="center" vertical="center"/>
    </xf>
    <xf numFmtId="0" fontId="3" fillId="2" borderId="1" xfId="1" applyNumberFormat="1" applyFont="1" applyFill="1" applyBorder="1" applyAlignment="1" applyProtection="1">
      <alignment horizontal="left"/>
    </xf>
    <xf numFmtId="0" fontId="3" fillId="2" borderId="1" xfId="0" applyFont="1" applyFill="1" applyBorder="1" applyAlignment="1">
      <alignment horizontal="center"/>
    </xf>
    <xf numFmtId="0" fontId="3" fillId="2" borderId="0" xfId="0" applyFont="1" applyFill="1" applyAlignment="1">
      <alignment horizontal="left" vertical="top" wrapText="1"/>
    </xf>
    <xf numFmtId="49" fontId="18" fillId="0" borderId="0" xfId="0" applyNumberFormat="1" applyFont="1" applyAlignment="1">
      <alignment horizontal="left"/>
    </xf>
    <xf numFmtId="0" fontId="42" fillId="0" borderId="0" xfId="0" applyFont="1"/>
    <xf numFmtId="44" fontId="32" fillId="2" borderId="0" xfId="1" applyFont="1" applyFill="1" applyAlignment="1" applyProtection="1">
      <alignment horizontal="right"/>
      <protection locked="0"/>
    </xf>
    <xf numFmtId="0" fontId="36" fillId="0" borderId="0" xfId="0" applyFont="1" applyAlignment="1">
      <alignment horizontal="left"/>
    </xf>
    <xf numFmtId="0" fontId="36" fillId="0" borderId="0" xfId="0" applyFont="1" applyAlignment="1">
      <alignment horizontal="left" vertical="center"/>
    </xf>
    <xf numFmtId="0" fontId="41" fillId="0" borderId="0" xfId="0" applyFont="1" applyAlignment="1">
      <alignment horizontal="center"/>
    </xf>
    <xf numFmtId="0" fontId="42" fillId="0" borderId="0" xfId="0" applyFont="1" applyAlignment="1">
      <alignment horizontal="center"/>
    </xf>
    <xf numFmtId="0" fontId="18" fillId="2" borderId="1" xfId="1" applyNumberFormat="1" applyFont="1" applyFill="1" applyBorder="1" applyAlignment="1" applyProtection="1">
      <alignment horizontal="center"/>
      <protection locked="0"/>
    </xf>
    <xf numFmtId="0" fontId="32" fillId="2" borderId="0" xfId="0" applyFont="1" applyFill="1" applyAlignment="1" applyProtection="1">
      <alignment horizontal="left" vertical="top" wrapText="1"/>
      <protection locked="0"/>
    </xf>
    <xf numFmtId="49" fontId="36" fillId="0" borderId="0" xfId="0" applyNumberFormat="1" applyFont="1" applyAlignment="1">
      <alignment vertical="top"/>
    </xf>
    <xf numFmtId="0" fontId="36" fillId="0" borderId="0" xfId="0" applyFont="1" applyAlignment="1">
      <alignment horizontal="center"/>
    </xf>
    <xf numFmtId="44" fontId="36" fillId="0" borderId="4" xfId="1" applyFont="1" applyBorder="1" applyAlignment="1">
      <alignment horizontal="center" vertical="center"/>
    </xf>
    <xf numFmtId="0" fontId="3" fillId="0" borderId="33" xfId="0" applyFont="1" applyBorder="1" applyAlignment="1">
      <alignment horizontal="center" vertical="center"/>
    </xf>
    <xf numFmtId="49" fontId="2" fillId="2" borderId="59" xfId="0" applyNumberFormat="1" applyFont="1" applyFill="1" applyBorder="1" applyAlignment="1" applyProtection="1">
      <alignment horizontal="left"/>
      <protection locked="0"/>
    </xf>
    <xf numFmtId="49" fontId="2" fillId="2" borderId="1" xfId="0" applyNumberFormat="1" applyFont="1" applyFill="1" applyBorder="1" applyAlignment="1" applyProtection="1">
      <alignment horizontal="left"/>
      <protection locked="0"/>
    </xf>
    <xf numFmtId="49" fontId="2" fillId="2" borderId="53" xfId="0" applyNumberFormat="1" applyFont="1" applyFill="1" applyBorder="1" applyAlignment="1" applyProtection="1">
      <alignment horizontal="left"/>
      <protection locked="0"/>
    </xf>
    <xf numFmtId="0" fontId="0" fillId="2" borderId="1" xfId="0" applyFill="1" applyBorder="1" applyAlignment="1" applyProtection="1">
      <alignment horizontal="left"/>
      <protection locked="0"/>
    </xf>
    <xf numFmtId="0" fontId="0" fillId="2" borderId="60" xfId="0" applyFill="1" applyBorder="1" applyAlignment="1" applyProtection="1">
      <alignment horizontal="left"/>
      <protection locked="0"/>
    </xf>
    <xf numFmtId="0" fontId="18" fillId="0" borderId="0" xfId="0" applyFont="1" applyAlignment="1">
      <alignment horizontal="center"/>
    </xf>
    <xf numFmtId="49" fontId="3" fillId="0" borderId="32" xfId="0" applyNumberFormat="1" applyFont="1" applyBorder="1" applyAlignment="1">
      <alignment horizontal="center"/>
    </xf>
    <xf numFmtId="49" fontId="3" fillId="0" borderId="33" xfId="0" applyNumberFormat="1" applyFont="1" applyBorder="1" applyAlignment="1">
      <alignment horizontal="center"/>
    </xf>
    <xf numFmtId="0" fontId="3" fillId="0" borderId="34" xfId="0" applyFont="1" applyBorder="1" applyAlignment="1">
      <alignment horizontal="center"/>
    </xf>
    <xf numFmtId="0" fontId="3" fillId="0" borderId="61" xfId="0" applyFont="1" applyBorder="1" applyAlignment="1">
      <alignment horizontal="center"/>
    </xf>
    <xf numFmtId="0" fontId="3" fillId="0" borderId="62" xfId="0" applyFont="1" applyBorder="1" applyAlignment="1">
      <alignment horizontal="center"/>
    </xf>
    <xf numFmtId="49" fontId="2" fillId="2" borderId="55" xfId="0" applyNumberFormat="1" applyFont="1" applyFill="1" applyBorder="1" applyAlignment="1" applyProtection="1">
      <alignment horizontal="left"/>
      <protection locked="0"/>
    </xf>
    <xf numFmtId="49" fontId="2" fillId="2" borderId="44" xfId="0" applyNumberFormat="1" applyFont="1" applyFill="1" applyBorder="1" applyAlignment="1" applyProtection="1">
      <alignment horizontal="left"/>
      <protection locked="0"/>
    </xf>
    <xf numFmtId="0" fontId="0" fillId="2" borderId="53" xfId="0" applyFill="1" applyBorder="1" applyAlignment="1" applyProtection="1">
      <alignment horizontal="left"/>
      <protection locked="0"/>
    </xf>
    <xf numFmtId="0" fontId="0" fillId="2" borderId="54" xfId="0" applyFill="1" applyBorder="1" applyAlignment="1" applyProtection="1">
      <alignment horizontal="left"/>
      <protection locked="0"/>
    </xf>
    <xf numFmtId="0" fontId="0" fillId="2" borderId="52" xfId="0" applyFill="1" applyBorder="1" applyAlignment="1" applyProtection="1">
      <alignment horizontal="left"/>
      <protection locked="0"/>
    </xf>
    <xf numFmtId="0" fontId="0" fillId="2" borderId="47" xfId="0" applyFill="1" applyBorder="1" applyAlignment="1" applyProtection="1">
      <alignment horizontal="left"/>
      <protection locked="0"/>
    </xf>
    <xf numFmtId="0" fontId="0" fillId="2" borderId="48" xfId="0" applyFill="1" applyBorder="1" applyAlignment="1" applyProtection="1">
      <alignment horizontal="left"/>
      <protection locked="0"/>
    </xf>
    <xf numFmtId="49" fontId="3" fillId="0" borderId="32" xfId="0" applyNumberFormat="1" applyFont="1" applyBorder="1" applyAlignment="1">
      <alignment horizontal="center" vertical="center" wrapText="1"/>
    </xf>
    <xf numFmtId="49" fontId="3" fillId="0" borderId="33" xfId="0" applyNumberFormat="1" applyFont="1" applyBorder="1" applyAlignment="1">
      <alignment horizontal="center" vertical="center" wrapText="1"/>
    </xf>
    <xf numFmtId="0" fontId="33" fillId="0" borderId="0" xfId="0" applyFont="1" applyAlignment="1">
      <alignment horizontal="center" vertical="center" wrapText="1"/>
    </xf>
    <xf numFmtId="0" fontId="13" fillId="0" borderId="166" xfId="0" applyFont="1" applyBorder="1" applyAlignment="1">
      <alignment horizontal="center"/>
    </xf>
    <xf numFmtId="4" fontId="17" fillId="0" borderId="167" xfId="1" applyNumberFormat="1" applyFont="1" applyFill="1" applyBorder="1" applyAlignment="1">
      <alignment shrinkToFit="1"/>
    </xf>
    <xf numFmtId="4" fontId="17" fillId="0" borderId="168" xfId="1" applyNumberFormat="1" applyFont="1" applyFill="1" applyBorder="1" applyAlignment="1">
      <alignment shrinkToFit="1"/>
    </xf>
    <xf numFmtId="4" fontId="17" fillId="0" borderId="169" xfId="1" applyNumberFormat="1" applyFont="1" applyFill="1" applyBorder="1" applyAlignment="1">
      <alignment shrinkToFit="1"/>
    </xf>
    <xf numFmtId="4" fontId="17" fillId="0" borderId="170" xfId="1" applyNumberFormat="1" applyFont="1" applyFill="1" applyBorder="1" applyAlignment="1">
      <alignment shrinkToFit="1"/>
    </xf>
    <xf numFmtId="4" fontId="17" fillId="0" borderId="22" xfId="1" applyNumberFormat="1" applyFont="1" applyFill="1" applyBorder="1" applyAlignment="1">
      <alignment shrinkToFit="1"/>
    </xf>
    <xf numFmtId="4" fontId="17" fillId="0" borderId="171" xfId="1" applyNumberFormat="1" applyFont="1" applyFill="1" applyBorder="1" applyAlignment="1">
      <alignment shrinkToFit="1"/>
    </xf>
    <xf numFmtId="4" fontId="17" fillId="0" borderId="172" xfId="1" applyNumberFormat="1" applyFont="1" applyFill="1" applyBorder="1" applyAlignment="1">
      <alignment shrinkToFit="1"/>
    </xf>
    <xf numFmtId="4" fontId="17" fillId="0" borderId="173" xfId="1" applyNumberFormat="1" applyFont="1" applyFill="1" applyBorder="1" applyAlignment="1">
      <alignment shrinkToFit="1"/>
    </xf>
    <xf numFmtId="4" fontId="17" fillId="0" borderId="174" xfId="1" applyNumberFormat="1" applyFont="1" applyFill="1" applyBorder="1" applyAlignment="1">
      <alignment shrinkToFit="1"/>
    </xf>
    <xf numFmtId="4" fontId="17" fillId="0" borderId="175" xfId="1" applyNumberFormat="1" applyFont="1" applyFill="1" applyBorder="1" applyAlignment="1">
      <alignment shrinkToFit="1"/>
    </xf>
    <xf numFmtId="4" fontId="17" fillId="0" borderId="176" xfId="1" applyNumberFormat="1" applyFont="1" applyFill="1" applyBorder="1" applyAlignment="1">
      <alignment shrinkToFit="1"/>
    </xf>
    <xf numFmtId="4" fontId="17" fillId="0" borderId="177" xfId="1" applyNumberFormat="1" applyFont="1" applyFill="1" applyBorder="1" applyAlignment="1">
      <alignment shrinkToFit="1"/>
    </xf>
    <xf numFmtId="4" fontId="17" fillId="0" borderId="178" xfId="1" applyNumberFormat="1" applyFont="1" applyBorder="1" applyAlignment="1">
      <alignment shrinkToFit="1"/>
    </xf>
    <xf numFmtId="4" fontId="17" fillId="0" borderId="179" xfId="1" applyNumberFormat="1" applyFont="1" applyBorder="1" applyAlignment="1">
      <alignment shrinkToFit="1"/>
    </xf>
    <xf numFmtId="4" fontId="17" fillId="0" borderId="180" xfId="1" applyNumberFormat="1" applyFont="1" applyBorder="1" applyAlignment="1">
      <alignment shrinkToFit="1"/>
    </xf>
    <xf numFmtId="4" fontId="17" fillId="0" borderId="178" xfId="1" applyNumberFormat="1" applyFont="1" applyFill="1" applyBorder="1" applyAlignment="1">
      <alignment shrinkToFit="1"/>
    </xf>
    <xf numFmtId="4" fontId="17" fillId="0" borderId="179" xfId="1" applyNumberFormat="1" applyFont="1" applyFill="1" applyBorder="1" applyAlignment="1">
      <alignment shrinkToFit="1"/>
    </xf>
    <xf numFmtId="4" fontId="17" fillId="0" borderId="180" xfId="1" applyNumberFormat="1" applyFont="1" applyFill="1" applyBorder="1" applyAlignment="1">
      <alignment shrinkToFit="1"/>
    </xf>
  </cellXfs>
  <cellStyles count="5">
    <cellStyle name="Currency" xfId="1" builtinId="4"/>
    <cellStyle name="Hyperlink" xfId="4" builtinId="8"/>
    <cellStyle name="Normal" xfId="0" builtinId="0"/>
    <cellStyle name="Normal 2" xfId="3" xr:uid="{00000000-0005-0000-0000-000002000000}"/>
    <cellStyle name="Percent" xfId="2" builtinId="5"/>
  </cellStyles>
  <dxfs count="1590">
    <dxf>
      <font>
        <b val="0"/>
        <i val="0"/>
        <color theme="1"/>
      </font>
      <fill>
        <patternFill>
          <bgColor rgb="FFFFFF00"/>
        </patternFill>
      </fill>
      <border>
        <left style="thin">
          <color rgb="FFFF0000"/>
        </left>
        <right style="thin">
          <color rgb="FFFF0000"/>
        </right>
        <top style="thin">
          <color rgb="FFFF0000"/>
        </top>
        <bottom style="thin">
          <color rgb="FFFF0000"/>
        </bottom>
        <vertical/>
        <horizontal/>
      </border>
    </dxf>
    <dxf>
      <border>
        <bottom style="thin">
          <color rgb="FFFF0000"/>
        </bottom>
        <vertical/>
        <horizontal/>
      </border>
    </dxf>
    <dxf>
      <font>
        <color rgb="FF00B050"/>
      </font>
      <fill>
        <patternFill>
          <bgColor rgb="FFFFFF00"/>
        </patternFill>
      </fill>
    </dxf>
    <dxf>
      <font>
        <color rgb="FF00B050"/>
      </font>
    </dxf>
    <dxf>
      <fill>
        <patternFill patternType="lightUp">
          <fgColor rgb="FFFF0000"/>
        </patternFill>
      </fill>
    </dxf>
    <dxf>
      <font>
        <color rgb="FFFF0000"/>
      </font>
      <fill>
        <patternFill>
          <bgColor rgb="FFFFFF00"/>
        </patternFill>
      </fill>
    </dxf>
    <dxf>
      <font>
        <b/>
        <i val="0"/>
        <strike val="0"/>
      </font>
    </dxf>
    <dxf>
      <font>
        <color rgb="FFFF0000"/>
      </font>
      <fill>
        <patternFill>
          <bgColor rgb="FFFFFF00"/>
        </patternFill>
      </fill>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vertical/>
        <horizontal/>
      </border>
    </dxf>
    <dxf>
      <font>
        <color auto="1"/>
      </font>
      <fill>
        <patternFill patternType="solid">
          <bgColor rgb="FFEAF0F6"/>
        </patternFill>
      </fill>
      <border>
        <left style="thin">
          <color rgb="FFFF0000"/>
        </left>
        <right style="thin">
          <color rgb="FFFF0000"/>
        </right>
        <top style="thin">
          <color rgb="FFFF0000"/>
        </top>
        <bottom style="thin">
          <color rgb="FFFF0000"/>
        </bottom>
      </border>
    </dxf>
    <dxf>
      <font>
        <color rgb="FFFF0000"/>
      </font>
      <fill>
        <patternFill>
          <bgColor rgb="FFFFFF00"/>
        </patternFill>
      </fill>
    </dxf>
    <dxf>
      <font>
        <color rgb="FFFF0000"/>
      </font>
    </dxf>
    <dxf>
      <font>
        <color rgb="FFFF0000"/>
      </font>
    </dxf>
    <dxf>
      <font>
        <color rgb="FF00B050"/>
      </font>
    </dxf>
    <dxf>
      <font>
        <color auto="1"/>
      </font>
      <fill>
        <patternFill>
          <bgColor rgb="FFFFFF00"/>
        </patternFill>
      </fill>
    </dxf>
    <dxf>
      <font>
        <color rgb="FFFF0000"/>
      </font>
    </dxf>
    <dxf>
      <fill>
        <patternFill>
          <bgColor rgb="FFFF0000"/>
        </patternFill>
      </fill>
    </dxf>
    <dxf>
      <font>
        <color theme="0"/>
      </font>
    </dxf>
    <dxf>
      <font>
        <b/>
        <i val="0"/>
        <color rgb="FFFF0000"/>
      </font>
    </dxf>
    <dxf>
      <font>
        <color rgb="FFFF0000"/>
      </font>
    </dxf>
    <dxf>
      <fill>
        <patternFill>
          <bgColor rgb="FFFFFF00"/>
        </patternFill>
      </fill>
      <border>
        <left style="thin">
          <color rgb="FFFF0000"/>
        </left>
        <right style="thin">
          <color rgb="FFFF0000"/>
        </right>
        <top style="thin">
          <color rgb="FFFF0000"/>
        </top>
        <bottom style="thin">
          <color rgb="FFFF0000"/>
        </bottom>
      </border>
    </dxf>
    <dxf>
      <font>
        <color theme="0"/>
      </font>
    </dxf>
    <dxf>
      <font>
        <color rgb="FFFF0000"/>
      </font>
      <fill>
        <patternFill>
          <bgColor rgb="FFFFFF00"/>
        </patternFill>
      </fill>
      <border>
        <left style="thin">
          <color rgb="FFFF0000"/>
        </left>
        <right style="thin">
          <color rgb="FFFF0000"/>
        </right>
        <top style="thin">
          <color rgb="FFFF0000"/>
        </top>
        <bottom style="thin">
          <color rgb="FFFF0000"/>
        </bottom>
        <vertical/>
        <horizontal/>
      </border>
    </dxf>
    <dxf>
      <font>
        <color rgb="FFFF0000"/>
      </font>
    </dxf>
    <dxf>
      <font>
        <color rgb="FFFF0000"/>
      </font>
    </dxf>
    <dxf>
      <font>
        <color rgb="FF009242"/>
      </font>
    </dxf>
    <dxf>
      <font>
        <color rgb="FF00B050"/>
      </font>
    </dxf>
    <dxf>
      <font>
        <color rgb="FFFF0000"/>
      </font>
    </dxf>
    <dxf>
      <font>
        <color rgb="FFFF0000"/>
      </font>
      <fill>
        <patternFill patternType="none">
          <bgColor auto="1"/>
        </patternFill>
      </fill>
    </dxf>
    <dxf>
      <font>
        <b/>
        <i val="0"/>
      </font>
    </dxf>
    <dxf>
      <font>
        <b/>
        <i val="0"/>
      </font>
    </dxf>
    <dxf>
      <font>
        <strike/>
      </font>
    </dxf>
    <dxf>
      <font>
        <b/>
        <i val="0"/>
      </font>
    </dxf>
    <dxf>
      <font>
        <b/>
        <i val="0"/>
        <color rgb="FF00B050"/>
      </font>
    </dxf>
    <dxf>
      <font>
        <b val="0"/>
        <i val="0"/>
        <color rgb="FFFF0000"/>
      </font>
    </dxf>
    <dxf>
      <font>
        <color rgb="FF00B050"/>
      </font>
    </dxf>
    <dxf>
      <font>
        <b/>
        <i val="0"/>
      </font>
    </dxf>
    <dxf>
      <font>
        <b/>
        <i val="0"/>
      </font>
    </dxf>
    <dxf>
      <font>
        <b val="0"/>
        <i val="0"/>
        <color rgb="FFFF0000"/>
      </font>
    </dxf>
    <dxf>
      <font>
        <color rgb="FF00B050"/>
      </font>
    </dxf>
    <dxf>
      <font>
        <color rgb="FF00B050"/>
      </font>
    </dxf>
    <dxf>
      <font>
        <color rgb="FFFF0000"/>
      </font>
    </dxf>
    <dxf>
      <font>
        <color rgb="FFFF0000"/>
      </font>
      <fill>
        <patternFill patternType="none">
          <bgColor auto="1"/>
        </patternFill>
      </fill>
    </dxf>
    <dxf>
      <font>
        <color rgb="FFFF0000"/>
      </font>
      <border>
        <left style="thin">
          <color rgb="FFFF0000"/>
        </left>
        <right style="thin">
          <color rgb="FFFF0000"/>
        </right>
        <top style="thin">
          <color rgb="FFFF0000"/>
        </top>
        <bottom style="thin">
          <color rgb="FFFF0000"/>
        </bottom>
        <vertical/>
        <horizontal/>
      </border>
    </dxf>
    <dxf>
      <fill>
        <patternFill>
          <bgColor rgb="FFFEE6D2"/>
        </patternFill>
      </fill>
    </dxf>
    <dxf>
      <font>
        <strike/>
      </font>
    </dxf>
    <dxf>
      <font>
        <strike/>
      </font>
    </dxf>
    <dxf>
      <fill>
        <patternFill>
          <bgColor rgb="FFFEE6D2"/>
        </patternFill>
      </fill>
    </dxf>
    <dxf>
      <font>
        <color auto="1"/>
      </font>
    </dxf>
    <dxf>
      <font>
        <color rgb="FFFF0000"/>
      </font>
      <border>
        <left style="thin">
          <color rgb="FFFF0000"/>
        </left>
        <right style="thin">
          <color rgb="FFFF0000"/>
        </right>
        <top style="thin">
          <color rgb="FFFF0000"/>
        </top>
        <bottom style="thin">
          <color rgb="FFFF0000"/>
        </bottom>
        <vertical/>
        <horizontal/>
      </border>
    </dxf>
    <dxf>
      <font>
        <color auto="1"/>
      </font>
      <fill>
        <patternFill patternType="none">
          <bgColor auto="1"/>
        </patternFill>
      </fill>
    </dxf>
    <dxf>
      <font>
        <color auto="1"/>
      </font>
      <fill>
        <patternFill patternType="none">
          <bgColor auto="1"/>
        </patternFill>
      </fill>
    </dxf>
    <dxf>
      <font>
        <color auto="1"/>
      </font>
      <fill>
        <patternFill>
          <bgColor rgb="FFEAF0F6"/>
        </patternFill>
      </fill>
    </dxf>
    <dxf>
      <font>
        <color auto="1"/>
      </font>
      <fill>
        <patternFill>
          <bgColor rgb="FFEAF0F6"/>
        </patternFill>
      </fill>
    </dxf>
    <dxf>
      <font>
        <color auto="1"/>
      </font>
      <fill>
        <patternFill>
          <bgColor rgb="FFFFFF00"/>
        </patternFill>
      </fill>
    </dxf>
    <dxf>
      <font>
        <color rgb="FF9C0006"/>
      </font>
      <fill>
        <patternFill>
          <bgColor rgb="FFFFC7CE"/>
        </patternFill>
      </fill>
    </dxf>
    <dxf>
      <font>
        <color rgb="FFFF0000"/>
      </font>
      <fill>
        <patternFill>
          <bgColor rgb="FFFFFF00"/>
        </patternFill>
      </fill>
      <border>
        <left style="thin">
          <color rgb="FFFF0000"/>
        </left>
        <right style="thin">
          <color rgb="FFFF0000"/>
        </right>
        <top style="thin">
          <color rgb="FFFF0000"/>
        </top>
        <bottom style="thin">
          <color rgb="FFFF0000"/>
        </bottom>
      </border>
    </dxf>
    <dxf>
      <fill>
        <patternFill>
          <bgColor rgb="FF00B050"/>
        </patternFill>
      </fill>
    </dxf>
    <dxf>
      <fill>
        <patternFill>
          <bgColor rgb="FFFF0000"/>
        </patternFill>
      </fill>
    </dxf>
    <dxf>
      <fill>
        <patternFill>
          <bgColor rgb="FFFF0000"/>
        </patternFill>
      </fill>
    </dxf>
    <dxf>
      <font>
        <b val="0"/>
        <i val="0"/>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dxf>
    <dxf>
      <fill>
        <patternFill>
          <bgColor rgb="FFFFFF00"/>
        </patternFill>
      </fill>
    </dxf>
    <dxf>
      <font>
        <color rgb="FFFF000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auto="1"/>
      </font>
      <fill>
        <patternFill>
          <bgColor rgb="FFFFFF00"/>
        </patternFill>
      </fill>
    </dxf>
    <dxf>
      <fill>
        <patternFill>
          <bgColor rgb="FFFF0000"/>
        </patternFill>
      </fill>
    </dxf>
    <dxf>
      <fill>
        <patternFill>
          <bgColor rgb="FFFFFF00"/>
        </patternFill>
      </fill>
      <border>
        <left style="thin">
          <color auto="1"/>
        </left>
        <right style="thin">
          <color auto="1"/>
        </right>
        <top style="thin">
          <color auto="1"/>
        </top>
        <bottom style="thin">
          <color auto="1"/>
        </bottom>
        <vertical/>
        <horizontal/>
      </border>
    </dxf>
    <dxf>
      <font>
        <b/>
        <i val="0"/>
        <color auto="1"/>
      </font>
      <fill>
        <patternFill>
          <bgColor rgb="FFEAF0F6"/>
        </patternFill>
      </fill>
      <border>
        <bottom style="thin">
          <color auto="1"/>
        </bottom>
        <vertical/>
        <horizontal/>
      </border>
    </dxf>
    <dxf>
      <font>
        <color rgb="FFFF0000"/>
      </font>
      <fill>
        <patternFill>
          <bgColor rgb="FFFFFF00"/>
        </patternFill>
      </fill>
    </dxf>
    <dxf>
      <font>
        <color rgb="FFFF0000"/>
      </font>
      <fill>
        <patternFill>
          <bgColor rgb="FFFFFF00"/>
        </patternFill>
      </fill>
    </dxf>
    <dxf>
      <fill>
        <patternFill>
          <bgColor rgb="FFFFFF00"/>
        </patternFill>
      </fill>
    </dxf>
    <dxf>
      <font>
        <b/>
        <i val="0"/>
        <color auto="1"/>
      </font>
      <fill>
        <patternFill>
          <bgColor rgb="FFEAF0F6"/>
        </patternFill>
      </fill>
      <border>
        <bottom style="thin">
          <color auto="1"/>
        </bottom>
        <vertical/>
        <horizontal/>
      </border>
    </dxf>
    <dxf>
      <font>
        <color rgb="FFFF0000"/>
      </font>
      <fill>
        <patternFill>
          <bgColor rgb="FFFFFF00"/>
        </patternFill>
      </fill>
    </dxf>
    <dxf>
      <font>
        <color rgb="FF00B050"/>
      </font>
      <fill>
        <patternFill patternType="none">
          <bgColor auto="1"/>
        </patternFill>
      </fill>
    </dxf>
    <dxf>
      <font>
        <color rgb="FF00B050"/>
      </font>
      <fill>
        <patternFill patternType="none">
          <bgColor auto="1"/>
        </patternFill>
      </fill>
    </dxf>
    <dxf>
      <font>
        <color theme="0"/>
      </font>
    </dxf>
    <dxf>
      <border>
        <left style="thin">
          <color rgb="FFFF0000"/>
        </left>
        <right style="thin">
          <color rgb="FFFF0000"/>
        </right>
        <top style="thin">
          <color rgb="FFFF0000"/>
        </top>
        <bottom style="thin">
          <color rgb="FFFF0000"/>
        </bottom>
        <vertical/>
        <horizontal/>
      </border>
    </dxf>
    <dxf>
      <font>
        <color auto="1"/>
      </font>
      <fill>
        <patternFill>
          <bgColor rgb="FFFFFF00"/>
        </patternFill>
      </fill>
    </dxf>
    <dxf>
      <fill>
        <patternFill>
          <bgColor rgb="FFFFFF00"/>
        </patternFill>
      </fill>
    </dxf>
    <dxf>
      <font>
        <color theme="0"/>
      </font>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border>
        <left style="thin">
          <color rgb="FFFF0000"/>
        </left>
        <right style="thin">
          <color rgb="FFFF0000"/>
        </right>
        <top style="thin">
          <color rgb="FFFF0000"/>
        </top>
        <bottom style="thin">
          <color rgb="FFFF0000"/>
        </bottom>
        <vertical/>
        <horizontal/>
      </border>
    </dxf>
    <dxf>
      <border>
        <bottom style="thin">
          <color rgb="FFFF0000"/>
        </bottom>
        <vertical/>
        <horizontal/>
      </border>
    </dxf>
    <dxf>
      <font>
        <color rgb="FFFF0000"/>
      </font>
    </dxf>
    <dxf>
      <font>
        <color rgb="FFFF0000"/>
      </font>
    </dxf>
    <dxf>
      <border>
        <left style="thin">
          <color rgb="FFFF0000"/>
        </left>
        <vertical/>
        <horizontal/>
      </border>
    </dxf>
    <dxf>
      <border>
        <top style="thin">
          <color rgb="FFEA0000"/>
        </top>
        <vertical/>
        <horizontal/>
      </border>
    </dxf>
    <dxf>
      <font>
        <color theme="0"/>
      </font>
      <fill>
        <patternFill patternType="none">
          <bgColor auto="1"/>
        </patternFill>
      </fill>
      <border>
        <left/>
        <right/>
        <top/>
        <bottom style="thin">
          <color theme="0"/>
        </bottom>
        <vertical/>
        <horizontal/>
      </border>
    </dxf>
    <dxf>
      <font>
        <color auto="1"/>
      </font>
    </dxf>
    <dxf>
      <fill>
        <patternFill>
          <bgColor rgb="FFFFFF00"/>
        </patternFill>
      </fill>
    </dxf>
    <dxf>
      <border>
        <top style="thin">
          <color auto="1"/>
        </top>
        <vertical/>
        <horizontal/>
      </border>
    </dxf>
    <dxf>
      <font>
        <strike/>
      </font>
    </dxf>
    <dxf>
      <font>
        <strike val="0"/>
        <color auto="1"/>
      </font>
    </dxf>
    <dxf>
      <fill>
        <patternFill>
          <bgColor rgb="FFFFFF99"/>
        </patternFill>
      </fill>
    </dxf>
    <dxf>
      <font>
        <b/>
        <i val="0"/>
        <color rgb="FFFF0000"/>
      </font>
    </dxf>
    <dxf>
      <border>
        <left/>
        <right/>
        <top/>
        <bottom/>
        <vertical/>
        <horizontal/>
      </border>
    </dxf>
    <dxf>
      <border>
        <left/>
        <right/>
        <top/>
        <bottom/>
        <vertical/>
        <horizontal/>
      </border>
    </dxf>
    <dxf>
      <font>
        <color theme="0"/>
      </font>
    </dxf>
    <dxf>
      <font>
        <color theme="0"/>
      </font>
      <border>
        <vertical/>
        <horizontal/>
      </border>
    </dxf>
    <dxf>
      <fill>
        <patternFill>
          <bgColor rgb="FFFFFF00"/>
        </patternFill>
      </fill>
    </dxf>
    <dxf>
      <fill>
        <patternFill>
          <bgColor rgb="FFFF0000"/>
        </patternFill>
      </fill>
    </dxf>
    <dxf>
      <fill>
        <patternFill>
          <bgColor rgb="FFFF0000"/>
        </patternFill>
      </fill>
    </dxf>
    <dxf>
      <fill>
        <patternFill>
          <bgColor rgb="FFFFFF00"/>
        </patternFill>
      </fill>
      <border>
        <left style="thin">
          <color rgb="FFFF0000"/>
        </left>
        <right style="thin">
          <color rgb="FFFF0000"/>
        </right>
        <top style="thin">
          <color rgb="FFFF0000"/>
        </top>
        <bottom style="thin">
          <color rgb="FFFF0000"/>
        </bottom>
      </border>
    </dxf>
    <dxf>
      <font>
        <color auto="1"/>
      </font>
    </dxf>
    <dxf>
      <font>
        <color auto="1"/>
      </font>
    </dxf>
    <dxf>
      <fill>
        <patternFill>
          <bgColor rgb="FFFFFF99"/>
        </patternFill>
      </fill>
    </dxf>
    <dxf>
      <fill>
        <patternFill>
          <bgColor rgb="FFFFFF99"/>
        </patternFill>
      </fill>
    </dxf>
    <dxf>
      <font>
        <color theme="0" tint="-0.24994659260841701"/>
      </font>
      <fill>
        <patternFill>
          <bgColor theme="0" tint="-0.24994659260841701"/>
        </patternFill>
      </fill>
    </dxf>
    <dxf>
      <fill>
        <patternFill>
          <bgColor rgb="FFFFFF00"/>
        </patternFill>
      </fill>
      <border>
        <left style="thin">
          <color rgb="FFFF0000"/>
        </left>
        <right style="thin">
          <color rgb="FFFF0000"/>
        </right>
        <top style="thin">
          <color rgb="FFFF0000"/>
        </top>
        <bottom style="thin">
          <color rgb="FFFF0000"/>
        </bottom>
      </border>
    </dxf>
    <dxf>
      <font>
        <color rgb="FFFF0000"/>
      </font>
      <fill>
        <patternFill>
          <bgColor rgb="FFFFFF00"/>
        </patternFill>
      </fill>
    </dxf>
    <dxf>
      <fill>
        <gradientFill type="path" left="0.5" right="0.5" top="0.5" bottom="0.5">
          <stop position="0">
            <color rgb="FFFFFF00"/>
          </stop>
          <stop position="1">
            <color theme="0"/>
          </stop>
        </gradientFill>
      </fill>
    </dxf>
    <dxf>
      <font>
        <color theme="0"/>
      </font>
      <fill>
        <patternFill patternType="none">
          <bgColor auto="1"/>
        </patternFill>
      </fill>
      <border>
        <left/>
        <right/>
        <top/>
        <bottom/>
        <vertical/>
        <horizontal/>
      </border>
    </dxf>
    <dxf>
      <font>
        <color theme="0"/>
      </font>
    </dxf>
    <dxf>
      <font>
        <color rgb="FFFF0000"/>
      </font>
      <fill>
        <patternFill>
          <bgColor rgb="FFFFFF00"/>
        </patternFill>
      </fill>
    </dxf>
    <dxf>
      <font>
        <color rgb="FFFF0000"/>
      </font>
      <fill>
        <patternFill>
          <bgColor rgb="FFFFFF00"/>
        </patternFill>
      </fill>
    </dxf>
    <dxf>
      <fill>
        <patternFill>
          <bgColor rgb="FFFFFF00"/>
        </patternFill>
      </fill>
    </dxf>
    <dxf>
      <fill>
        <patternFill>
          <bgColor rgb="FFFFFF00"/>
        </patternFill>
      </fill>
    </dxf>
    <dxf>
      <font>
        <color auto="1"/>
      </font>
      <fill>
        <patternFill patternType="none">
          <bgColor auto="1"/>
        </patternFill>
      </fill>
      <border>
        <left/>
        <right/>
        <top/>
        <bottom/>
        <vertical/>
        <horizontal/>
      </border>
    </dxf>
    <dxf>
      <fill>
        <patternFill>
          <bgColor rgb="FFFFFF00"/>
        </patternFill>
      </fill>
      <border>
        <left style="thin">
          <color auto="1"/>
        </left>
        <right style="thin">
          <color auto="1"/>
        </right>
        <top style="thin">
          <color auto="1"/>
        </top>
        <bottom style="thin">
          <color auto="1"/>
        </bottom>
        <vertical/>
        <horizontal/>
      </border>
    </dxf>
    <dxf>
      <font>
        <color rgb="FFFF0000"/>
      </font>
    </dxf>
    <dxf>
      <font>
        <color rgb="FFFF0000"/>
      </font>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ont>
        <color rgb="FF00B050"/>
      </font>
    </dxf>
    <dxf>
      <font>
        <color rgb="FF00B050"/>
      </font>
      <fill>
        <patternFill>
          <bgColor rgb="FFFFFF00"/>
        </patternFill>
      </fill>
    </dxf>
    <dxf>
      <font>
        <color rgb="FF00B050"/>
      </font>
      <fill>
        <patternFill>
          <bgColor rgb="FFFFFF00"/>
        </patternFill>
      </fill>
    </dxf>
    <dxf>
      <font>
        <color rgb="FFFF0000"/>
      </font>
      <fill>
        <patternFill>
          <bgColor rgb="FFFFFF00"/>
        </patternFill>
      </fill>
    </dxf>
    <dxf>
      <fill>
        <patternFill>
          <bgColor rgb="FFFFFF00"/>
        </patternFill>
      </fill>
    </dxf>
    <dxf>
      <font>
        <color theme="1"/>
      </font>
      <fill>
        <patternFill>
          <bgColor rgb="FFEAF0F6"/>
        </patternFill>
      </fill>
      <border>
        <bottom style="thin">
          <color theme="1"/>
        </bottom>
        <vertical/>
        <horizontal/>
      </border>
    </dxf>
    <dxf>
      <font>
        <color theme="1"/>
      </font>
    </dxf>
    <dxf>
      <font>
        <strike/>
      </font>
    </dxf>
    <dxf>
      <font>
        <color theme="0" tint="-0.24994659260841701"/>
      </font>
      <fill>
        <patternFill>
          <bgColor theme="0" tint="-0.24994659260841701"/>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dxf>
    <dxf>
      <fill>
        <patternFill>
          <bgColor rgb="FFFFFF00"/>
        </patternFill>
      </fill>
    </dxf>
    <dxf>
      <font>
        <color rgb="FFFF000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auto="1"/>
      </font>
      <fill>
        <patternFill>
          <bgColor rgb="FFFFFF00"/>
        </patternFill>
      </fill>
    </dxf>
    <dxf>
      <fill>
        <patternFill>
          <bgColor rgb="FFFF0000"/>
        </patternFill>
      </fill>
    </dxf>
    <dxf>
      <fill>
        <patternFill>
          <bgColor rgb="FFFFFF00"/>
        </patternFill>
      </fill>
    </dxf>
    <dxf>
      <font>
        <b/>
        <i val="0"/>
        <color auto="1"/>
      </font>
      <fill>
        <patternFill>
          <bgColor rgb="FFEAF0F6"/>
        </patternFill>
      </fill>
      <border>
        <bottom style="thin">
          <color auto="1"/>
        </bottom>
        <vertical/>
        <horizontal/>
      </border>
    </dxf>
    <dxf>
      <font>
        <color rgb="FFFF0000"/>
      </font>
      <fill>
        <patternFill>
          <bgColor rgb="FFFFFF00"/>
        </patternFill>
      </fill>
    </dxf>
    <dxf>
      <fill>
        <patternFill>
          <bgColor rgb="FFFFFF00"/>
        </patternFill>
      </fill>
    </dxf>
    <dxf>
      <font>
        <b/>
        <i val="0"/>
        <color auto="1"/>
      </font>
      <fill>
        <patternFill>
          <bgColor rgb="FFEAF0F6"/>
        </patternFill>
      </fill>
      <border>
        <bottom style="thin">
          <color auto="1"/>
        </bottom>
        <vertical/>
        <horizontal/>
      </border>
    </dxf>
    <dxf>
      <font>
        <color theme="0"/>
      </font>
    </dxf>
    <dxf>
      <font>
        <color theme="0"/>
      </font>
      <fill>
        <patternFill patternType="none">
          <bgColor auto="1"/>
        </patternFill>
      </fill>
      <border>
        <left/>
        <right/>
        <top/>
        <bottom/>
        <vertical/>
        <horizontal/>
      </border>
    </dxf>
    <dxf>
      <font>
        <color rgb="FFFF0000"/>
      </font>
      <fill>
        <patternFill>
          <bgColor rgb="FFFFFF00"/>
        </patternFill>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font>
        <color rgb="FFFF0000"/>
      </font>
    </dxf>
    <dxf>
      <font>
        <color rgb="FFFF0000"/>
      </font>
    </dxf>
    <dxf>
      <font>
        <color rgb="FF00B050"/>
      </font>
    </dxf>
    <dxf>
      <font>
        <color rgb="FFFF0000"/>
      </font>
      <fill>
        <patternFill>
          <bgColor rgb="FFFFFF00"/>
        </patternFill>
      </fill>
    </dxf>
    <dxf>
      <font>
        <color auto="1"/>
      </font>
      <fill>
        <patternFill>
          <bgColor rgb="FFFFFF00"/>
        </patternFill>
      </fill>
    </dxf>
    <dxf>
      <font>
        <color rgb="FF00B050"/>
      </font>
      <fill>
        <patternFill patternType="none">
          <bgColor auto="1"/>
        </patternFill>
      </fill>
    </dxf>
    <dxf>
      <font>
        <color rgb="FF00B050"/>
      </font>
      <fill>
        <patternFill patternType="none">
          <bgColor auto="1"/>
        </patternFill>
      </fill>
    </dxf>
    <dxf>
      <font>
        <color theme="0"/>
      </font>
    </dxf>
    <dxf>
      <border>
        <left style="thin">
          <color rgb="FFFF0000"/>
        </left>
        <right style="thin">
          <color rgb="FFFF0000"/>
        </right>
        <top style="thin">
          <color rgb="FFFF0000"/>
        </top>
        <bottom style="thin">
          <color rgb="FFFF0000"/>
        </bottom>
        <vertical/>
        <horizontal/>
      </border>
    </dxf>
    <dxf>
      <font>
        <color auto="1"/>
      </font>
      <fill>
        <patternFill>
          <bgColor rgb="FFFFFF00"/>
        </patternFill>
      </fill>
    </dxf>
    <dxf>
      <fill>
        <patternFill>
          <bgColor rgb="FFFFFF00"/>
        </patternFill>
      </fill>
    </dxf>
    <dxf>
      <font>
        <color theme="0"/>
      </font>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border>
        <left style="thin">
          <color rgb="FFFF0000"/>
        </left>
        <right style="thin">
          <color rgb="FFFF0000"/>
        </right>
        <top style="thin">
          <color rgb="FFFF0000"/>
        </top>
        <bottom style="thin">
          <color rgb="FFFF0000"/>
        </bottom>
        <vertical/>
        <horizontal/>
      </border>
    </dxf>
    <dxf>
      <border>
        <bottom style="thin">
          <color rgb="FFFF0000"/>
        </bottom>
        <vertical/>
        <horizontal/>
      </border>
    </dxf>
    <dxf>
      <font>
        <color rgb="FFFF0000"/>
      </font>
    </dxf>
    <dxf>
      <font>
        <color rgb="FFFF0000"/>
      </font>
    </dxf>
    <dxf>
      <border>
        <left style="thin">
          <color rgb="FFFF0000"/>
        </left>
        <vertical/>
        <horizontal/>
      </border>
    </dxf>
    <dxf>
      <border>
        <top style="thin">
          <color rgb="FFEA0000"/>
        </top>
        <vertical/>
        <horizontal/>
      </border>
    </dxf>
    <dxf>
      <font>
        <color auto="1"/>
      </font>
    </dxf>
    <dxf>
      <fill>
        <patternFill>
          <bgColor rgb="FFFFFF00"/>
        </patternFill>
      </fill>
    </dxf>
    <dxf>
      <border>
        <top style="thin">
          <color auto="1"/>
        </top>
        <vertical/>
        <horizontal/>
      </border>
    </dxf>
    <dxf>
      <font>
        <strike/>
      </font>
    </dxf>
    <dxf>
      <font>
        <strike val="0"/>
        <color auto="1"/>
      </font>
    </dxf>
    <dxf>
      <font>
        <strike/>
      </font>
    </dxf>
    <dxf>
      <font>
        <strike/>
      </font>
    </dxf>
    <dxf>
      <fill>
        <patternFill>
          <bgColor rgb="FFFFFF99"/>
        </patternFill>
      </fill>
    </dxf>
    <dxf>
      <font>
        <b/>
        <i val="0"/>
        <color rgb="FFFF0000"/>
      </font>
    </dxf>
    <dxf>
      <font>
        <color theme="0"/>
      </font>
    </dxf>
    <dxf>
      <font>
        <color theme="0"/>
      </font>
      <border>
        <vertical/>
        <horizontal/>
      </border>
    </dxf>
    <dxf>
      <font>
        <strike/>
      </font>
    </dxf>
    <dxf>
      <fill>
        <patternFill>
          <bgColor rgb="FFFFFF00"/>
        </patternFill>
      </fill>
    </dxf>
    <dxf>
      <fill>
        <patternFill>
          <bgColor rgb="FFFF0000"/>
        </patternFill>
      </fill>
    </dxf>
    <dxf>
      <fill>
        <patternFill>
          <bgColor rgb="FFFF0000"/>
        </patternFill>
      </fill>
    </dxf>
    <dxf>
      <fill>
        <patternFill>
          <bgColor rgb="FFFFFF00"/>
        </patternFill>
      </fill>
      <border>
        <left style="thin">
          <color rgb="FFFF0000"/>
        </left>
        <right style="thin">
          <color rgb="FFFF0000"/>
        </right>
        <top style="thin">
          <color rgb="FFFF0000"/>
        </top>
        <bottom style="thin">
          <color rgb="FFFF0000"/>
        </bottom>
      </border>
    </dxf>
    <dxf>
      <font>
        <color auto="1"/>
      </font>
    </dxf>
    <dxf>
      <font>
        <color auto="1"/>
      </font>
    </dxf>
    <dxf>
      <fill>
        <patternFill>
          <bgColor rgb="FFFFFF99"/>
        </patternFill>
      </fill>
    </dxf>
    <dxf>
      <fill>
        <patternFill>
          <bgColor rgb="FFFFFF99"/>
        </patternFill>
      </fill>
    </dxf>
    <dxf>
      <font>
        <color theme="0" tint="-0.24994659260841701"/>
      </font>
      <fill>
        <patternFill>
          <bgColor theme="0" tint="-0.24994659260841701"/>
        </patternFill>
      </fill>
    </dxf>
    <dxf>
      <font>
        <color rgb="FFFF0000"/>
      </font>
      <fill>
        <patternFill>
          <bgColor rgb="FFFFFF00"/>
        </patternFill>
      </fill>
    </dxf>
    <dxf>
      <font>
        <color rgb="FFFF0000"/>
      </font>
    </dxf>
    <dxf>
      <fill>
        <gradientFill type="path" left="0.5" right="0.5" top="0.5" bottom="0.5">
          <stop position="0">
            <color rgb="FFFFFF00"/>
          </stop>
          <stop position="1">
            <color theme="0"/>
          </stop>
        </gradientFill>
      </fill>
    </dxf>
    <dxf>
      <fill>
        <patternFill>
          <bgColor rgb="FFFFFF00"/>
        </patternFill>
      </fill>
      <border>
        <left style="thin">
          <color theme="1"/>
        </left>
        <right style="thin">
          <color theme="1"/>
        </right>
        <top style="thin">
          <color theme="1"/>
        </top>
        <bottom style="thin">
          <color theme="1"/>
        </bottom>
        <vertical/>
        <horizontal/>
      </border>
    </dxf>
    <dxf>
      <fill>
        <patternFill>
          <bgColor rgb="FFFFFF00"/>
        </patternFill>
      </fill>
      <border>
        <left style="thin">
          <color theme="1"/>
        </left>
        <right style="thin">
          <color theme="1"/>
        </right>
        <top style="thin">
          <color theme="1"/>
        </top>
        <bottom style="thin">
          <color theme="1"/>
        </bottom>
        <vertical/>
        <horizontal/>
      </border>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gColor rgb="FFFF0000"/>
        </patternFill>
      </fill>
    </dxf>
    <dxf>
      <font>
        <color rgb="FFFF0000"/>
      </font>
      <fill>
        <patternFill>
          <bgColor rgb="FFFFFF00"/>
        </patternFill>
      </fill>
      <border>
        <left style="thin">
          <color rgb="FFFF0000"/>
        </left>
        <right style="thin">
          <color rgb="FFFF0000"/>
        </right>
        <top style="thin">
          <color rgb="FFFF0000"/>
        </top>
        <bottom style="thin">
          <color rgb="FFFF0000"/>
        </bottom>
        <vertical/>
        <horizontal/>
      </border>
    </dxf>
    <dxf>
      <font>
        <color theme="1"/>
      </font>
    </dxf>
    <dxf>
      <fill>
        <patternFill>
          <bgColor rgb="FFFFFF00"/>
        </patternFill>
      </fill>
    </dxf>
    <dxf>
      <font>
        <color theme="1"/>
      </font>
      <fill>
        <patternFill>
          <bgColor rgb="FFEAF0F6"/>
        </patternFill>
      </fill>
      <border>
        <bottom style="thin">
          <color theme="1"/>
        </bottom>
        <vertical/>
        <horizontal/>
      </border>
    </dxf>
    <dxf>
      <font>
        <color theme="1"/>
      </font>
      <fill>
        <patternFill>
          <bgColor rgb="FFEAF0F6"/>
        </patternFill>
      </fill>
      <border>
        <bottom style="thin">
          <color auto="1"/>
        </bottom>
        <vertical/>
        <horizontal/>
      </border>
    </dxf>
    <dxf>
      <font>
        <color theme="1"/>
      </font>
      <fill>
        <patternFill>
          <bgColor rgb="FFEAF0F6"/>
        </patternFill>
      </fill>
      <border>
        <bottom style="thin">
          <color auto="1"/>
        </bottom>
        <vertical/>
        <horizontal/>
      </border>
    </dxf>
    <dxf>
      <font>
        <color rgb="FFFF0000"/>
      </font>
      <fill>
        <patternFill>
          <bgColor rgb="FFFFFF00"/>
        </patternFill>
      </fill>
    </dxf>
    <dxf>
      <font>
        <strike/>
      </font>
    </dxf>
    <dxf>
      <font>
        <color theme="0" tint="-0.24994659260841701"/>
      </font>
      <fill>
        <patternFill>
          <bgColor theme="0" tint="-0.24994659260841701"/>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dxf>
    <dxf>
      <fill>
        <patternFill patternType="none">
          <bgColor auto="1"/>
        </patternFill>
      </fill>
      <border>
        <left/>
        <right/>
        <top/>
        <bottom/>
        <vertical/>
        <horizontal/>
      </border>
    </dxf>
    <dxf>
      <fill>
        <patternFill>
          <bgColor rgb="FFFFFF00"/>
        </patternFill>
      </fill>
    </dxf>
    <dxf>
      <font>
        <color rgb="FFFF000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auto="1"/>
      </font>
      <fill>
        <patternFill>
          <bgColor rgb="FFEAF0F6"/>
        </patternFill>
      </fill>
      <border>
        <bottom style="thin">
          <color auto="1"/>
        </bottom>
        <vertical/>
        <horizontal/>
      </border>
    </dxf>
    <dxf>
      <font>
        <color rgb="FFFF0000"/>
      </font>
      <fill>
        <patternFill>
          <bgColor rgb="FFFFFF00"/>
        </patternFill>
      </fill>
    </dxf>
    <dxf>
      <font>
        <color rgb="FF00B050"/>
      </font>
      <fill>
        <patternFill patternType="none">
          <bgColor auto="1"/>
        </patternFill>
      </fill>
    </dxf>
    <dxf>
      <font>
        <color rgb="FF00B050"/>
      </font>
      <fill>
        <patternFill patternType="none">
          <bgColor auto="1"/>
        </patternFill>
      </fill>
    </dxf>
    <dxf>
      <font>
        <color theme="0"/>
      </font>
    </dxf>
    <dxf>
      <border>
        <left style="thin">
          <color rgb="FFFF0000"/>
        </left>
        <right style="thin">
          <color rgb="FFFF0000"/>
        </right>
        <top style="thin">
          <color rgb="FFFF0000"/>
        </top>
        <bottom style="thin">
          <color rgb="FFFF0000"/>
        </bottom>
        <vertical/>
        <horizontal/>
      </border>
    </dxf>
    <dxf>
      <font>
        <color auto="1"/>
      </font>
      <fill>
        <patternFill>
          <bgColor rgb="FFFFFF00"/>
        </patternFill>
      </fill>
    </dxf>
    <dxf>
      <fill>
        <patternFill>
          <bgColor rgb="FFFFFF00"/>
        </patternFill>
      </fill>
    </dxf>
    <dxf>
      <font>
        <color theme="0"/>
      </font>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border>
        <left style="thin">
          <color rgb="FFFF0000"/>
        </left>
        <right style="thin">
          <color rgb="FFFF0000"/>
        </right>
        <top style="thin">
          <color rgb="FFFF0000"/>
        </top>
        <bottom style="thin">
          <color rgb="FFFF0000"/>
        </bottom>
        <vertical/>
        <horizontal/>
      </border>
    </dxf>
    <dxf>
      <font>
        <color rgb="FFFF0000"/>
      </font>
    </dxf>
    <dxf>
      <font>
        <color theme="0"/>
      </font>
      <fill>
        <patternFill patternType="none">
          <bgColor auto="1"/>
        </patternFill>
      </fill>
      <border>
        <left/>
        <right/>
        <top/>
        <bottom style="thin">
          <color theme="0"/>
        </bottom>
        <vertical/>
        <horizontal/>
      </border>
    </dxf>
    <dxf>
      <font>
        <color auto="1"/>
      </font>
    </dxf>
    <dxf>
      <fill>
        <patternFill>
          <bgColor rgb="FFFFFF00"/>
        </patternFill>
      </fill>
    </dxf>
    <dxf>
      <border>
        <top style="thin">
          <color auto="1"/>
        </top>
        <vertical/>
        <horizontal/>
      </border>
    </dxf>
    <dxf>
      <font>
        <strike/>
      </font>
    </dxf>
    <dxf>
      <font>
        <strike val="0"/>
        <color auto="1"/>
      </font>
    </dxf>
    <dxf>
      <font>
        <strike/>
      </font>
    </dxf>
    <dxf>
      <font>
        <strike/>
      </font>
    </dxf>
    <dxf>
      <fill>
        <patternFill patternType="lightUp">
          <fgColor rgb="FFFF0000"/>
        </patternFill>
      </fill>
    </dxf>
    <dxf>
      <fill>
        <patternFill>
          <bgColor rgb="FFFFFF99"/>
        </patternFill>
      </fill>
    </dxf>
    <dxf>
      <font>
        <b/>
        <i val="0"/>
        <color rgb="FFFF0000"/>
      </font>
    </dxf>
    <dxf>
      <font>
        <color theme="0"/>
      </font>
      <border>
        <vertical/>
        <horizontal/>
      </border>
    </dxf>
    <dxf>
      <font>
        <strike/>
      </font>
    </dxf>
    <dxf>
      <font>
        <color auto="1"/>
      </font>
    </dxf>
    <dxf>
      <font>
        <color auto="1"/>
      </font>
    </dxf>
    <dxf>
      <fill>
        <patternFill>
          <bgColor rgb="FFFFFF99"/>
        </patternFill>
      </fill>
    </dxf>
    <dxf>
      <fill>
        <patternFill>
          <bgColor rgb="FFFFFF99"/>
        </patternFill>
      </fill>
    </dxf>
    <dxf>
      <font>
        <color theme="0"/>
      </font>
      <fill>
        <patternFill patternType="none">
          <bgColor auto="1"/>
        </patternFill>
      </fill>
      <border>
        <left/>
        <right/>
        <top/>
        <bottom/>
        <vertical/>
        <horizontal/>
      </border>
    </dxf>
    <dxf>
      <font>
        <color rgb="FF0000FF"/>
      </font>
      <fill>
        <patternFill>
          <bgColor rgb="FFFFFF00"/>
        </patternFill>
      </fill>
      <border>
        <bottom style="thin">
          <color auto="1"/>
        </bottom>
        <vertical/>
        <horizontal/>
      </border>
    </dxf>
    <dxf>
      <font>
        <color rgb="FF0000FF"/>
      </font>
      <border>
        <bottom style="thin">
          <color auto="1"/>
        </bottom>
        <vertical/>
        <horizontal/>
      </border>
    </dxf>
    <dxf>
      <font>
        <color theme="1"/>
      </font>
      <fill>
        <patternFill>
          <bgColor rgb="FFFFFF00"/>
        </patternFill>
      </fill>
      <border>
        <left style="thin">
          <color auto="1"/>
        </left>
        <bottom style="thin">
          <color auto="1"/>
        </bottom>
        <vertical/>
        <horizontal/>
      </border>
    </dxf>
    <dxf>
      <font>
        <color theme="1"/>
      </font>
      <border>
        <left style="thin">
          <color auto="1"/>
        </left>
        <bottom style="thin">
          <color auto="1"/>
        </bottom>
        <vertical/>
        <horizontal/>
      </border>
    </dxf>
    <dxf>
      <font>
        <color theme="1"/>
      </font>
      <fill>
        <patternFill>
          <bgColor rgb="FFFFFF00"/>
        </patternFill>
      </fill>
      <border>
        <left style="thin">
          <color auto="1"/>
        </left>
        <right style="thin">
          <color auto="1"/>
        </right>
        <top style="thin">
          <color auto="1"/>
        </top>
        <vertical/>
        <horizontal/>
      </border>
    </dxf>
    <dxf>
      <font>
        <color theme="1"/>
      </font>
      <border>
        <left style="thin">
          <color auto="1"/>
        </left>
        <right style="thin">
          <color auto="1"/>
        </right>
        <top style="thin">
          <color auto="1"/>
        </top>
        <vertical/>
        <horizontal/>
      </border>
    </dxf>
    <dxf>
      <font>
        <strike/>
      </font>
    </dxf>
    <dxf>
      <font>
        <color theme="1"/>
      </font>
      <fill>
        <patternFill>
          <bgColor rgb="FFEAF0F6"/>
        </patternFill>
      </fill>
      <border>
        <left style="thin">
          <color auto="1"/>
        </left>
        <right style="thin">
          <color auto="1"/>
        </right>
        <top style="thin">
          <color auto="1"/>
        </top>
        <bottom style="thin">
          <color auto="1"/>
        </bottom>
        <vertical/>
        <horizontal/>
      </border>
    </dxf>
    <dxf>
      <font>
        <color theme="0"/>
      </font>
    </dxf>
    <dxf>
      <font>
        <color rgb="FF009242"/>
      </font>
    </dxf>
    <dxf>
      <font>
        <color rgb="FFFF0000"/>
      </font>
    </dxf>
    <dxf>
      <font>
        <color rgb="FF009242"/>
      </font>
    </dxf>
    <dxf>
      <font>
        <color rgb="FF009242"/>
      </font>
    </dxf>
    <dxf>
      <font>
        <color rgb="FFFF0000"/>
      </font>
    </dxf>
    <dxf>
      <font>
        <color rgb="FF009242"/>
      </font>
    </dxf>
    <dxf>
      <font>
        <color rgb="FF009242"/>
      </font>
    </dxf>
    <dxf>
      <font>
        <color rgb="FFFF0000"/>
      </font>
    </dxf>
    <dxf>
      <font>
        <color rgb="FF009242"/>
      </font>
    </dxf>
    <dxf>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border>
        <left style="thin">
          <color rgb="FFFF0000"/>
        </left>
        <right style="thin">
          <color rgb="FFFF0000"/>
        </right>
        <top style="thin">
          <color rgb="FFFF0000"/>
        </top>
        <bottom style="thin">
          <color rgb="FFFF0000"/>
        </bottom>
        <vertical/>
        <horizontal/>
      </border>
    </dxf>
    <dxf>
      <font>
        <color theme="0"/>
      </font>
    </dxf>
    <dxf>
      <font>
        <color theme="0" tint="-0.34998626667073579"/>
      </font>
    </dxf>
    <dxf>
      <font>
        <strike/>
      </font>
    </dxf>
    <dxf>
      <font>
        <color theme="0" tint="-0.24994659260841701"/>
      </font>
      <fill>
        <patternFill>
          <bgColor theme="0" tint="-0.24994659260841701"/>
        </patternFill>
      </fill>
    </dxf>
    <dxf>
      <fill>
        <patternFill>
          <bgColor rgb="FFFFFF00"/>
        </patternFill>
      </fill>
    </dxf>
    <dxf>
      <fill>
        <patternFill>
          <bgColor rgb="FFFFFF00"/>
        </patternFill>
      </fill>
    </dxf>
    <dxf>
      <font>
        <color theme="0" tint="-0.34998626667073579"/>
      </font>
    </dxf>
    <dxf>
      <fill>
        <patternFill>
          <bgColor rgb="FFFFFF00"/>
        </patternFill>
      </fill>
    </dxf>
    <dxf>
      <fill>
        <patternFill patternType="lightUp">
          <fgColor rgb="FFFF0000"/>
        </patternFill>
      </fill>
    </dxf>
    <dxf>
      <font>
        <b/>
        <i val="0"/>
        <color theme="1"/>
      </font>
    </dxf>
    <dxf>
      <fill>
        <patternFill>
          <bgColor rgb="FFFFFF00"/>
        </patternFill>
      </fill>
    </dxf>
    <dxf>
      <fill>
        <patternFill>
          <bgColor rgb="FFFFFF00"/>
        </patternFill>
      </fill>
    </dxf>
    <dxf>
      <fill>
        <patternFill>
          <bgColor rgb="FFFFFF99"/>
        </patternFill>
      </fill>
    </dxf>
    <dxf>
      <fill>
        <patternFill>
          <bgColor rgb="FFFFFF99"/>
        </patternFill>
      </fill>
    </dxf>
    <dxf>
      <fill>
        <patternFill>
          <bgColor rgb="FFFFFF00"/>
        </patternFill>
      </fill>
      <border>
        <left style="thin">
          <color rgb="FFFF0000"/>
        </left>
        <right style="thin">
          <color rgb="FFFF0000"/>
        </right>
        <top style="thin">
          <color rgb="FFFF0000"/>
        </top>
        <bottom style="thin">
          <color rgb="FFFF0000"/>
        </bottom>
        <vertical/>
        <horizontal/>
      </border>
    </dxf>
    <dxf>
      <font>
        <color rgb="FFEA0000"/>
      </font>
    </dxf>
    <dxf>
      <font>
        <color rgb="FFEA0000"/>
      </font>
    </dxf>
    <dxf>
      <font>
        <color rgb="FFFF0000"/>
      </font>
    </dxf>
    <dxf>
      <fill>
        <patternFill>
          <bgColor rgb="FFFF0000"/>
        </patternFill>
      </fill>
    </dxf>
    <dxf>
      <fill>
        <patternFill>
          <bgColor rgb="FFFF0000"/>
        </patternFill>
      </fill>
    </dxf>
    <dxf>
      <font>
        <color theme="0"/>
      </font>
      <fill>
        <patternFill>
          <bgColor theme="0"/>
        </patternFill>
      </fill>
    </dxf>
    <dxf>
      <font>
        <b/>
        <i val="0"/>
      </font>
      <fill>
        <patternFill>
          <bgColor rgb="FFFF0000"/>
        </patternFill>
      </fill>
    </dxf>
    <dxf>
      <font>
        <b/>
        <i val="0"/>
      </font>
      <fill>
        <patternFill>
          <bgColor rgb="FFFF0000"/>
        </patternFill>
      </fill>
    </dxf>
    <dxf>
      <font>
        <color theme="0"/>
      </font>
    </dxf>
    <dxf>
      <font>
        <color rgb="FFFF0000"/>
      </font>
    </dxf>
    <dxf>
      <font>
        <color auto="1"/>
      </font>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patternType="none">
          <bgColor auto="1"/>
        </patternFill>
      </fill>
    </dxf>
    <dxf>
      <border>
        <left style="thin">
          <color rgb="FFFF0000"/>
        </left>
        <right style="thin">
          <color rgb="FFFF0000"/>
        </right>
        <top style="thin">
          <color rgb="FFFF0000"/>
        </top>
        <bottom style="thin">
          <color rgb="FFFF0000"/>
        </bottom>
        <vertical/>
        <horizontal/>
      </border>
    </dxf>
    <dxf>
      <font>
        <color auto="1"/>
      </font>
      <fill>
        <patternFill>
          <bgColor rgb="FFFFFF00"/>
        </patternFill>
      </fill>
    </dxf>
    <dxf>
      <fill>
        <patternFill>
          <bgColor rgb="FFFFFF00"/>
        </patternFill>
      </fill>
    </dxf>
    <dxf>
      <font>
        <color theme="0"/>
      </font>
    </dxf>
    <dxf>
      <font>
        <color rgb="FF00B050"/>
      </font>
      <fill>
        <patternFill patternType="none">
          <bgColor auto="1"/>
        </patternFill>
      </fill>
    </dxf>
    <dxf>
      <font>
        <color rgb="FF00B050"/>
      </font>
      <fill>
        <patternFill patternType="none">
          <bgColor auto="1"/>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gColor rgb="FFFF0000"/>
        </patternFill>
      </fill>
    </dxf>
    <dxf>
      <fill>
        <patternFill>
          <bgColor rgb="FFFFFF99"/>
        </patternFill>
      </fill>
    </dxf>
    <dxf>
      <fill>
        <patternFill>
          <bgColor rgb="FFFFFF99"/>
        </patternFill>
      </fill>
    </dxf>
    <dxf>
      <font>
        <color auto="1"/>
      </font>
    </dxf>
    <dxf>
      <font>
        <color auto="1"/>
      </font>
    </dxf>
    <dxf>
      <fill>
        <patternFill>
          <bgColor rgb="FFFFFF99"/>
        </patternFill>
      </fill>
    </dxf>
    <dxf>
      <fill>
        <patternFill>
          <bgColor rgb="FFFFFF99"/>
        </patternFill>
      </fill>
    </dxf>
    <dxf>
      <fill>
        <patternFill>
          <bgColor rgb="FFFFFF99"/>
        </patternFill>
      </fill>
    </dxf>
    <dxf>
      <fill>
        <patternFill>
          <bgColor rgb="FFFFFF99"/>
        </patternFill>
      </fill>
    </dxf>
    <dxf>
      <font>
        <color theme="0"/>
      </font>
      <fill>
        <patternFill patternType="none">
          <bgColor auto="1"/>
        </patternFill>
      </fill>
      <border>
        <left/>
        <right/>
        <top/>
        <bottom/>
        <vertical/>
        <horizontal/>
      </border>
    </dxf>
    <dxf>
      <font>
        <color rgb="FF0000FF"/>
      </font>
      <fill>
        <patternFill>
          <bgColor rgb="FFFFFF00"/>
        </patternFill>
      </fill>
      <border>
        <bottom style="thin">
          <color auto="1"/>
        </bottom>
        <vertical/>
        <horizontal/>
      </border>
    </dxf>
    <dxf>
      <font>
        <color rgb="FF0000FF"/>
      </font>
      <border>
        <bottom style="thin">
          <color auto="1"/>
        </bottom>
        <vertical/>
        <horizontal/>
      </border>
    </dxf>
    <dxf>
      <font>
        <color theme="1"/>
      </font>
      <fill>
        <patternFill>
          <bgColor rgb="FFFFFF00"/>
        </patternFill>
      </fill>
      <border>
        <left style="thin">
          <color auto="1"/>
        </left>
        <bottom style="thin">
          <color auto="1"/>
        </bottom>
        <vertical/>
        <horizontal/>
      </border>
    </dxf>
    <dxf>
      <font>
        <color theme="1"/>
      </font>
      <border>
        <left style="thin">
          <color auto="1"/>
        </left>
        <bottom style="thin">
          <color auto="1"/>
        </bottom>
        <vertical/>
        <horizontal/>
      </border>
    </dxf>
    <dxf>
      <font>
        <color theme="1"/>
      </font>
      <fill>
        <patternFill>
          <bgColor rgb="FFFFFF00"/>
        </patternFill>
      </fill>
      <border>
        <left style="thin">
          <color auto="1"/>
        </left>
        <right style="thin">
          <color auto="1"/>
        </right>
        <top style="thin">
          <color auto="1"/>
        </top>
        <vertical/>
        <horizontal/>
      </border>
    </dxf>
    <dxf>
      <font>
        <color theme="1"/>
      </font>
      <border>
        <left style="thin">
          <color auto="1"/>
        </left>
        <right style="thin">
          <color auto="1"/>
        </right>
        <top style="thin">
          <color auto="1"/>
        </top>
        <vertical/>
        <horizontal/>
      </border>
    </dxf>
    <dxf>
      <font>
        <strike/>
      </font>
    </dxf>
    <dxf>
      <font>
        <color theme="1"/>
      </font>
      <fill>
        <patternFill>
          <bgColor rgb="FFEAF0F6"/>
        </patternFill>
      </fill>
      <border>
        <left style="thin">
          <color auto="1"/>
        </left>
        <right style="thin">
          <color auto="1"/>
        </right>
        <top style="thin">
          <color auto="1"/>
        </top>
        <bottom style="thin">
          <color auto="1"/>
        </bottom>
        <vertical/>
        <horizontal/>
      </border>
    </dxf>
    <dxf>
      <font>
        <color theme="0"/>
      </font>
    </dxf>
    <dxf>
      <font>
        <color rgb="FFFF0000"/>
      </font>
    </dxf>
    <dxf>
      <font>
        <color rgb="FF009242"/>
      </font>
    </dxf>
    <dxf>
      <font>
        <color rgb="FF009242"/>
      </font>
    </dxf>
    <dxf>
      <font>
        <color rgb="FF009242"/>
      </font>
    </dxf>
    <dxf>
      <font>
        <color rgb="FFFF0000"/>
      </font>
    </dxf>
    <dxf>
      <font>
        <color rgb="FF009242"/>
      </font>
    </dxf>
    <dxf>
      <font>
        <color rgb="FF009242"/>
      </font>
    </dxf>
    <dxf>
      <font>
        <color rgb="FFFF0000"/>
      </font>
    </dxf>
    <dxf>
      <font>
        <color rgb="FF009242"/>
      </font>
    </dxf>
    <dxf>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border>
        <left style="thin">
          <color rgb="FFFF0000"/>
        </left>
        <right style="thin">
          <color rgb="FFFF0000"/>
        </right>
        <top style="thin">
          <color rgb="FFFF0000"/>
        </top>
        <bottom style="thin">
          <color rgb="FFFF0000"/>
        </bottom>
        <vertical/>
        <horizontal/>
      </border>
    </dxf>
    <dxf>
      <font>
        <color theme="0"/>
      </font>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rgb="FFFF0000"/>
      </font>
      <fill>
        <patternFill>
          <bgColor rgb="FFFFFF00"/>
        </patternFill>
      </fill>
    </dxf>
    <dxf>
      <fill>
        <patternFill>
          <bgColor rgb="FFEAF0F6"/>
        </patternFill>
      </fill>
    </dxf>
    <dxf>
      <font>
        <color auto="1"/>
      </font>
      <border>
        <left style="thin">
          <color auto="1"/>
        </left>
        <right style="thin">
          <color auto="1"/>
        </right>
        <top style="thin">
          <color auto="1"/>
        </top>
        <bottom style="thin">
          <color auto="1"/>
        </bottom>
        <vertical/>
        <horizontal/>
      </border>
    </dxf>
    <dxf>
      <font>
        <color auto="1"/>
      </font>
      <border>
        <left style="thin">
          <color theme="1"/>
        </left>
        <right style="thin">
          <color theme="1"/>
        </right>
        <top style="thin">
          <color theme="1"/>
        </top>
        <bottom style="thin">
          <color theme="1"/>
        </bottom>
        <vertical/>
        <horizontal/>
      </border>
    </dxf>
    <dxf>
      <font>
        <color auto="1"/>
      </font>
      <border>
        <left style="thin">
          <color rgb="FFFF0000"/>
        </left>
        <right style="thin">
          <color rgb="FFFF0000"/>
        </right>
        <top style="thin">
          <color rgb="FFFF0000"/>
        </top>
        <bottom style="thin">
          <color rgb="FFFF0000"/>
        </bottom>
        <vertical/>
        <horizontal/>
      </border>
    </dxf>
    <dxf>
      <font>
        <color theme="0" tint="-0.34998626667073579"/>
      </font>
    </dxf>
    <dxf>
      <fill>
        <patternFill patternType="lightUp">
          <fgColor rgb="FFFF0000"/>
        </patternFill>
      </fill>
    </dxf>
    <dxf>
      <font>
        <color theme="0"/>
      </font>
      <fill>
        <patternFill patternType="none">
          <bgColor auto="1"/>
        </patternFill>
      </fill>
    </dxf>
    <dxf>
      <font>
        <color theme="0"/>
      </font>
      <fill>
        <patternFill patternType="none">
          <bgColor auto="1"/>
        </patternFill>
      </fill>
    </dxf>
    <dxf>
      <font>
        <strike/>
      </font>
    </dxf>
    <dxf>
      <font>
        <color theme="0" tint="-0.24994659260841701"/>
      </font>
      <fill>
        <patternFill>
          <bgColor theme="0" tint="-0.24994659260841701"/>
        </patternFill>
      </fill>
    </dxf>
    <dxf>
      <fill>
        <patternFill>
          <bgColor rgb="FFFFFF00"/>
        </patternFill>
      </fill>
    </dxf>
    <dxf>
      <fill>
        <patternFill>
          <bgColor rgb="FFFFFF00"/>
        </patternFill>
      </fill>
    </dxf>
    <dxf>
      <font>
        <b/>
        <i val="0"/>
        <color theme="1"/>
      </font>
    </dxf>
    <dxf>
      <font>
        <color theme="0" tint="-0.34998626667073579"/>
      </font>
    </dxf>
    <dxf>
      <fill>
        <patternFill>
          <bgColor rgb="FFFFFF00"/>
        </patternFill>
      </fill>
    </dxf>
    <dxf>
      <fill>
        <patternFill patternType="lightUp">
          <fgColor rgb="FFFF0000"/>
        </patternFill>
      </fill>
    </dxf>
    <dxf>
      <fill>
        <patternFill>
          <bgColor rgb="FFFFFF00"/>
        </patternFill>
      </fill>
    </dxf>
    <dxf>
      <fill>
        <patternFill>
          <bgColor rgb="FFFFFF00"/>
        </patternFill>
      </fill>
    </dxf>
    <dxf>
      <fill>
        <patternFill>
          <bgColor rgb="FFFFFF00"/>
        </patternFill>
      </fill>
      <border>
        <left style="thin">
          <color rgb="FFFF0000"/>
        </left>
        <right style="thin">
          <color rgb="FFFF0000"/>
        </right>
        <top style="thin">
          <color rgb="FFFF0000"/>
        </top>
        <bottom style="thin">
          <color rgb="FFFF0000"/>
        </bottom>
        <vertical/>
        <horizontal/>
      </border>
    </dxf>
    <dxf>
      <font>
        <color rgb="FF00B050"/>
      </font>
      <fill>
        <patternFill patternType="none">
          <bgColor auto="1"/>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numFmt numFmtId="0" formatCode="General"/>
    </dxf>
    <dxf>
      <font>
        <color rgb="FF00B050"/>
      </font>
      <fill>
        <patternFill patternType="none">
          <bgColor auto="1"/>
        </patternFill>
      </fill>
    </dxf>
    <dxf>
      <font>
        <color rgb="FF00B050"/>
      </font>
      <fill>
        <patternFill patternType="none">
          <bgColor auto="1"/>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patternType="none">
          <bgColor auto="1"/>
        </patternFill>
      </fill>
    </dxf>
    <dxf>
      <border>
        <left style="thin">
          <color rgb="FFFF0000"/>
        </left>
        <right style="thin">
          <color rgb="FFFF0000"/>
        </right>
        <top style="thin">
          <color rgb="FFFF0000"/>
        </top>
        <bottom style="thin">
          <color rgb="FFFF0000"/>
        </bottom>
        <vertical/>
        <horizontal/>
      </border>
    </dxf>
    <dxf>
      <font>
        <color auto="1"/>
      </font>
      <fill>
        <patternFill>
          <bgColor rgb="FFFFFF00"/>
        </patternFill>
      </fill>
    </dxf>
    <dxf>
      <fill>
        <patternFill>
          <bgColor rgb="FFFFFF00"/>
        </patternFill>
      </fill>
    </dxf>
    <dxf>
      <font>
        <color theme="0"/>
      </font>
    </dxf>
    <dxf>
      <fill>
        <patternFill patternType="none">
          <bgColor auto="1"/>
        </patternFill>
      </fill>
    </dxf>
    <dxf>
      <font>
        <color theme="0"/>
      </font>
    </dxf>
    <dxf>
      <font>
        <color theme="0"/>
      </font>
      <numFmt numFmtId="0" formatCode="General"/>
    </dxf>
    <dxf>
      <font>
        <b val="0"/>
        <i val="0"/>
      </font>
    </dxf>
    <dxf>
      <font>
        <color rgb="FFEA0000"/>
      </font>
    </dxf>
    <dxf>
      <font>
        <color rgb="FFFF0000"/>
      </font>
    </dxf>
    <dxf>
      <font>
        <color rgb="FFEA0000"/>
      </font>
    </dxf>
    <dxf>
      <font>
        <b/>
        <i val="0"/>
      </font>
      <fill>
        <patternFill>
          <bgColor rgb="FFFF0000"/>
        </patternFill>
      </fill>
    </dxf>
    <dxf>
      <font>
        <b/>
        <i val="0"/>
      </font>
      <fill>
        <patternFill>
          <bgColor rgb="FFFF0000"/>
        </patternFill>
      </fill>
    </dxf>
    <dxf>
      <font>
        <color theme="0"/>
      </font>
    </dxf>
    <dxf>
      <font>
        <color rgb="FFFF0000"/>
      </font>
    </dxf>
    <dxf>
      <fill>
        <patternFill>
          <bgColor rgb="FFFF0000"/>
        </patternFill>
      </fill>
    </dxf>
    <dxf>
      <fill>
        <patternFill>
          <bgColor rgb="FFFF0000"/>
        </patternFill>
      </fill>
    </dxf>
    <dxf>
      <font>
        <color theme="0"/>
      </font>
      <fill>
        <patternFill>
          <bgColor theme="0"/>
        </patternFill>
      </fill>
    </dxf>
    <dxf>
      <font>
        <color auto="1"/>
      </font>
    </dxf>
    <dxf>
      <font>
        <color auto="1"/>
      </font>
    </dxf>
    <dxf>
      <font>
        <color auto="1"/>
      </font>
    </dxf>
    <dxf>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patternType="lightUp">
          <fgColor rgb="FFFF000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color auto="1"/>
      </font>
    </dxf>
    <dxf>
      <font>
        <color auto="1"/>
      </font>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ont>
        <color theme="0"/>
      </font>
      <fill>
        <patternFill patternType="none">
          <bgColor auto="1"/>
        </patternFill>
      </fill>
      <border>
        <left/>
        <right/>
        <top/>
        <bottom/>
        <vertical/>
        <horizontal/>
      </border>
    </dxf>
    <dxf>
      <font>
        <color rgb="FF0000FF"/>
      </font>
      <fill>
        <patternFill>
          <bgColor rgb="FFFFFF00"/>
        </patternFill>
      </fill>
      <border>
        <bottom style="thin">
          <color auto="1"/>
        </bottom>
        <vertical/>
        <horizontal/>
      </border>
    </dxf>
    <dxf>
      <font>
        <color rgb="FF0000FF"/>
      </font>
      <border>
        <bottom style="thin">
          <color auto="1"/>
        </bottom>
        <vertical/>
        <horizontal/>
      </border>
    </dxf>
    <dxf>
      <font>
        <color theme="1"/>
      </font>
      <fill>
        <patternFill>
          <bgColor rgb="FFFFFF00"/>
        </patternFill>
      </fill>
      <border>
        <left style="thin">
          <color auto="1"/>
        </left>
        <bottom style="thin">
          <color auto="1"/>
        </bottom>
        <vertical/>
        <horizontal/>
      </border>
    </dxf>
    <dxf>
      <font>
        <color theme="1"/>
      </font>
      <border>
        <left style="thin">
          <color auto="1"/>
        </left>
        <bottom style="thin">
          <color auto="1"/>
        </bottom>
        <vertical/>
        <horizontal/>
      </border>
    </dxf>
    <dxf>
      <font>
        <color theme="1"/>
      </font>
      <fill>
        <patternFill>
          <bgColor rgb="FFFFFF00"/>
        </patternFill>
      </fill>
      <border>
        <left style="thin">
          <color auto="1"/>
        </left>
        <right style="thin">
          <color auto="1"/>
        </right>
        <top style="thin">
          <color auto="1"/>
        </top>
        <vertical/>
        <horizontal/>
      </border>
    </dxf>
    <dxf>
      <font>
        <color theme="1"/>
      </font>
      <border>
        <left style="thin">
          <color auto="1"/>
        </left>
        <right style="thin">
          <color auto="1"/>
        </right>
        <top style="thin">
          <color auto="1"/>
        </top>
        <vertical/>
        <horizontal/>
      </border>
    </dxf>
    <dxf>
      <font>
        <strike/>
      </font>
    </dxf>
    <dxf>
      <font>
        <color theme="1"/>
      </font>
      <fill>
        <patternFill>
          <bgColor rgb="FFEAF0F6"/>
        </patternFill>
      </fill>
      <border>
        <left style="thin">
          <color auto="1"/>
        </left>
        <right style="thin">
          <color auto="1"/>
        </right>
        <top style="thin">
          <color auto="1"/>
        </top>
        <bottom style="thin">
          <color auto="1"/>
        </bottom>
        <vertical/>
        <horizontal/>
      </border>
    </dxf>
    <dxf>
      <font>
        <color theme="0"/>
      </font>
    </dxf>
    <dxf>
      <font>
        <color rgb="FF009242"/>
      </font>
    </dxf>
    <dxf>
      <font>
        <color rgb="FFFF0000"/>
      </font>
    </dxf>
    <dxf>
      <font>
        <color rgb="FF009242"/>
      </font>
    </dxf>
    <dxf>
      <font>
        <color rgb="FF009242"/>
      </font>
    </dxf>
    <dxf>
      <font>
        <color rgb="FFFF0000"/>
      </font>
    </dxf>
    <dxf>
      <font>
        <color rgb="FF009242"/>
      </font>
    </dxf>
    <dxf>
      <font>
        <color rgb="FF009242"/>
      </font>
    </dxf>
    <dxf>
      <font>
        <color rgb="FFFF0000"/>
      </font>
    </dxf>
    <dxf>
      <font>
        <color rgb="FF009242"/>
      </font>
    </dxf>
    <dxf>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border>
        <left style="thin">
          <color rgb="FFFF0000"/>
        </left>
        <right style="thin">
          <color rgb="FFFF0000"/>
        </right>
        <top style="thin">
          <color rgb="FFFF0000"/>
        </top>
        <bottom style="thin">
          <color rgb="FFFF0000"/>
        </bottom>
        <vertical/>
        <horizontal/>
      </border>
    </dxf>
    <dxf>
      <font>
        <color theme="0"/>
      </font>
    </dxf>
    <dxf>
      <font>
        <color theme="0"/>
      </font>
      <fill>
        <patternFill patternType="none">
          <bgColor auto="1"/>
        </patternFill>
      </fill>
    </dxf>
    <dxf>
      <font>
        <color theme="0"/>
      </font>
      <fill>
        <patternFill patternType="none">
          <bgColor auto="1"/>
        </patternFill>
      </fill>
      <border>
        <left/>
        <right/>
        <top/>
        <bottom/>
        <vertical/>
        <horizontal/>
      </border>
    </dxf>
    <dxf>
      <font>
        <color theme="0" tint="-0.34998626667073579"/>
      </font>
      <fill>
        <patternFill patternType="none">
          <bgColor auto="1"/>
        </patternFill>
      </fill>
    </dxf>
    <dxf>
      <font>
        <color rgb="FF00B050"/>
      </font>
      <fill>
        <patternFill patternType="none">
          <bgColor auto="1"/>
        </patternFill>
      </fill>
    </dxf>
    <dxf>
      <fill>
        <patternFill>
          <bgColor rgb="FFFFFF00"/>
        </patternFill>
      </fill>
      <border>
        <left style="thin">
          <color rgb="FFFF0000"/>
        </left>
        <right style="thin">
          <color rgb="FFFF0000"/>
        </right>
        <top style="thin">
          <color rgb="FFFF0000"/>
        </top>
        <bottom style="thin">
          <color rgb="FFFF0000"/>
        </bottom>
        <vertical/>
        <horizontal/>
      </border>
    </dxf>
    <dxf>
      <font>
        <color theme="0" tint="-0.34998626667073579"/>
      </font>
    </dxf>
    <dxf>
      <fill>
        <patternFill>
          <bgColor rgb="FFFFFF00"/>
        </patternFill>
      </fill>
    </dxf>
    <dxf>
      <font>
        <color theme="0"/>
      </font>
      <fill>
        <patternFill patternType="none">
          <bgColor auto="1"/>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ill>
        <patternFill>
          <bgColor rgb="FFFFFF00"/>
        </patternFill>
      </fill>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bottom/>
        <vertical/>
        <horizontal/>
      </border>
    </dxf>
    <dxf>
      <font>
        <color theme="0"/>
      </font>
      <fill>
        <patternFill>
          <bgColor theme="0"/>
        </patternFill>
      </fill>
    </dxf>
    <dxf>
      <font>
        <color theme="0"/>
      </font>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FF00"/>
        </patternFill>
      </fill>
    </dxf>
    <dxf>
      <font>
        <color auto="1"/>
      </font>
    </dxf>
    <dxf>
      <font>
        <color theme="0" tint="-0.34998626667073579"/>
      </font>
    </dxf>
    <dxf>
      <fill>
        <patternFill>
          <bgColor rgb="FFFFFF00"/>
        </patternFill>
      </fill>
    </dxf>
    <dxf>
      <fill>
        <patternFill>
          <bgColor rgb="FFFF0000"/>
        </patternFill>
      </fill>
    </dxf>
    <dxf>
      <fill>
        <patternFill>
          <bgColor rgb="FFFF0000"/>
        </patternFill>
      </fill>
    </dxf>
    <dxf>
      <fill>
        <patternFill patternType="none">
          <bgColor auto="1"/>
        </patternFill>
      </fill>
    </dxf>
    <dxf>
      <border>
        <left style="thin">
          <color rgb="FFFF0000"/>
        </left>
        <right style="thin">
          <color rgb="FFFF0000"/>
        </right>
        <top style="thin">
          <color rgb="FFFF0000"/>
        </top>
        <bottom style="thin">
          <color rgb="FFFF0000"/>
        </bottom>
        <vertical/>
        <horizontal/>
      </border>
    </dxf>
    <dxf>
      <fill>
        <patternFill>
          <bgColor rgb="FFFF0000"/>
        </patternFill>
      </fill>
    </dxf>
    <dxf>
      <fill>
        <patternFill>
          <bgColor rgb="FFFF0000"/>
        </patternFill>
      </fill>
    </dxf>
    <dxf>
      <font>
        <color rgb="FF00B050"/>
      </font>
    </dxf>
    <dxf>
      <font>
        <color auto="1"/>
      </font>
    </dxf>
    <dxf>
      <font>
        <color rgb="FFFF0000"/>
      </font>
      <fill>
        <patternFill>
          <bgColor rgb="FFFFFF00"/>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ont>
        <color theme="0" tint="-0.34998626667073579"/>
      </font>
    </dxf>
    <dxf>
      <fill>
        <patternFill>
          <bgColor rgb="FFFFFF00"/>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ont>
        <color auto="1"/>
      </font>
      <fill>
        <patternFill>
          <bgColor rgb="FFFFFF00"/>
        </patternFill>
      </fill>
    </dxf>
    <dxf>
      <fill>
        <patternFill>
          <bgColor rgb="FFFFFF00"/>
        </patternFill>
      </fill>
    </dxf>
    <dxf>
      <font>
        <color theme="0"/>
      </font>
    </dxf>
    <dxf>
      <font>
        <color theme="0" tint="-0.34998626667073579"/>
      </font>
    </dxf>
    <dxf>
      <font>
        <color theme="0"/>
      </font>
      <fill>
        <patternFill patternType="none">
          <bgColor auto="1"/>
        </patternFill>
      </fill>
    </dxf>
    <dxf>
      <font>
        <color theme="0"/>
      </font>
      <fill>
        <patternFill>
          <bgColor theme="0"/>
        </patternFill>
      </fill>
    </dxf>
    <dxf>
      <font>
        <strike/>
      </font>
    </dxf>
    <dxf>
      <font>
        <color theme="0" tint="-0.24994659260841701"/>
      </font>
      <fill>
        <patternFill>
          <bgColor theme="0" tint="-0.24994659260841701"/>
        </patternFill>
      </fill>
    </dxf>
    <dxf>
      <fill>
        <patternFill>
          <bgColor rgb="FFFFFF00"/>
        </patternFill>
      </fill>
    </dxf>
    <dxf>
      <fill>
        <patternFill>
          <bgColor rgb="FFFFFF00"/>
        </patternFill>
      </fill>
    </dxf>
    <dxf>
      <font>
        <b/>
        <i val="0"/>
        <color theme="1"/>
      </font>
    </dxf>
    <dxf>
      <fill>
        <patternFill>
          <bgColor rgb="FFFFFF00"/>
        </patternFill>
      </fill>
    </dxf>
    <dxf>
      <font>
        <color theme="0" tint="-0.34998626667073579"/>
      </font>
    </dxf>
    <dxf>
      <fill>
        <patternFill patternType="lightUp">
          <fgColor rgb="FFFF0000"/>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dxf>
    <dxf>
      <fill>
        <patternFill>
          <bgColor rgb="FFFFFF00"/>
        </patternFill>
      </fill>
    </dxf>
    <dxf>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ont>
        <color rgb="FFEA0000"/>
      </font>
    </dxf>
    <dxf>
      <font>
        <color rgb="FFFF0000"/>
      </font>
    </dxf>
    <dxf>
      <font>
        <color rgb="FFEA0000"/>
      </font>
    </dxf>
    <dxf>
      <font>
        <color theme="0"/>
      </font>
    </dxf>
    <dxf>
      <font>
        <color rgb="FF00B050"/>
      </font>
      <fill>
        <patternFill patternType="none">
          <bgColor auto="1"/>
        </patternFill>
      </fill>
    </dxf>
    <dxf>
      <font>
        <color rgb="FF00B050"/>
      </font>
      <fill>
        <patternFill patternType="none">
          <bgColor auto="1"/>
        </patternFill>
      </fill>
    </dxf>
    <dxf>
      <font>
        <b/>
        <i val="0"/>
      </font>
      <fill>
        <patternFill>
          <bgColor rgb="FFFF0000"/>
        </patternFill>
      </fill>
    </dxf>
    <dxf>
      <font>
        <b/>
        <i val="0"/>
      </font>
      <fill>
        <patternFill>
          <bgColor rgb="FFFF0000"/>
        </patternFill>
      </fill>
    </dxf>
    <dxf>
      <font>
        <color theme="0"/>
      </font>
    </dxf>
    <dxf>
      <font>
        <color rgb="FFFF0000"/>
      </font>
    </dxf>
    <dxf>
      <fill>
        <patternFill>
          <bgColor rgb="FFFF0000"/>
        </patternFill>
      </fill>
    </dxf>
    <dxf>
      <fill>
        <patternFill>
          <bgColor rgb="FFFF0000"/>
        </patternFill>
      </fill>
    </dxf>
    <dxf>
      <font>
        <color theme="0"/>
      </font>
      <fill>
        <patternFill>
          <bgColor theme="0"/>
        </patternFill>
      </fill>
    </dxf>
    <dxf>
      <fill>
        <patternFill patternType="lightUp">
          <fgColor rgb="FFFF0000"/>
        </patternFill>
      </fill>
    </dxf>
    <dxf>
      <fill>
        <patternFill>
          <bgColor rgb="FFFFFF99"/>
        </patternFill>
      </fill>
    </dxf>
    <dxf>
      <fill>
        <patternFill>
          <bgColor rgb="FFFFFF99"/>
        </patternFill>
      </fill>
    </dxf>
    <dxf>
      <font>
        <color auto="1"/>
      </font>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00"/>
        </patternFill>
      </fill>
    </dxf>
    <dxf>
      <font>
        <color theme="0"/>
      </font>
      <fill>
        <patternFill patternType="none">
          <bgColor auto="1"/>
        </patternFill>
      </fill>
      <border>
        <left/>
        <right/>
        <top/>
        <bottom/>
        <vertical/>
        <horizontal/>
      </border>
    </dxf>
    <dxf>
      <font>
        <color rgb="FF0000FF"/>
      </font>
      <border>
        <bottom style="thin">
          <color auto="1"/>
        </bottom>
        <vertical/>
        <horizontal/>
      </border>
    </dxf>
    <dxf>
      <font>
        <color rgb="FF0000FF"/>
      </font>
      <fill>
        <patternFill>
          <bgColor rgb="FFFFFF00"/>
        </patternFill>
      </fill>
      <border>
        <bottom style="thin">
          <color auto="1"/>
        </bottom>
        <vertical/>
        <horizontal/>
      </border>
    </dxf>
    <dxf>
      <font>
        <color theme="1"/>
      </font>
      <fill>
        <patternFill>
          <bgColor rgb="FFFFFF00"/>
        </patternFill>
      </fill>
      <border>
        <left style="thin">
          <color auto="1"/>
        </left>
        <bottom style="thin">
          <color auto="1"/>
        </bottom>
        <vertical/>
        <horizontal/>
      </border>
    </dxf>
    <dxf>
      <font>
        <color theme="1"/>
      </font>
      <border>
        <left style="thin">
          <color auto="1"/>
        </left>
        <bottom style="thin">
          <color auto="1"/>
        </bottom>
        <vertical/>
        <horizontal/>
      </border>
    </dxf>
    <dxf>
      <font>
        <color theme="1"/>
      </font>
      <fill>
        <patternFill>
          <bgColor rgb="FFFFFF00"/>
        </patternFill>
      </fill>
      <border>
        <left style="thin">
          <color auto="1"/>
        </left>
        <right style="thin">
          <color auto="1"/>
        </right>
        <top style="thin">
          <color auto="1"/>
        </top>
        <vertical/>
        <horizontal/>
      </border>
    </dxf>
    <dxf>
      <font>
        <color theme="1"/>
      </font>
      <border>
        <left style="thin">
          <color auto="1"/>
        </left>
        <right style="thin">
          <color auto="1"/>
        </right>
        <top style="thin">
          <color auto="1"/>
        </top>
        <vertical/>
        <horizontal/>
      </border>
    </dxf>
    <dxf>
      <font>
        <strike/>
      </font>
    </dxf>
    <dxf>
      <font>
        <color theme="1"/>
      </font>
      <fill>
        <patternFill>
          <bgColor rgb="FFEAF0F6"/>
        </patternFill>
      </fill>
      <border>
        <left style="thin">
          <color auto="1"/>
        </left>
        <right style="thin">
          <color auto="1"/>
        </right>
        <top style="thin">
          <color auto="1"/>
        </top>
        <bottom style="thin">
          <color auto="1"/>
        </bottom>
        <vertical/>
        <horizontal/>
      </border>
    </dxf>
    <dxf>
      <font>
        <color theme="0"/>
      </font>
    </dxf>
    <dxf>
      <font>
        <color rgb="FF009242"/>
      </font>
    </dxf>
    <dxf>
      <font>
        <color rgb="FFFF0000"/>
      </font>
    </dxf>
    <dxf>
      <font>
        <color rgb="FF009242"/>
      </font>
    </dxf>
    <dxf>
      <font>
        <color rgb="FF009242"/>
      </font>
    </dxf>
    <dxf>
      <font>
        <color rgb="FFFF0000"/>
      </font>
    </dxf>
    <dxf>
      <font>
        <color rgb="FF009242"/>
      </font>
    </dxf>
    <dxf>
      <fill>
        <patternFill>
          <bgColor rgb="FFFFFF00"/>
        </patternFill>
      </fill>
      <border>
        <left style="thin">
          <color rgb="FFFF0000"/>
        </left>
        <right style="thin">
          <color rgb="FFFF0000"/>
        </right>
        <top style="thin">
          <color rgb="FFFF0000"/>
        </top>
        <bottom style="thin">
          <color rgb="FFFF0000"/>
        </bottom>
        <vertical/>
        <horizontal/>
      </border>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ont>
        <color theme="0"/>
      </font>
    </dxf>
    <dxf>
      <font>
        <color theme="0"/>
      </font>
    </dxf>
    <dxf>
      <font>
        <color theme="0"/>
      </font>
      <fill>
        <patternFill patternType="none">
          <bgColor auto="1"/>
        </patternFill>
      </fill>
    </dxf>
    <dxf>
      <font>
        <color theme="0"/>
      </font>
      <fill>
        <patternFill patternType="none">
          <bgColor auto="1"/>
        </patternFill>
      </fill>
      <border>
        <left/>
        <right/>
        <top/>
        <bottom/>
        <vertical/>
        <horizontal/>
      </border>
    </dxf>
    <dxf>
      <font>
        <color theme="0" tint="-0.34998626667073579"/>
      </font>
      <fill>
        <patternFill patternType="none">
          <bgColor auto="1"/>
        </patternFill>
      </fill>
    </dxf>
    <dxf>
      <font>
        <b/>
        <i val="0"/>
        <color rgb="FF00B050"/>
      </font>
      <fill>
        <patternFill patternType="none">
          <bgColor auto="1"/>
        </patternFill>
      </fill>
    </dxf>
    <dxf>
      <fill>
        <patternFill>
          <bgColor rgb="FFFFFF00"/>
        </patternFill>
      </fill>
      <border>
        <left style="thin">
          <color rgb="FFFF0000"/>
        </left>
        <right style="thin">
          <color rgb="FFFF0000"/>
        </right>
        <top style="thin">
          <color rgb="FFFF0000"/>
        </top>
        <bottom style="thin">
          <color rgb="FFFF0000"/>
        </bottom>
      </border>
    </dxf>
    <dxf>
      <font>
        <color theme="0"/>
      </font>
    </dxf>
    <dxf>
      <fill>
        <patternFill>
          <bgColor rgb="FFFFFF00"/>
        </patternFill>
      </fill>
    </dxf>
    <dxf>
      <font>
        <color theme="0"/>
      </font>
      <fill>
        <patternFill patternType="none">
          <bgColor auto="1"/>
        </patternFill>
      </fill>
    </dxf>
    <dxf>
      <fill>
        <patternFill>
          <bgColor rgb="FFFFFF00"/>
        </patternFill>
      </fill>
    </dxf>
    <dxf>
      <font>
        <color theme="0"/>
      </font>
      <fill>
        <patternFill patternType="none">
          <bgColor auto="1"/>
        </patternFill>
      </fill>
      <border>
        <left/>
        <right/>
        <top/>
        <bottom style="thin">
          <color auto="1"/>
        </bottom>
        <vertical/>
        <horizontal/>
      </border>
    </dxf>
    <dxf>
      <font>
        <color theme="0"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rgb="FFFF0000"/>
      </font>
    </dxf>
    <dxf>
      <font>
        <color theme="0"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rgb="FFFF0000"/>
      </font>
    </dxf>
    <dxf>
      <font>
        <color theme="0"/>
      </font>
      <fill>
        <patternFill>
          <bgColor theme="0"/>
        </patternFill>
      </fill>
      <border>
        <left/>
        <right/>
        <top/>
        <bottom/>
        <vertical/>
        <horizontal/>
      </border>
    </dxf>
    <dxf>
      <font>
        <color theme="0" tint="-0.34998626667073579"/>
      </font>
    </dxf>
    <dxf>
      <font>
        <color theme="0"/>
      </font>
    </dxf>
    <dxf>
      <font>
        <color theme="0"/>
      </font>
    </dxf>
    <dxf>
      <font>
        <color theme="0"/>
      </font>
    </dxf>
    <dxf>
      <font>
        <color theme="1"/>
      </font>
    </dxf>
    <dxf>
      <font>
        <color rgb="FF00B050"/>
      </font>
    </dxf>
    <dxf>
      <font>
        <color rgb="FFFF0000"/>
      </font>
      <fill>
        <patternFill>
          <bgColor rgb="FFFFFF00"/>
        </patternFill>
      </fill>
    </dxf>
    <dxf>
      <fill>
        <patternFill>
          <bgColor rgb="FFFFFF00"/>
        </patternFill>
      </fill>
    </dxf>
    <dxf>
      <font>
        <color theme="0"/>
      </font>
      <fill>
        <patternFill>
          <bgColor theme="0"/>
        </patternFill>
      </fill>
      <border>
        <left/>
        <right/>
        <top/>
        <bottom/>
        <vertical/>
        <horizontal/>
      </border>
    </dxf>
    <dxf>
      <fill>
        <patternFill>
          <bgColor rgb="FFFFFF00"/>
        </patternFill>
      </fill>
    </dxf>
    <dxf>
      <border>
        <left style="thin">
          <color rgb="FFFF0000"/>
        </left>
        <right style="thin">
          <color rgb="FFFF0000"/>
        </right>
        <top style="thin">
          <color rgb="FFFF0000"/>
        </top>
        <bottom style="thin">
          <color rgb="FFFF0000"/>
        </bottom>
        <vertical/>
        <horizontal/>
      </border>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patternType="none">
          <bgColor auto="1"/>
        </patternFill>
      </fill>
    </dxf>
    <dxf>
      <fill>
        <patternFill>
          <bgColor rgb="FFFFFF00"/>
        </patternFill>
      </fill>
    </dxf>
    <dxf>
      <font>
        <color rgb="FFFF0000"/>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ont>
        <color theme="0"/>
      </font>
      <fill>
        <patternFill patternType="none">
          <bgColor auto="1"/>
        </patternFill>
      </fill>
    </dxf>
    <dxf>
      <font>
        <color theme="0"/>
      </font>
    </dxf>
    <dxf>
      <font>
        <strike/>
      </font>
    </dxf>
    <dxf>
      <font>
        <color theme="0" tint="-0.24994659260841701"/>
      </font>
      <fill>
        <patternFill>
          <bgColor theme="0" tint="-0.24994659260841701"/>
        </patternFill>
      </fill>
    </dxf>
    <dxf>
      <fill>
        <patternFill>
          <bgColor rgb="FFFFFF00"/>
        </patternFill>
      </fill>
    </dxf>
    <dxf>
      <font>
        <b/>
        <i val="0"/>
        <color theme="1"/>
      </font>
      <fill>
        <patternFill>
          <bgColor rgb="FFFFFF00"/>
        </patternFill>
      </fill>
    </dxf>
    <dxf>
      <font>
        <color theme="0" tint="-0.34998626667073579"/>
      </font>
    </dxf>
    <dxf>
      <fill>
        <patternFill patternType="lightUp">
          <fgColor rgb="FFFF0000"/>
        </patternFill>
      </fill>
    </dxf>
    <dxf>
      <font>
        <color auto="1"/>
      </font>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dxf>
    <dxf>
      <fill>
        <patternFill>
          <bgColor rgb="FFFFFF00"/>
        </patternFill>
      </fill>
    </dxf>
    <dxf>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ont>
        <color rgb="FF00B050"/>
      </font>
      <fill>
        <patternFill patternType="none">
          <bgColor auto="1"/>
        </patternFill>
      </fill>
    </dxf>
    <dxf>
      <font>
        <color rgb="FFEA0000"/>
      </font>
    </dxf>
    <dxf>
      <font>
        <color rgb="FF009242"/>
      </font>
    </dxf>
    <dxf>
      <font>
        <color rgb="FFFF0000"/>
      </font>
    </dxf>
    <dxf>
      <font>
        <color rgb="FF009242"/>
      </font>
    </dxf>
    <dxf>
      <font>
        <b/>
        <i val="0"/>
      </font>
      <fill>
        <patternFill>
          <bgColor rgb="FFFF0000"/>
        </patternFill>
      </fill>
    </dxf>
    <dxf>
      <font>
        <b/>
        <i val="0"/>
      </font>
      <fill>
        <patternFill>
          <bgColor rgb="FFFF0000"/>
        </patternFill>
      </fill>
    </dxf>
    <dxf>
      <font>
        <color theme="0"/>
      </font>
    </dxf>
    <dxf>
      <font>
        <color rgb="FFFF0000"/>
      </font>
    </dxf>
    <dxf>
      <fill>
        <patternFill>
          <bgColor rgb="FFFF0000"/>
        </patternFill>
      </fill>
    </dxf>
    <dxf>
      <fill>
        <patternFill>
          <bgColor rgb="FFFF0000"/>
        </patternFill>
      </fill>
    </dxf>
    <dxf>
      <font>
        <color theme="0"/>
      </font>
      <fill>
        <patternFill>
          <bgColor theme="0"/>
        </patternFill>
      </fill>
    </dxf>
    <dxf>
      <font>
        <color rgb="FF00B050"/>
      </font>
      <fill>
        <patternFill patternType="none">
          <bgColor auto="1"/>
        </patternFill>
      </fill>
    </dxf>
    <dxf>
      <font>
        <color theme="0"/>
      </font>
    </dxf>
    <dxf>
      <font>
        <color rgb="FFFF0000"/>
      </font>
    </dxf>
    <dxf>
      <font>
        <color rgb="FFEA0000"/>
      </font>
    </dxf>
    <dxf>
      <font>
        <color auto="1"/>
      </font>
      <fill>
        <patternFill>
          <bgColor rgb="FFFFFF00"/>
        </patternFill>
      </fill>
    </dxf>
    <dxf>
      <fill>
        <patternFill>
          <bgColor rgb="FFFFFF00"/>
        </patternFill>
      </fill>
    </dxf>
    <dxf>
      <font>
        <color theme="0"/>
      </font>
    </dxf>
    <dxf>
      <font>
        <color auto="1"/>
      </font>
    </dxf>
    <dxf>
      <fill>
        <patternFill patternType="lightUp">
          <fgColor rgb="FFFF0000"/>
        </patternFill>
      </fill>
    </dxf>
    <dxf>
      <fill>
        <patternFill>
          <bgColor rgb="FFFFFF99"/>
        </patternFill>
      </fill>
    </dxf>
    <dxf>
      <fill>
        <patternFill>
          <bgColor rgb="FFFFFF99"/>
        </patternFill>
      </fill>
    </dxf>
    <dxf>
      <fill>
        <patternFill>
          <bgColor rgb="FFFFFF00"/>
        </patternFill>
      </fill>
    </dxf>
    <dxf>
      <fill>
        <patternFill>
          <bgColor rgb="FFFFFF99"/>
        </patternFill>
      </fill>
    </dxf>
    <dxf>
      <fill>
        <patternFill>
          <bgColor rgb="FFFFFF99"/>
        </patternFill>
      </fill>
    </dxf>
    <dxf>
      <font>
        <color auto="1"/>
      </font>
    </dxf>
    <dxf>
      <font>
        <color auto="1"/>
      </font>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color rgb="FF0000FF"/>
      </font>
      <fill>
        <patternFill>
          <bgColor rgb="FFFFFF00"/>
        </patternFill>
      </fill>
      <border>
        <bottom style="thin">
          <color auto="1"/>
        </bottom>
        <vertical/>
        <horizontal/>
      </border>
    </dxf>
    <dxf>
      <font>
        <color rgb="FF0000FF"/>
      </font>
      <border>
        <bottom style="thin">
          <color auto="1"/>
        </bottom>
        <vertical/>
        <horizontal/>
      </border>
    </dxf>
    <dxf>
      <font>
        <color theme="0"/>
      </font>
      <fill>
        <patternFill patternType="none">
          <bgColor auto="1"/>
        </patternFill>
      </fill>
      <border>
        <left/>
        <right/>
        <top/>
        <bottom/>
        <vertical/>
        <horizontal/>
      </border>
    </dxf>
    <dxf>
      <fill>
        <patternFill>
          <bgColor rgb="FFFFFF99"/>
        </patternFill>
      </fill>
    </dxf>
    <dxf>
      <fill>
        <patternFill>
          <bgColor rgb="FFFFFF99"/>
        </patternFill>
      </fill>
    </dxf>
    <dxf>
      <font>
        <b/>
        <i val="0"/>
      </font>
      <fill>
        <patternFill>
          <bgColor rgb="FFFFFFCC"/>
        </patternFill>
      </fill>
    </dxf>
    <dxf>
      <font>
        <strike/>
      </font>
    </dxf>
    <dxf>
      <font>
        <color theme="1"/>
      </font>
      <fill>
        <patternFill>
          <bgColor rgb="FFEAF0F6"/>
        </patternFill>
      </fill>
      <border>
        <left style="thin">
          <color auto="1"/>
        </left>
        <right style="thin">
          <color auto="1"/>
        </right>
        <top style="thin">
          <color auto="1"/>
        </top>
        <bottom style="thin">
          <color auto="1"/>
        </bottom>
        <vertical/>
        <horizontal/>
      </border>
    </dxf>
    <dxf>
      <font>
        <color theme="1"/>
      </font>
      <fill>
        <patternFill>
          <bgColor rgb="FFFFFF00"/>
        </patternFill>
      </fill>
      <border>
        <left style="thin">
          <color auto="1"/>
        </left>
        <bottom style="thin">
          <color auto="1"/>
        </bottom>
        <vertical/>
        <horizontal/>
      </border>
    </dxf>
    <dxf>
      <font>
        <color theme="1"/>
      </font>
      <border>
        <left style="thin">
          <color auto="1"/>
        </left>
        <bottom style="thin">
          <color auto="1"/>
        </bottom>
        <vertical/>
        <horizontal/>
      </border>
    </dxf>
    <dxf>
      <font>
        <color theme="1"/>
      </font>
      <fill>
        <patternFill>
          <bgColor rgb="FFFFFF00"/>
        </patternFill>
      </fill>
      <border>
        <left style="thin">
          <color auto="1"/>
        </left>
        <right style="thin">
          <color auto="1"/>
        </right>
        <top style="thin">
          <color auto="1"/>
        </top>
        <bottom/>
      </border>
    </dxf>
    <dxf>
      <font>
        <color theme="1"/>
      </font>
      <border>
        <left style="thin">
          <color auto="1"/>
        </left>
        <right style="thin">
          <color auto="1"/>
        </right>
        <top style="thin">
          <color auto="1"/>
        </top>
        <bottom/>
      </border>
    </dxf>
    <dxf>
      <font>
        <color theme="0"/>
      </font>
    </dxf>
    <dxf>
      <font>
        <color theme="0"/>
      </font>
    </dxf>
    <dxf>
      <font>
        <color theme="0"/>
      </font>
    </dxf>
    <dxf>
      <font>
        <b/>
        <i val="0"/>
        <color rgb="FF009242"/>
      </font>
    </dxf>
    <dxf>
      <font>
        <b/>
        <i val="0"/>
        <color rgb="FFFF0000"/>
      </font>
    </dxf>
    <dxf>
      <font>
        <b/>
        <i val="0"/>
        <color rgb="FF009242"/>
      </font>
    </dxf>
    <dxf>
      <font>
        <b/>
        <i val="0"/>
        <color rgb="FF009242"/>
      </font>
    </dxf>
    <dxf>
      <font>
        <b/>
        <i val="0"/>
        <color rgb="FFFF0000"/>
      </font>
    </dxf>
    <dxf>
      <font>
        <b/>
        <i val="0"/>
        <color rgb="FF009242"/>
      </font>
    </dxf>
    <dxf>
      <font>
        <b/>
        <i val="0"/>
        <color rgb="FF009242"/>
      </font>
    </dxf>
    <dxf>
      <font>
        <b/>
        <i val="0"/>
        <color rgb="FFFF0000"/>
      </font>
    </dxf>
    <dxf>
      <font>
        <b/>
        <i val="0"/>
        <color rgb="FF009242"/>
      </font>
    </dxf>
    <dxf>
      <font>
        <color theme="0" tint="-0.34998626667073579"/>
      </font>
    </dxf>
    <dxf>
      <font>
        <b/>
        <i val="0"/>
      </font>
    </dxf>
    <dxf>
      <fill>
        <patternFill>
          <bgColor rgb="FFFFFF00"/>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99"/>
        </patternFill>
      </fill>
    </dxf>
    <dxf>
      <fill>
        <patternFill>
          <bgColor rgb="FFFFFF99"/>
        </patternFill>
      </fill>
    </dxf>
    <dxf>
      <fill>
        <patternFill>
          <bgColor rgb="FFFFFF99"/>
        </patternFill>
      </fill>
    </dxf>
    <dxf>
      <font>
        <color theme="0"/>
      </font>
      <fill>
        <patternFill patternType="none">
          <bgColor auto="1"/>
        </patternFill>
      </fill>
      <border>
        <left/>
        <right/>
        <top style="thin">
          <color auto="1"/>
        </top>
        <bottom/>
        <vertical/>
        <horizontal/>
      </border>
    </dxf>
    <dxf>
      <font>
        <b val="0"/>
        <i val="0"/>
        <color theme="0"/>
      </font>
      <fill>
        <patternFill patternType="none">
          <fgColor auto="1"/>
          <bgColor auto="1"/>
        </patternFill>
      </fill>
    </dxf>
    <dxf>
      <font>
        <strike/>
      </font>
    </dxf>
    <dxf>
      <font>
        <color theme="0" tint="-0.24994659260841701"/>
      </font>
      <fill>
        <patternFill>
          <bgColor theme="0" tint="-0.24994659260841701"/>
        </patternFill>
      </fill>
    </dxf>
    <dxf>
      <fill>
        <patternFill>
          <bgColor rgb="FFFFFF00"/>
        </patternFill>
      </fill>
    </dxf>
    <dxf>
      <font>
        <color auto="1"/>
      </font>
      <fill>
        <patternFill>
          <bgColor rgb="FFFFFF00"/>
        </patternFill>
      </fill>
    </dxf>
    <dxf>
      <fill>
        <patternFill>
          <bgColor rgb="FFFFFF00"/>
        </patternFill>
      </fill>
    </dxf>
    <dxf>
      <font>
        <color theme="0" tint="-0.34998626667073579"/>
      </font>
      <fill>
        <patternFill patternType="lightUp">
          <fgColor rgb="FFFF0000"/>
        </patternFill>
      </fill>
    </dxf>
    <dxf>
      <font>
        <color auto="1"/>
      </font>
    </dxf>
    <dxf>
      <fill>
        <patternFill>
          <bgColor rgb="FFFFFF00"/>
        </patternFill>
      </fill>
    </dxf>
    <dxf>
      <fill>
        <patternFill>
          <bgColor rgb="FFFFFF00"/>
        </patternFill>
      </fill>
    </dxf>
    <dxf>
      <fill>
        <patternFill>
          <bgColor rgb="FFFFFF00"/>
        </patternFill>
      </fill>
      <border>
        <left style="thin">
          <color rgb="FFFF0000"/>
        </left>
        <right style="thin">
          <color rgb="FFFF0000"/>
        </right>
        <top style="thin">
          <color rgb="FFFF0000"/>
        </top>
        <bottom style="thin">
          <color rgb="FFFF0000"/>
        </bottom>
        <vertical/>
        <horizontal/>
      </border>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dxf>
    <dxf>
      <fill>
        <patternFill>
          <bgColor rgb="FFFFFF00"/>
        </patternFill>
      </fill>
    </dxf>
    <dxf>
      <fill>
        <patternFill>
          <bgColor rgb="FFFFFF00"/>
        </patternFill>
      </fill>
    </dxf>
    <dxf>
      <font>
        <color rgb="FFEA0000"/>
      </font>
    </dxf>
    <dxf>
      <font>
        <color rgb="FFEA0000"/>
      </font>
    </dxf>
    <dxf>
      <font>
        <b/>
        <i val="0"/>
      </font>
      <fill>
        <patternFill>
          <bgColor rgb="FFFF0000"/>
        </patternFill>
      </fill>
    </dxf>
    <dxf>
      <font>
        <b/>
        <i val="0"/>
      </font>
      <fill>
        <patternFill>
          <bgColor rgb="FFFF0000"/>
        </patternFill>
      </fill>
    </dxf>
    <dxf>
      <font>
        <color theme="0"/>
      </font>
    </dxf>
    <dxf>
      <font>
        <color rgb="FFFF0000"/>
      </font>
    </dxf>
    <dxf>
      <fill>
        <patternFill>
          <bgColor rgb="FFFF0000"/>
        </patternFill>
      </fill>
    </dxf>
    <dxf>
      <fill>
        <patternFill>
          <bgColor rgb="FFFF0000"/>
        </patternFill>
      </fill>
    </dxf>
    <dxf>
      <font>
        <color theme="0"/>
      </font>
      <fill>
        <patternFill>
          <bgColor theme="0"/>
        </patternFill>
      </fill>
    </dxf>
    <dxf>
      <font>
        <color auto="1"/>
      </font>
    </dxf>
    <dxf>
      <font>
        <color theme="0"/>
      </font>
    </dxf>
    <dxf>
      <font>
        <color rgb="FF00B050"/>
      </font>
      <fill>
        <patternFill patternType="none">
          <bgColor auto="1"/>
        </patternFill>
      </fill>
    </dxf>
    <dxf>
      <font>
        <color rgb="FF00B050"/>
      </font>
      <fill>
        <patternFill patternType="none">
          <bgColor auto="1"/>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patternType="none">
          <bgColor auto="1"/>
        </patternFill>
      </fill>
    </dxf>
    <dxf>
      <border>
        <left style="thin">
          <color rgb="FFFF0000"/>
        </left>
        <right style="thin">
          <color rgb="FFFF0000"/>
        </right>
        <top style="thin">
          <color rgb="FFFF0000"/>
        </top>
        <bottom style="thin">
          <color rgb="FFFF0000"/>
        </bottom>
        <vertical/>
        <horizontal/>
      </border>
    </dxf>
    <dxf>
      <font>
        <color auto="1"/>
      </font>
      <fill>
        <patternFill>
          <bgColor rgb="FFFFFF00"/>
        </patternFill>
      </fill>
    </dxf>
    <dxf>
      <fill>
        <patternFill>
          <bgColor rgb="FFFFFF00"/>
        </patternFill>
      </fill>
    </dxf>
    <dxf>
      <font>
        <color theme="0"/>
      </font>
    </dxf>
    <dxf>
      <fill>
        <patternFill patternType="lightUp">
          <fgColor rgb="FFFF0000"/>
        </patternFill>
      </fill>
    </dxf>
    <dxf>
      <font>
        <color auto="1"/>
      </font>
    </dxf>
    <dxf>
      <font>
        <color auto="1"/>
      </font>
    </dxf>
    <dxf>
      <fill>
        <patternFill>
          <bgColor rgb="FFFFFF99"/>
        </patternFill>
      </fill>
    </dxf>
    <dxf>
      <fill>
        <patternFill>
          <bgColor rgb="FFFFFF99"/>
        </patternFill>
      </fill>
    </dxf>
    <dxf>
      <fill>
        <patternFill>
          <bgColor rgb="FFFFFF99"/>
        </patternFill>
      </fill>
    </dxf>
    <dxf>
      <fill>
        <patternFill>
          <bgColor rgb="FFFFFF99"/>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fill>
        <patternFill patternType="none">
          <bgColor auto="1"/>
        </patternFill>
      </fill>
      <border>
        <vertical/>
        <horizontal/>
      </border>
    </dxf>
    <dxf>
      <font>
        <color theme="0"/>
      </font>
      <fill>
        <patternFill patternType="none">
          <bgColor auto="1"/>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dxf>
    <dxf>
      <font>
        <color theme="0"/>
      </font>
      <fill>
        <patternFill patternType="none">
          <bgColor auto="1"/>
        </patternFill>
      </fill>
      <border>
        <left/>
        <right/>
        <top/>
        <bottom/>
        <vertical/>
        <horizontal/>
      </border>
    </dxf>
    <dxf>
      <font>
        <color theme="0"/>
      </font>
      <fill>
        <patternFill patternType="none">
          <bgColor auto="1"/>
        </patternFill>
      </fill>
      <border>
        <vertical/>
        <horizontal/>
      </border>
    </dxf>
    <dxf>
      <font>
        <color theme="0"/>
      </font>
      <fill>
        <patternFill patternType="none">
          <bgColor auto="1"/>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dxf>
    <dxf>
      <font>
        <color theme="0"/>
      </font>
      <fill>
        <patternFill patternType="none">
          <bgColor auto="1"/>
        </patternFill>
      </fill>
      <border>
        <left/>
        <right/>
        <top/>
        <bottom/>
        <vertical/>
        <horizontal/>
      </border>
    </dxf>
    <dxf>
      <font>
        <color theme="0"/>
      </font>
      <fill>
        <patternFill patternType="none">
          <bgColor auto="1"/>
        </patternFill>
      </fill>
    </dxf>
    <dxf>
      <font>
        <color rgb="FFFF0000"/>
      </font>
    </dxf>
    <dxf>
      <fill>
        <gradientFill type="path" left="0.5" right="0.5" top="0.5" bottom="0.5">
          <stop position="0">
            <color rgb="FFFFFF00"/>
          </stop>
          <stop position="1">
            <color theme="0"/>
          </stop>
        </gradientFill>
      </fill>
    </dxf>
    <dxf>
      <font>
        <color theme="1"/>
      </font>
      <fill>
        <patternFill>
          <bgColor rgb="FFEAF0F6"/>
        </patternFill>
      </fill>
      <border>
        <bottom style="thin">
          <color auto="1"/>
        </bottom>
      </border>
    </dxf>
    <dxf>
      <font>
        <color rgb="FFFF0000"/>
      </font>
    </dxf>
    <dxf>
      <font>
        <color theme="1"/>
      </font>
      <fill>
        <gradientFill type="path" left="0.5" right="0.5" top="0.5" bottom="0.5">
          <stop position="0">
            <color rgb="FFFFFF00"/>
          </stop>
          <stop position="1">
            <color theme="0"/>
          </stop>
        </gradientFill>
      </fill>
    </dxf>
    <dxf>
      <font>
        <color theme="1"/>
      </font>
      <fill>
        <patternFill>
          <bgColor rgb="FFEAF0F6"/>
        </patternFill>
      </fill>
      <border>
        <bottom style="thin">
          <color auto="1"/>
        </bottom>
      </border>
    </dxf>
    <dxf>
      <font>
        <color rgb="FFFF0000"/>
      </font>
    </dxf>
    <dxf>
      <font>
        <color theme="1"/>
      </font>
      <fill>
        <gradientFill type="path" left="0.5" right="0.5" top="0.5" bottom="0.5">
          <stop position="0">
            <color rgb="FFFFFF00"/>
          </stop>
          <stop position="1">
            <color theme="0"/>
          </stop>
        </gradientFill>
      </fill>
    </dxf>
    <dxf>
      <font>
        <color theme="1"/>
      </font>
      <fill>
        <patternFill>
          <bgColor rgb="FFEAF0F6"/>
        </patternFill>
      </fill>
      <border>
        <bottom style="thin">
          <color auto="1"/>
        </bottom>
      </border>
    </dxf>
    <dxf>
      <font>
        <color rgb="FFFF0000"/>
      </font>
    </dxf>
    <dxf>
      <font>
        <color theme="1"/>
      </font>
      <fill>
        <gradientFill type="path" left="0.5" right="0.5" top="0.5" bottom="0.5">
          <stop position="0">
            <color rgb="FFFFFF00"/>
          </stop>
          <stop position="1">
            <color theme="0"/>
          </stop>
        </gradientFill>
      </fill>
    </dxf>
    <dxf>
      <font>
        <color theme="1"/>
      </font>
      <fill>
        <patternFill>
          <bgColor rgb="FFEAF0F6"/>
        </patternFill>
      </fill>
      <border>
        <bottom style="thin">
          <color auto="1"/>
        </bottom>
      </border>
    </dxf>
    <dxf>
      <font>
        <color rgb="FFFF0000"/>
      </font>
    </dxf>
    <dxf>
      <font>
        <b/>
        <i val="0"/>
        <color theme="1"/>
      </font>
      <fill>
        <gradientFill type="path" left="0.5" right="0.5" top="0.5" bottom="0.5">
          <stop position="0">
            <color rgb="FFFFFF00"/>
          </stop>
          <stop position="1">
            <color theme="0"/>
          </stop>
        </gradientFill>
      </fill>
    </dxf>
    <dxf>
      <font>
        <color theme="1"/>
      </font>
      <fill>
        <patternFill>
          <bgColor rgb="FFEAF0F6"/>
        </patternFill>
      </fill>
      <border>
        <bottom style="thin">
          <color auto="1"/>
        </bottom>
      </border>
    </dxf>
    <dxf>
      <font>
        <color auto="1"/>
      </font>
      <fill>
        <patternFill>
          <bgColor rgb="FFEAF0F6"/>
        </patternFill>
      </fill>
      <border>
        <bottom style="thin">
          <color auto="1"/>
        </bottom>
        <vertical/>
        <horizontal/>
      </border>
    </dxf>
    <dxf>
      <font>
        <color theme="0"/>
      </font>
      <fill>
        <patternFill patternType="none">
          <bgColor auto="1"/>
        </patternFill>
      </fill>
      <border>
        <left/>
        <right/>
        <top/>
        <bottom/>
        <vertical/>
        <horizontal/>
      </border>
    </dxf>
    <dxf>
      <fill>
        <patternFill>
          <bgColor rgb="FFFFFF00"/>
        </patternFill>
      </fill>
    </dxf>
    <dxf>
      <font>
        <color rgb="FFFF0000"/>
      </font>
      <fill>
        <patternFill>
          <bgColor rgb="FFFFFF00"/>
        </patternFill>
      </fill>
    </dxf>
    <dxf>
      <fill>
        <patternFill>
          <bgColor rgb="FFFFFF00"/>
        </patternFill>
      </fill>
    </dxf>
    <dxf>
      <font>
        <color rgb="FF00B050"/>
      </font>
    </dxf>
    <dxf>
      <fill>
        <patternFill>
          <bgColor rgb="FFFFFF00"/>
        </patternFill>
      </fill>
    </dxf>
    <dxf>
      <font>
        <color rgb="FF00B050"/>
      </font>
    </dxf>
    <dxf>
      <fill>
        <patternFill>
          <bgColor rgb="FFFFFF00"/>
        </patternFill>
      </fill>
    </dxf>
    <dxf>
      <font>
        <color rgb="FF00B050"/>
      </font>
    </dxf>
    <dxf>
      <fill>
        <patternFill>
          <bgColor rgb="FFFFFF00"/>
        </patternFill>
      </fill>
    </dxf>
    <dxf>
      <font>
        <color rgb="FF00B050"/>
      </font>
    </dxf>
    <dxf>
      <font>
        <color rgb="FF00B050"/>
      </font>
      <fill>
        <patternFill patternType="none">
          <bgColor auto="1"/>
        </patternFill>
      </fill>
    </dxf>
    <dxf>
      <fill>
        <patternFill>
          <bgColor rgb="FFFFFF00"/>
        </patternFill>
      </fill>
    </dxf>
    <dxf>
      <border>
        <right style="thin">
          <color rgb="FF009242"/>
        </right>
        <vertical/>
        <horizontal/>
      </border>
    </dxf>
    <dxf>
      <border>
        <bottom style="thin">
          <color rgb="FF009242"/>
        </bottom>
        <vertical/>
        <horizontal/>
      </border>
    </dxf>
    <dxf>
      <border>
        <left style="thin">
          <color rgb="FF009242"/>
        </left>
        <vertical/>
        <horizontal/>
      </border>
    </dxf>
    <dxf>
      <border>
        <top style="thin">
          <color rgb="FF009242"/>
        </top>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FF0000"/>
      </font>
      <fill>
        <patternFill patternType="none">
          <bgColor auto="1"/>
        </patternFill>
      </fill>
    </dxf>
    <dxf>
      <font>
        <color rgb="FF00B050"/>
      </font>
      <fill>
        <patternFill patternType="none">
          <bgColor auto="1"/>
        </patternFill>
      </fill>
    </dxf>
    <dxf>
      <font>
        <color rgb="FFFF0000"/>
      </font>
    </dxf>
    <dxf>
      <font>
        <color theme="0"/>
      </font>
      <fill>
        <patternFill patternType="none">
          <bgColor auto="1"/>
        </patternFill>
      </fill>
      <border>
        <left/>
        <right/>
        <top/>
        <bottom/>
        <vertical/>
        <horizontal/>
      </border>
    </dxf>
    <dxf>
      <font>
        <b/>
        <i val="0"/>
        <color auto="1"/>
      </font>
      <fill>
        <patternFill>
          <bgColor rgb="FFEAF0F6"/>
        </patternFill>
      </fill>
    </dxf>
    <dxf>
      <border>
        <left style="thin">
          <color theme="4" tint="0.39994506668294322"/>
        </left>
        <right style="thin">
          <color theme="4" tint="0.39994506668294322"/>
        </right>
        <top style="thin">
          <color theme="4" tint="0.39994506668294322"/>
        </top>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border>
        <top style="thin">
          <color auto="1"/>
        </top>
        <bottom style="thin">
          <color auto="1"/>
        </bottom>
        <vertical/>
        <horizontal/>
      </border>
    </dxf>
    <dxf>
      <font>
        <color auto="1"/>
      </font>
      <fill>
        <patternFill patternType="none">
          <bgColor auto="1"/>
        </patternFill>
      </fill>
    </dxf>
    <dxf>
      <fill>
        <patternFill patternType="lightUp">
          <fgColor rgb="FFFF0000"/>
        </patternFill>
      </fill>
    </dxf>
    <dxf>
      <fill>
        <patternFill>
          <bgColor rgb="FFEAF0F6"/>
        </patternFill>
      </fill>
    </dxf>
    <dxf>
      <fill>
        <patternFill>
          <bgColor rgb="FFEAF0F6"/>
        </patternFill>
      </fill>
    </dxf>
    <dxf>
      <fill>
        <patternFill>
          <bgColor rgb="FFEAF0F6"/>
        </patternFill>
      </fill>
    </dxf>
    <dxf>
      <font>
        <color auto="1"/>
      </font>
      <fill>
        <patternFill>
          <bgColor rgb="FFEAF0F6"/>
        </patternFill>
      </fill>
      <border>
        <vertical/>
        <horizontal/>
      </border>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dxf>
    <dxf>
      <font>
        <color auto="1"/>
      </font>
      <fill>
        <patternFill>
          <bgColor rgb="FFEAF0F6"/>
        </patternFill>
      </fill>
    </dxf>
    <dxf>
      <font>
        <color auto="1"/>
      </font>
    </dxf>
    <dxf>
      <font>
        <color auto="1"/>
      </font>
      <fill>
        <patternFill>
          <bgColor rgb="FFEAF0F6"/>
        </patternFill>
      </fill>
    </dxf>
    <dxf>
      <font>
        <color auto="1"/>
      </font>
    </dxf>
    <dxf>
      <font>
        <color auto="1"/>
      </font>
      <fill>
        <patternFill>
          <bgColor rgb="FFEAF0F6"/>
        </patternFill>
      </fill>
    </dxf>
    <dxf>
      <font>
        <color auto="1"/>
      </font>
    </dxf>
    <dxf>
      <font>
        <b val="0"/>
        <i val="0"/>
        <color auto="1"/>
      </font>
      <fill>
        <patternFill>
          <bgColor rgb="FFEAF0F6"/>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top style="thin">
          <color auto="1"/>
        </top>
        <bottom style="thin">
          <color auto="1"/>
        </bottom>
        <vertical/>
        <horizontal/>
      </border>
    </dxf>
    <dxf>
      <fill>
        <patternFill patternType="lightUp">
          <fgColor rgb="FFFF0000"/>
        </patternFill>
      </fill>
    </dxf>
    <dxf>
      <font>
        <color auto="1"/>
      </font>
      <fill>
        <patternFill patternType="none">
          <bgColor auto="1"/>
        </patternFill>
      </fill>
    </dxf>
    <dxf>
      <fill>
        <patternFill>
          <bgColor rgb="FFEAF0F6"/>
        </patternFill>
      </fill>
    </dxf>
    <dxf>
      <font>
        <color auto="1"/>
      </font>
    </dxf>
    <dxf>
      <fill>
        <patternFill patternType="lightUp">
          <fgColor rgb="FFFF0000"/>
        </patternFill>
      </fill>
    </dxf>
    <dxf>
      <font>
        <color theme="0"/>
      </font>
      <fill>
        <patternFill patternType="none">
          <bgColor auto="1"/>
        </patternFill>
      </fill>
    </dxf>
    <dxf>
      <border>
        <top style="thin">
          <color auto="1"/>
        </top>
        <bottom style="thin">
          <color auto="1"/>
        </bottom>
        <vertical/>
        <horizontal/>
      </border>
    </dxf>
    <dxf>
      <fill>
        <patternFill patternType="lightUp">
          <fgColor rgb="FFFF0000"/>
        </patternFill>
      </fill>
    </dxf>
    <dxf>
      <font>
        <color auto="1"/>
      </font>
      <fill>
        <patternFill patternType="none">
          <bgColor auto="1"/>
        </patternFill>
      </fill>
    </dxf>
    <dxf>
      <fill>
        <patternFill>
          <bgColor rgb="FFEAF0F6"/>
        </patternFill>
      </fill>
    </dxf>
    <dxf>
      <font>
        <color auto="1"/>
      </font>
    </dxf>
    <dxf>
      <fill>
        <patternFill patternType="lightUp">
          <fgColor rgb="FFFF0000"/>
        </patternFill>
      </fill>
    </dxf>
    <dxf>
      <font>
        <color theme="0"/>
      </font>
      <fill>
        <patternFill patternType="none">
          <bgColor auto="1"/>
        </patternFill>
      </fill>
    </dxf>
    <dxf>
      <border>
        <top style="thin">
          <color auto="1"/>
        </top>
        <bottom style="thin">
          <color auto="1"/>
        </bottom>
        <vertical/>
        <horizontal/>
      </border>
    </dxf>
    <dxf>
      <fill>
        <patternFill patternType="lightUp">
          <fgColor rgb="FFFF0000"/>
        </patternFill>
      </fill>
    </dxf>
    <dxf>
      <font>
        <color auto="1"/>
      </font>
      <fill>
        <patternFill patternType="none">
          <bgColor auto="1"/>
        </patternFill>
      </fill>
    </dxf>
    <dxf>
      <fill>
        <patternFill>
          <bgColor rgb="FFEAF0F6"/>
        </patternFill>
      </fill>
    </dxf>
    <dxf>
      <font>
        <color auto="1"/>
      </font>
    </dxf>
    <dxf>
      <fill>
        <patternFill patternType="lightUp">
          <fgColor rgb="FFFF0000"/>
          <bgColor auto="1"/>
        </patternFill>
      </fill>
    </dxf>
    <dxf>
      <font>
        <color theme="0"/>
      </font>
      <fill>
        <patternFill patternType="none">
          <bgColor auto="1"/>
        </patternFill>
      </fill>
    </dxf>
    <dxf>
      <font>
        <color auto="1"/>
      </font>
      <border>
        <top style="thin">
          <color auto="1"/>
        </top>
        <bottom style="thin">
          <color auto="1"/>
        </bottom>
        <vertical/>
        <horizontal/>
      </border>
    </dxf>
    <dxf>
      <fill>
        <patternFill patternType="lightUp">
          <fgColor rgb="FFFF0000"/>
        </patternFill>
      </fill>
    </dxf>
    <dxf>
      <font>
        <color auto="1"/>
      </font>
      <fill>
        <patternFill patternType="none">
          <bgColor auto="1"/>
        </patternFill>
      </fill>
    </dxf>
    <dxf>
      <font>
        <color auto="1"/>
      </font>
      <fill>
        <patternFill>
          <bgColor rgb="FFEAF0F6"/>
        </patternFill>
      </fill>
    </dxf>
    <dxf>
      <font>
        <color auto="1"/>
      </font>
    </dxf>
    <dxf>
      <fill>
        <patternFill patternType="lightUp">
          <fgColor rgb="FFFF0000"/>
        </patternFill>
      </fill>
    </dxf>
    <dxf>
      <font>
        <color theme="0"/>
      </font>
      <fill>
        <patternFill patternType="none">
          <bgColor auto="1"/>
        </patternFill>
      </fill>
    </dxf>
    <dxf>
      <fill>
        <patternFill>
          <bgColor rgb="FFEAF0F6"/>
        </patternFill>
      </fill>
    </dxf>
    <dxf>
      <fill>
        <patternFill>
          <bgColor rgb="FFFFFF00"/>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ont>
        <color auto="1"/>
      </font>
      <fill>
        <patternFill>
          <bgColor rgb="FFFFFF00"/>
        </patternFill>
      </fill>
      <border>
        <left style="thin">
          <color rgb="FFFF0000"/>
        </left>
        <right style="thin">
          <color rgb="FFFF0000"/>
        </right>
        <top style="thin">
          <color rgb="FFFF0000"/>
        </top>
        <bottom style="thin">
          <color rgb="FFFF0000"/>
        </bottom>
      </border>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ont>
        <color auto="1"/>
      </font>
      <fill>
        <patternFill>
          <bgColor rgb="FFFFFF00"/>
        </patternFill>
      </fill>
      <border>
        <left style="thin">
          <color rgb="FFFF0000"/>
        </left>
        <right style="thin">
          <color rgb="FFFF0000"/>
        </right>
        <top style="thin">
          <color rgb="FFFF0000"/>
        </top>
        <bottom style="thin">
          <color rgb="FFFF0000"/>
        </bottom>
      </border>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ont>
        <color auto="1"/>
      </font>
      <fill>
        <patternFill>
          <bgColor rgb="FFEAF0F6"/>
        </patternFill>
      </fill>
    </dxf>
    <dxf>
      <font>
        <color auto="1"/>
      </font>
      <fill>
        <patternFill patternType="none">
          <bgColor auto="1"/>
        </patternFill>
      </fill>
    </dxf>
    <dxf>
      <fill>
        <patternFill>
          <bgColor rgb="FFEAF0F6"/>
        </patternFill>
      </fill>
    </dxf>
    <dxf>
      <font>
        <color auto="1"/>
      </font>
    </dxf>
    <dxf>
      <fill>
        <patternFill patternType="lightUp">
          <fgColor rgb="FFFF0000"/>
        </patternFill>
      </fill>
    </dxf>
    <dxf>
      <font>
        <color theme="0"/>
      </font>
      <fill>
        <patternFill patternType="none">
          <bgColor auto="1"/>
        </patternFill>
      </fill>
    </dxf>
    <dxf>
      <font>
        <color theme="0" tint="-0.24994659260841701"/>
      </font>
      <fill>
        <patternFill>
          <bgColor theme="0" tint="-0.24994659260841701"/>
        </patternFill>
      </fill>
    </dxf>
    <dxf>
      <font>
        <color auto="1"/>
      </font>
      <fill>
        <patternFill>
          <bgColor rgb="FFFFFF00"/>
        </patternFill>
      </fill>
    </dxf>
    <dxf>
      <font>
        <color rgb="FFFF0000"/>
      </font>
      <fill>
        <patternFill>
          <bgColor rgb="FFFFFF00"/>
        </patternFill>
      </fill>
    </dxf>
    <dxf>
      <fill>
        <gradientFill type="path" left="0.5" right="0.5" top="0.5" bottom="0.5">
          <stop position="0">
            <color rgb="FFFFFF00"/>
          </stop>
          <stop position="1">
            <color theme="0"/>
          </stop>
        </gradientFill>
      </fill>
    </dxf>
    <dxf>
      <border>
        <left style="thin">
          <color rgb="FFFF0000"/>
        </left>
        <right style="thin">
          <color rgb="FFFF0000"/>
        </right>
        <top style="thin">
          <color rgb="FFFF0000"/>
        </top>
        <bottom style="thin">
          <color rgb="FFFF0000"/>
        </bottom>
        <vertical/>
        <horizontal/>
      </border>
    </dxf>
    <dxf>
      <fill>
        <patternFill>
          <bgColor rgb="FFFFFF00"/>
        </patternFill>
      </fill>
    </dxf>
    <dxf>
      <fill>
        <patternFill>
          <bgColor rgb="FFFF0000"/>
        </patternFill>
      </fill>
    </dxf>
    <dxf>
      <fill>
        <patternFill>
          <bgColor rgb="FFFF0000"/>
        </patternFill>
      </fill>
    </dxf>
    <dxf>
      <fill>
        <patternFill patternType="none">
          <bgColor auto="1"/>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0000"/>
        </patternFill>
      </fill>
    </dxf>
    <dxf>
      <fill>
        <patternFill>
          <bgColor rgb="FFFF0000"/>
        </patternFill>
      </fill>
    </dxf>
    <dxf>
      <fill>
        <patternFill>
          <bgColor rgb="FFFFFF00"/>
        </patternFill>
      </fill>
    </dxf>
    <dxf>
      <fill>
        <patternFill>
          <bgColor rgb="FFFFFF99"/>
        </patternFill>
      </fill>
    </dxf>
    <dxf>
      <fill>
        <patternFill>
          <bgColor rgb="FFFFFF99"/>
        </patternFill>
      </fill>
    </dxf>
    <dxf>
      <fill>
        <patternFill>
          <bgColor rgb="FFFFFF99"/>
        </patternFill>
      </fill>
    </dxf>
    <dxf>
      <fill>
        <patternFill>
          <bgColor rgb="FFFFFF99"/>
        </patternFill>
      </fill>
    </dxf>
    <dxf>
      <font>
        <color rgb="FF00B050"/>
      </font>
    </dxf>
    <dxf>
      <font>
        <color rgb="FF00B050"/>
      </font>
      <fill>
        <patternFill patternType="none">
          <bgColor auto="1"/>
        </patternFill>
      </fill>
    </dxf>
    <dxf>
      <font>
        <color theme="0"/>
      </font>
      <fill>
        <patternFill patternType="none">
          <bgColor auto="1"/>
        </patternFill>
      </fill>
      <border>
        <left/>
        <right/>
        <top/>
        <bottom/>
        <vertical/>
        <horizontal/>
      </border>
    </dxf>
    <dxf>
      <font>
        <color rgb="FFFF0000"/>
      </font>
    </dxf>
    <dxf>
      <font>
        <color rgb="FFFF0000"/>
      </font>
      <fill>
        <patternFill>
          <bgColor rgb="FFFFFF00"/>
        </patternFill>
      </fill>
    </dxf>
    <dxf>
      <font>
        <color rgb="FF00B050"/>
      </font>
    </dxf>
    <dxf>
      <font>
        <color rgb="FF00B050"/>
      </font>
      <fill>
        <patternFill patternType="none">
          <bgColor auto="1"/>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auto="1"/>
      </font>
      <fill>
        <patternFill>
          <bgColor rgb="FFFFFF00"/>
        </patternFill>
      </fill>
    </dxf>
    <dxf>
      <font>
        <b/>
        <i val="0"/>
      </font>
    </dxf>
    <dxf>
      <font>
        <b/>
        <i val="0"/>
      </font>
    </dxf>
    <dxf>
      <font>
        <color theme="0" tint="-0.34998626667073579"/>
      </font>
    </dxf>
    <dxf>
      <fill>
        <patternFill>
          <bgColor rgb="FFFFFF00"/>
        </patternFill>
      </fill>
    </dxf>
    <dxf>
      <font>
        <color theme="0" tint="-0.34998626667073579"/>
      </font>
      <fill>
        <patternFill patternType="lightUp">
          <fgColor rgb="FFFF0000"/>
        </patternFill>
      </fill>
    </dxf>
    <dxf>
      <font>
        <color theme="0" tint="-0.34998626667073579"/>
      </font>
      <fill>
        <patternFill patternType="lightUp">
          <fgColor rgb="FFFF0000"/>
        </patternFill>
      </fill>
    </dxf>
    <dxf>
      <font>
        <color theme="1"/>
      </font>
      <fill>
        <patternFill>
          <bgColor rgb="FFFFFF00"/>
        </patternFill>
      </fill>
    </dxf>
    <dxf>
      <font>
        <color theme="1"/>
      </font>
    </dxf>
    <dxf>
      <font>
        <color theme="0" tint="-0.24994659260841701"/>
      </font>
      <fill>
        <patternFill>
          <bgColor theme="0" tint="-0.24994659260841701"/>
        </patternFill>
      </fill>
    </dxf>
    <dxf>
      <font>
        <strike/>
      </font>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99"/>
        </patternFill>
      </fill>
    </dxf>
    <dxf>
      <fill>
        <patternFill>
          <bgColor rgb="FFFFFF99"/>
        </patternFill>
      </fill>
    </dxf>
    <dxf>
      <fill>
        <patternFill patternType="lightUp">
          <fgColor rgb="FFFF0000"/>
        </patternFill>
      </fill>
    </dxf>
    <dxf>
      <font>
        <color theme="1"/>
      </font>
      <fill>
        <patternFill>
          <bgColor rgb="FFFFFF00"/>
        </patternFill>
      </fill>
      <border>
        <left style="thin">
          <color rgb="FFFF0000"/>
        </left>
        <right style="thin">
          <color rgb="FFFF0000"/>
        </right>
        <top style="thin">
          <color rgb="FFFF0000"/>
        </top>
        <bottom style="thin">
          <color rgb="FFFF0000"/>
        </bottom>
        <vertical/>
        <horizontal/>
      </border>
    </dxf>
    <dxf>
      <font>
        <color auto="1"/>
      </font>
      <fill>
        <patternFill>
          <bgColor rgb="FFFFFF00"/>
        </patternFill>
      </fill>
    </dxf>
    <dxf>
      <fill>
        <patternFill>
          <bgColor rgb="FFFFFF00"/>
        </patternFill>
      </fill>
    </dxf>
    <dxf>
      <font>
        <color theme="0"/>
      </font>
    </dxf>
    <dxf>
      <font>
        <color rgb="FF00B050"/>
      </font>
      <fill>
        <patternFill patternType="none">
          <bgColor auto="1"/>
        </patternFill>
      </fill>
    </dxf>
    <dxf>
      <font>
        <color rgb="FF00B050"/>
      </font>
      <fill>
        <patternFill patternType="none">
          <bgColor auto="1"/>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ont>
        <color auto="1"/>
      </font>
    </dxf>
    <dxf>
      <font>
        <color auto="1"/>
      </font>
    </dxf>
    <dxf>
      <fill>
        <patternFill>
          <bgColor rgb="FFFFFF99"/>
        </patternFill>
      </fill>
    </dxf>
    <dxf>
      <fill>
        <patternFill>
          <bgColor rgb="FFFFFF99"/>
        </patternFill>
      </fill>
    </dxf>
    <dxf>
      <fill>
        <patternFill>
          <bgColor rgb="FFFFFF99"/>
        </patternFill>
      </fill>
    </dxf>
    <dxf>
      <font>
        <color rgb="FFFF0000"/>
      </font>
    </dxf>
    <dxf>
      <font>
        <color rgb="FFFF0000"/>
      </font>
    </dxf>
    <dxf>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dxf>
    <dxf>
      <font>
        <color auto="1"/>
      </font>
      <fill>
        <patternFill>
          <bgColor rgb="FFFFFF00"/>
        </patternFill>
      </fill>
    </dxf>
    <dxf>
      <font>
        <color rgb="FFFF0000"/>
      </font>
    </dxf>
    <dxf>
      <font>
        <color rgb="FFFF0000"/>
      </font>
      <fill>
        <patternFill>
          <bgColor rgb="FFFFFF00"/>
        </patternFill>
      </fill>
      <border>
        <left style="thin">
          <color auto="1"/>
        </left>
        <right style="thin">
          <color auto="1"/>
        </right>
        <top style="thin">
          <color auto="1"/>
        </top>
        <bottom style="thin">
          <color auto="1"/>
        </bottom>
        <vertical/>
        <horizontal/>
      </border>
    </dxf>
    <dxf>
      <fill>
        <patternFill patternType="lightUp">
          <fgColor rgb="FFFF0000"/>
        </patternFill>
      </fill>
    </dxf>
    <dxf>
      <fill>
        <patternFill patternType="lightUp">
          <fgColor rgb="FFFF0000"/>
        </patternFill>
      </fill>
    </dxf>
    <dxf>
      <fill>
        <patternFill patternType="lightUp">
          <fgColor rgb="FFFF0000"/>
        </patternFill>
      </fill>
    </dxf>
    <dxf>
      <font>
        <color rgb="FF00B050"/>
      </font>
      <fill>
        <patternFill patternType="none">
          <bgColor auto="1"/>
        </patternFill>
      </fill>
    </dxf>
    <dxf>
      <font>
        <color rgb="FFFF0000"/>
      </font>
      <fill>
        <patternFill>
          <bgColor rgb="FFFFFF00"/>
        </patternFill>
      </fill>
    </dxf>
    <dxf>
      <font>
        <color theme="0"/>
      </font>
      <fill>
        <patternFill patternType="none">
          <bgColor auto="1"/>
        </patternFill>
      </fill>
    </dxf>
    <dxf>
      <font>
        <color rgb="FFFF0000"/>
      </font>
      <fill>
        <patternFill>
          <bgColor rgb="FFFFFF00"/>
        </patternFill>
      </fill>
    </dxf>
    <dxf>
      <font>
        <color rgb="FFFF0000"/>
      </font>
      <fill>
        <patternFill>
          <bgColor rgb="FFFFFF00"/>
        </patternFill>
      </fill>
    </dxf>
    <dxf>
      <font>
        <color rgb="FF00B050"/>
      </font>
      <fill>
        <patternFill patternType="none">
          <bgColor auto="1"/>
        </patternFill>
      </fill>
    </dxf>
    <dxf>
      <font>
        <b/>
        <i val="0"/>
        <color rgb="FFFF0000"/>
      </font>
      <fill>
        <patternFill>
          <bgColor rgb="FFFFFF00"/>
        </patternFill>
      </fill>
    </dxf>
    <dxf>
      <fill>
        <patternFill>
          <bgColor rgb="FFFFFF99"/>
        </patternFill>
      </fill>
    </dxf>
    <dxf>
      <fill>
        <patternFill>
          <bgColor rgb="FFFFFF99"/>
        </patternFill>
      </fill>
    </dxf>
    <dxf>
      <font>
        <color rgb="FFFF0000"/>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rgb="FFFF0000"/>
      </font>
      <fill>
        <patternFill patternType="solid">
          <bgColor rgb="FFE7EEF5"/>
        </patternFill>
      </fill>
    </dxf>
    <dxf>
      <fill>
        <patternFill patternType="lightUp">
          <fgColor rgb="FFFF0000"/>
        </patternFill>
      </fill>
    </dxf>
    <dxf>
      <font>
        <b/>
        <i val="0"/>
        <color rgb="FFFF0000"/>
      </font>
    </dxf>
    <dxf>
      <fill>
        <patternFill>
          <bgColor rgb="FFFFFF00"/>
        </patternFill>
      </fill>
      <border>
        <left style="thin">
          <color rgb="FFFF0000"/>
        </left>
        <right style="thin">
          <color rgb="FFFF0000"/>
        </right>
        <top style="thin">
          <color rgb="FFFF0000"/>
        </top>
        <bottom style="thin">
          <color rgb="FFFF0000"/>
        </bottom>
      </border>
    </dxf>
    <dxf>
      <font>
        <color rgb="FFFF0000"/>
      </font>
    </dxf>
    <dxf>
      <fill>
        <patternFill>
          <bgColor rgb="FFFF0000"/>
        </patternFill>
      </fill>
    </dxf>
    <dxf>
      <font>
        <b val="0"/>
        <i val="0"/>
      </font>
    </dxf>
    <dxf>
      <font>
        <color theme="0"/>
      </font>
      <fill>
        <patternFill>
          <bgColor theme="0"/>
        </patternFill>
      </fill>
    </dxf>
    <dxf>
      <fill>
        <patternFill>
          <bgColor rgb="FFFF0000"/>
        </patternFill>
      </fill>
    </dxf>
    <dxf>
      <font>
        <b val="0"/>
        <i val="0"/>
      </font>
    </dxf>
    <dxf>
      <font>
        <color theme="0"/>
      </font>
      <fill>
        <patternFill>
          <bgColor theme="0"/>
        </patternFill>
      </fill>
    </dxf>
    <dxf>
      <fill>
        <patternFill>
          <bgColor rgb="FFFF0000"/>
        </patternFill>
      </fill>
    </dxf>
    <dxf>
      <font>
        <b val="0"/>
        <i val="0"/>
      </font>
    </dxf>
    <dxf>
      <font>
        <color theme="0"/>
      </font>
      <fill>
        <patternFill patternType="solid">
          <bgColor theme="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3" tint="-0.24994659260841701"/>
      </font>
      <fill>
        <patternFill>
          <bgColor theme="4" tint="0.59996337778862885"/>
        </patternFill>
      </fill>
    </dxf>
    <dxf>
      <font>
        <color theme="3" tint="-0.24994659260841701"/>
      </font>
      <fill>
        <patternFill>
          <bgColor theme="4" tint="0.59996337778862885"/>
        </patternFill>
      </fill>
    </dxf>
    <dxf>
      <font>
        <color theme="3" tint="-0.24994659260841701"/>
      </font>
      <fill>
        <patternFill>
          <bgColor theme="4" tint="0.59996337778862885"/>
        </patternFill>
      </fill>
    </dxf>
    <dxf>
      <font>
        <color theme="3" tint="-0.24994659260841701"/>
      </font>
      <fill>
        <patternFill>
          <bgColor theme="4" tint="0.59996337778862885"/>
        </patternFill>
      </fill>
    </dxf>
    <dxf>
      <font>
        <color theme="3" tint="-0.24994659260841701"/>
      </font>
      <fill>
        <patternFill>
          <bgColor theme="4" tint="0.59996337778862885"/>
        </patternFill>
      </fill>
    </dxf>
    <dxf>
      <font>
        <color theme="3" tint="-0.24994659260841701"/>
      </font>
      <fill>
        <patternFill>
          <bgColor theme="4" tint="0.59996337778862885"/>
        </patternFill>
      </fill>
    </dxf>
    <dxf>
      <fill>
        <patternFill patternType="lightUp">
          <fgColor rgb="FFFF0000"/>
        </patternFill>
      </fill>
    </dxf>
    <dxf>
      <font>
        <color rgb="FF00B050"/>
      </font>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ont>
        <color rgb="FFFF0000"/>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FF00"/>
        </patternFill>
      </fill>
    </dxf>
    <dxf>
      <fill>
        <patternFill>
          <bgColor rgb="FFFFFF00"/>
        </patternFill>
      </fill>
    </dxf>
    <dxf>
      <fill>
        <patternFill>
          <bgColor rgb="FFEAF0F6"/>
        </patternFill>
      </fill>
    </dxf>
    <dxf>
      <fill>
        <patternFill>
          <bgColor rgb="FFEAF0F6"/>
        </patternFill>
      </fill>
    </dxf>
    <dxf>
      <fill>
        <patternFill>
          <bgColor rgb="FFEAF0F6"/>
        </patternFill>
      </fill>
    </dxf>
    <dxf>
      <fill>
        <patternFill patternType="lightUp">
          <fgColor rgb="FFFF0000"/>
          <bgColor auto="1"/>
        </patternFill>
      </fill>
    </dxf>
    <dxf>
      <font>
        <color auto="1"/>
      </font>
    </dxf>
    <dxf>
      <font>
        <color auto="1"/>
      </font>
    </dxf>
    <dxf>
      <font>
        <color auto="1"/>
      </font>
      <fill>
        <patternFill>
          <bgColor rgb="FFEAF0F6"/>
        </patternFill>
      </fill>
    </dxf>
    <dxf>
      <font>
        <color auto="1"/>
      </font>
      <fill>
        <patternFill>
          <bgColor rgb="FFFFFF00"/>
        </patternFill>
      </fill>
      <border>
        <left style="thin">
          <color auto="1"/>
        </left>
        <right style="thin">
          <color auto="1"/>
        </right>
        <top style="thin">
          <color auto="1"/>
        </top>
        <bottom style="thin">
          <color auto="1"/>
        </bottom>
      </border>
    </dxf>
    <dxf>
      <font>
        <color auto="1"/>
      </font>
      <fill>
        <patternFill>
          <bgColor rgb="FFFFFF00"/>
        </patternFill>
      </fill>
    </dxf>
    <dxf>
      <font>
        <color auto="1"/>
      </font>
      <fill>
        <patternFill>
          <bgColor rgb="FFFFFF00"/>
        </patternFill>
      </fill>
    </dxf>
    <dxf>
      <font>
        <b/>
        <i val="0"/>
        <color rgb="FFFF0000"/>
      </font>
    </dxf>
    <dxf>
      <font>
        <color rgb="FFFF0000"/>
      </font>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patternType="lightUp">
          <fgColor rgb="FFFF0000"/>
        </patternFill>
      </fill>
    </dxf>
    <dxf>
      <border>
        <left/>
        <right/>
        <top/>
        <bottom/>
        <vertical/>
        <horizontal/>
      </border>
    </dxf>
    <dxf>
      <font>
        <color theme="0" tint="-0.24994659260841701"/>
      </font>
    </dxf>
    <dxf>
      <font>
        <color theme="0"/>
      </font>
      <fill>
        <patternFill patternType="none">
          <bgColor auto="1"/>
        </patternFill>
      </fill>
    </dxf>
    <dxf>
      <fill>
        <patternFill>
          <bgColor rgb="FFFFFF00"/>
        </patternFill>
      </fill>
    </dxf>
    <dxf>
      <border>
        <left/>
        <right/>
        <top/>
        <bottom/>
        <vertical/>
        <horizontal/>
      </border>
    </dxf>
    <dxf>
      <font>
        <color rgb="FFFF0000"/>
      </font>
      <fill>
        <patternFill>
          <bgColor rgb="FFFFFF00"/>
        </patternFill>
      </fill>
      <border>
        <left style="thin">
          <color rgb="FFFF0000"/>
        </left>
        <right style="thin">
          <color rgb="FFFF0000"/>
        </right>
        <top style="thin">
          <color rgb="FFFF0000"/>
        </top>
        <bottom style="thin">
          <color rgb="FFFF0000"/>
        </bottom>
        <vertical/>
        <horizontal/>
      </border>
    </dxf>
    <dxf>
      <numFmt numFmtId="4" formatCode="#,##0.00"/>
    </dxf>
    <dxf>
      <fill>
        <patternFill>
          <bgColor rgb="FFFFFF00"/>
        </patternFill>
      </fill>
    </dxf>
    <dxf>
      <fill>
        <patternFill>
          <bgColor rgb="FFFFFF00"/>
        </patternFill>
      </fill>
    </dxf>
    <dxf>
      <font>
        <strike/>
      </font>
    </dxf>
    <dxf>
      <font>
        <color rgb="FFFF0000"/>
      </font>
      <fill>
        <patternFill>
          <bgColor rgb="FFFFFF00"/>
        </patternFill>
      </fill>
      <border>
        <left style="thin">
          <color rgb="FFFF0000"/>
        </left>
        <right style="thin">
          <color rgb="FFFF0000"/>
        </right>
        <top style="thin">
          <color rgb="FFFF0000"/>
        </top>
        <bottom style="thin">
          <color rgb="FFFF0000"/>
        </bottom>
        <vertical/>
        <horizontal/>
      </border>
    </dxf>
    <dxf>
      <fill>
        <patternFill patternType="lightUp">
          <fgColor rgb="FFFF0000"/>
        </patternFill>
      </fill>
    </dxf>
    <dxf>
      <fill>
        <patternFill patternType="lightUp">
          <fgColor rgb="FFFF0000"/>
        </patternFill>
      </fill>
    </dxf>
    <dxf>
      <fill>
        <patternFill patternType="lightUp">
          <fgColor rgb="FFFF0000"/>
        </patternFill>
      </fill>
    </dxf>
    <dxf>
      <font>
        <color rgb="FFFF0000"/>
      </font>
      <fill>
        <patternFill>
          <bgColor rgb="FFFFFF00"/>
        </patternFill>
      </fill>
    </dxf>
    <dxf>
      <fill>
        <patternFill>
          <bgColor rgb="FFFFFF00"/>
        </patternFill>
      </fill>
    </dxf>
    <dxf>
      <fill>
        <patternFill>
          <bgColor rgb="FFFFFF00"/>
        </patternFill>
      </fill>
    </dxf>
    <dxf>
      <numFmt numFmtId="4" formatCode="#,##0.00"/>
    </dxf>
    <dxf>
      <fill>
        <patternFill>
          <bgColor rgb="FFFFFF00"/>
        </patternFill>
      </fill>
    </dxf>
    <dxf>
      <fill>
        <patternFill>
          <bgColor rgb="FFFFFF00"/>
        </patternFill>
      </fill>
    </dxf>
    <dxf>
      <font>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ont>
        <color rgb="FFFF0000"/>
      </font>
      <fill>
        <patternFill>
          <bgColor rgb="FFFFFF00"/>
        </patternFill>
      </fill>
      <border>
        <left style="thin">
          <color rgb="FFFF0000"/>
        </left>
        <right style="thin">
          <color rgb="FFFF0000"/>
        </right>
        <top style="thin">
          <color rgb="FFFF0000"/>
        </top>
        <bottom style="thin">
          <color rgb="FFFF0000"/>
        </bottom>
      </border>
    </dxf>
    <dxf>
      <font>
        <color theme="0"/>
      </font>
      <border>
        <left/>
        <right/>
        <top/>
        <bottom/>
        <vertical/>
        <horizontal/>
      </border>
    </dxf>
    <dxf>
      <font>
        <b/>
        <i val="0"/>
        <color rgb="FFFF0000"/>
      </font>
      <fill>
        <patternFill>
          <bgColor rgb="FFFFFF00"/>
        </patternFill>
      </fill>
    </dxf>
    <dxf>
      <font>
        <color rgb="FFFF0000"/>
      </font>
      <fill>
        <patternFill patternType="none">
          <bgColor auto="1"/>
        </patternFill>
      </fill>
    </dxf>
    <dxf>
      <font>
        <b/>
        <i val="0"/>
        <color rgb="FFFF0000"/>
      </font>
      <fill>
        <patternFill>
          <bgColor rgb="FFFFFF00"/>
        </patternFill>
      </fill>
    </dxf>
    <dxf>
      <font>
        <color theme="1"/>
      </font>
      <fill>
        <patternFill>
          <bgColor rgb="FFFFFF00"/>
        </patternFill>
      </fill>
    </dxf>
    <dxf>
      <font>
        <color rgb="FF00B050"/>
      </font>
    </dxf>
    <dxf>
      <font>
        <color rgb="FF00B050"/>
      </font>
    </dxf>
    <dxf>
      <font>
        <color theme="1"/>
      </font>
      <fill>
        <patternFill>
          <bgColor rgb="FFFFFF00"/>
        </patternFill>
      </fill>
    </dxf>
    <dxf>
      <font>
        <color rgb="FF00B050"/>
      </font>
    </dxf>
    <dxf>
      <font>
        <color rgb="FF00B050"/>
      </font>
    </dxf>
    <dxf>
      <font>
        <color theme="1"/>
      </font>
      <fill>
        <patternFill>
          <bgColor rgb="FFFFFF00"/>
        </patternFill>
      </fill>
    </dxf>
    <dxf>
      <font>
        <color rgb="FF00B050"/>
      </font>
    </dxf>
    <dxf>
      <font>
        <color rgb="FF00B050"/>
      </font>
    </dxf>
    <dxf>
      <font>
        <color theme="1"/>
      </font>
      <fill>
        <patternFill>
          <bgColor rgb="FFFFFF00"/>
        </patternFill>
      </fill>
    </dxf>
    <dxf>
      <font>
        <color theme="1"/>
      </font>
      <fill>
        <patternFill>
          <bgColor rgb="FFFFFF00"/>
        </patternFill>
      </fill>
    </dxf>
    <dxf>
      <font>
        <color rgb="FF00B050"/>
      </font>
    </dxf>
    <dxf>
      <font>
        <color rgb="FF00B050"/>
      </font>
    </dxf>
    <dxf>
      <font>
        <color theme="1"/>
      </font>
      <fill>
        <patternFill>
          <bgColor rgb="FFFFFF00"/>
        </patternFill>
      </fill>
    </dxf>
    <dxf>
      <font>
        <color rgb="FFFF0000"/>
      </font>
    </dxf>
    <dxf>
      <font>
        <color rgb="FF00B050"/>
      </font>
    </dxf>
    <dxf>
      <font>
        <color rgb="FFFF0000"/>
      </font>
      <fill>
        <patternFill>
          <bgColor rgb="FFFFFF00"/>
        </patternFill>
      </fill>
    </dxf>
    <dxf>
      <font>
        <color rgb="FF00B050"/>
      </font>
      <fill>
        <patternFill>
          <bgColor rgb="FFFFFF00"/>
        </patternFill>
      </fill>
    </dxf>
    <dxf>
      <font>
        <color rgb="FF00B050"/>
      </font>
    </dxf>
    <dxf>
      <fill>
        <patternFill patternType="lightUp">
          <fgColor rgb="FFFF0000"/>
        </patternFill>
      </fill>
    </dxf>
    <dxf>
      <fill>
        <patternFill patternType="lightUp">
          <fgColor rgb="FFFF0000"/>
        </patternFill>
      </fill>
    </dxf>
    <dxf>
      <fill>
        <patternFill patternType="lightUp">
          <fgColor rgb="FFFF0000"/>
        </patternFill>
      </fill>
    </dxf>
    <dxf>
      <fill>
        <patternFill>
          <bgColor rgb="FFFFFF00"/>
        </patternFill>
      </fill>
    </dxf>
    <dxf>
      <fill>
        <patternFill>
          <bgColor rgb="FFFFFF00"/>
        </patternFill>
      </fill>
    </dxf>
    <dxf>
      <fill>
        <patternFill>
          <bgColor rgb="FFFFFF00"/>
        </patternFill>
      </fill>
    </dxf>
    <dxf>
      <font>
        <color theme="0"/>
      </font>
      <fill>
        <patternFill>
          <bgColor theme="0"/>
        </patternFill>
      </fill>
    </dxf>
    <dxf>
      <font>
        <strike/>
      </font>
      <fill>
        <patternFill patternType="solid">
          <fgColor auto="1"/>
        </patternFill>
      </fill>
    </dxf>
    <dxf>
      <fill>
        <patternFill>
          <bgColor rgb="FFFFFF00"/>
        </patternFill>
      </fill>
    </dxf>
    <dxf>
      <font>
        <b/>
        <i val="0"/>
        <color rgb="FFFF0000"/>
      </font>
      <fill>
        <patternFill>
          <bgColor rgb="FFFFFF00"/>
        </patternFill>
      </fill>
    </dxf>
    <dxf>
      <fill>
        <patternFill patternType="lightUp">
          <fgColor rgb="FFFF0000"/>
          <bgColor auto="1"/>
        </patternFill>
      </fill>
    </dxf>
    <dxf>
      <font>
        <color auto="1"/>
      </font>
    </dxf>
    <dxf>
      <font>
        <color auto="1"/>
      </font>
    </dxf>
    <dxf>
      <font>
        <color auto="1"/>
      </font>
      <fill>
        <patternFill>
          <bgColor rgb="FFEAF0F6"/>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rgb="FFFF0000"/>
      </font>
    </dxf>
    <dxf>
      <fill>
        <patternFill>
          <bgColor rgb="FFFF0000"/>
        </patternFill>
      </fill>
    </dxf>
    <dxf>
      <font>
        <b val="0"/>
        <i val="0"/>
      </font>
    </dxf>
    <dxf>
      <font>
        <color theme="0"/>
      </font>
      <fill>
        <patternFill>
          <bgColor theme="0"/>
        </patternFill>
      </fill>
    </dxf>
    <dxf>
      <fill>
        <patternFill>
          <bgColor rgb="FFFF0000"/>
        </patternFill>
      </fill>
    </dxf>
    <dxf>
      <font>
        <b val="0"/>
        <i val="0"/>
      </font>
    </dxf>
    <dxf>
      <font>
        <color theme="0"/>
      </font>
      <fill>
        <patternFill>
          <bgColor theme="0"/>
        </patternFill>
      </fill>
    </dxf>
    <dxf>
      <fill>
        <patternFill>
          <bgColor rgb="FFFF0000"/>
        </patternFill>
      </fill>
    </dxf>
    <dxf>
      <font>
        <b val="0"/>
        <i val="0"/>
      </font>
    </dxf>
    <dxf>
      <font>
        <color theme="0"/>
      </font>
      <fill>
        <patternFill patternType="solid">
          <bgColor theme="0"/>
        </patternFill>
      </fill>
    </dxf>
    <dxf>
      <font>
        <color auto="1"/>
      </font>
      <fill>
        <patternFill>
          <bgColor rgb="FFFFFF00"/>
        </patternFill>
      </fill>
    </dxf>
    <dxf>
      <font>
        <color auto="1"/>
      </font>
      <fill>
        <patternFill>
          <bgColor rgb="FFFFFF00"/>
        </patternFill>
      </fill>
    </dxf>
    <dxf>
      <font>
        <b/>
        <i val="0"/>
        <color rgb="FFFF0000"/>
      </font>
    </dxf>
    <dxf>
      <fill>
        <patternFill>
          <bgColor rgb="FFFFFF00"/>
        </patternFill>
      </fill>
      <border>
        <left style="thin">
          <color rgb="FFFF0000"/>
        </left>
        <right style="thin">
          <color rgb="FFFF0000"/>
        </right>
        <top style="thin">
          <color rgb="FFFF0000"/>
        </top>
        <bottom style="thin">
          <color rgb="FFFF0000"/>
        </bottom>
      </border>
    </dxf>
    <dxf>
      <font>
        <color rgb="FFFF0000"/>
      </font>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ont>
        <color rgb="FFFF0000"/>
      </font>
      <fill>
        <patternFill>
          <bgColor rgb="FFFFFF00"/>
        </patternFill>
      </fill>
    </dxf>
    <dxf>
      <font>
        <b/>
        <i val="0"/>
        <color rgb="FFFF0000"/>
      </font>
      <fill>
        <patternFill>
          <bgColor rgb="FFFFFF00"/>
        </patternFill>
      </fill>
      <border>
        <left style="thin">
          <color rgb="FFFF0000"/>
        </left>
        <right style="thin">
          <color rgb="FFFF0000"/>
        </right>
        <top style="thin">
          <color rgb="FFFF0000"/>
        </top>
        <bottom style="thin">
          <color rgb="FFFF0000"/>
        </bottom>
        <vertical/>
        <horizontal/>
      </border>
    </dxf>
    <dxf>
      <font>
        <color theme="0"/>
      </font>
      <fill>
        <patternFill patternType="none">
          <bgColor auto="1"/>
        </patternFill>
      </fill>
      <border>
        <left/>
        <right/>
        <top/>
        <bottom/>
        <vertical/>
        <horizontal/>
      </border>
    </dxf>
    <dxf>
      <font>
        <color auto="1"/>
      </font>
    </dxf>
    <dxf>
      <font>
        <color theme="0"/>
      </font>
    </dxf>
    <dxf>
      <font>
        <color auto="1"/>
      </font>
    </dxf>
    <dxf>
      <font>
        <color theme="0"/>
      </font>
    </dxf>
    <dxf>
      <font>
        <color auto="1"/>
      </font>
    </dxf>
    <dxf>
      <font>
        <color auto="1"/>
      </font>
    </dxf>
    <dxf>
      <font>
        <color auto="1"/>
      </font>
    </dxf>
    <dxf>
      <font>
        <color auto="1"/>
      </font>
    </dxf>
    <dxf>
      <fill>
        <patternFill patternType="lightUp">
          <fgColor rgb="FFFF0000"/>
        </patternFill>
      </fill>
    </dxf>
    <dxf>
      <fill>
        <patternFill patternType="lightUp">
          <fgColor rgb="FFFF0000"/>
        </patternFill>
      </fill>
    </dxf>
    <dxf>
      <fill>
        <patternFill>
          <bgColor rgb="FFFFFF00"/>
        </patternFill>
      </fill>
    </dxf>
    <dxf>
      <font>
        <b/>
        <i val="0"/>
        <color rgb="FFFF0000"/>
      </font>
      <fill>
        <patternFill>
          <bgColor rgb="FFFFFF00"/>
        </patternFill>
      </fill>
    </dxf>
    <dxf>
      <fill>
        <patternFill>
          <bgColor rgb="FFFFFF00"/>
        </patternFill>
      </fill>
      <border>
        <left style="thin">
          <color rgb="FFFF0000"/>
        </left>
        <right style="thin">
          <color rgb="FFFF0000"/>
        </right>
        <top style="thin">
          <color rgb="FFFF0000"/>
        </top>
        <bottom style="thin">
          <color rgb="FFFF0000"/>
        </bottom>
      </border>
    </dxf>
    <dxf>
      <fill>
        <patternFill>
          <bgColor rgb="FFFFFF00"/>
        </patternFill>
      </fill>
      <border>
        <left style="thin">
          <color rgb="FFFF0000"/>
        </left>
        <right style="thin">
          <color rgb="FFFF0000"/>
        </right>
        <top style="thin">
          <color rgb="FFFF0000"/>
        </top>
        <bottom style="thin">
          <color rgb="FFFF0000"/>
        </bottom>
      </border>
    </dxf>
    <dxf>
      <fill>
        <patternFill>
          <bgColor rgb="FFFFFF00"/>
        </patternFill>
      </fill>
      <border>
        <left style="thin">
          <color rgb="FFFF0000"/>
        </left>
        <right style="thin">
          <color rgb="FFFF0000"/>
        </right>
        <top style="thin">
          <color rgb="FFFF0000"/>
        </top>
        <bottom style="thin">
          <color rgb="FFFF0000"/>
        </bottom>
      </border>
    </dxf>
    <dxf>
      <fill>
        <patternFill>
          <bgColor rgb="FFFFFF00"/>
        </patternFill>
      </fill>
      <border>
        <left style="thin">
          <color rgb="FFFF0000"/>
        </left>
        <right style="thin">
          <color rgb="FFFF0000"/>
        </right>
        <top style="thin">
          <color rgb="FFFF0000"/>
        </top>
        <bottom style="thin">
          <color rgb="FFFF0000"/>
        </bottom>
      </border>
    </dxf>
    <dxf>
      <fill>
        <patternFill>
          <bgColor rgb="FFFFFF00"/>
        </patternFill>
      </fill>
      <border>
        <left style="thin">
          <color rgb="FFFF0000"/>
        </left>
        <right style="thin">
          <color rgb="FFFF0000"/>
        </right>
        <top style="thin">
          <color rgb="FFFF0000"/>
        </top>
        <bottom style="thin">
          <color rgb="FFFF0000"/>
        </bottom>
      </border>
    </dxf>
    <dxf>
      <fill>
        <patternFill>
          <bgColor rgb="FFFFFF00"/>
        </patternFill>
      </fill>
      <border>
        <left style="thin">
          <color rgb="FFFF0000"/>
        </left>
        <right style="thin">
          <color rgb="FFFF0000"/>
        </right>
        <top style="thin">
          <color rgb="FFFF0000"/>
        </top>
        <bottom style="thin">
          <color rgb="FFFF0000"/>
        </bottom>
      </border>
    </dxf>
    <dxf>
      <font>
        <color rgb="FFFF0000"/>
      </font>
    </dxf>
    <dxf>
      <font>
        <b/>
        <i val="0"/>
        <color rgb="FFFF0000"/>
      </font>
      <fill>
        <patternFill patternType="solid">
          <bgColor rgb="FFFFFF00"/>
        </patternFill>
      </fill>
    </dxf>
    <dxf>
      <font>
        <b val="0"/>
        <i val="0"/>
        <color rgb="FFFF0000"/>
      </font>
    </dxf>
    <dxf>
      <font>
        <b/>
        <i val="0"/>
        <color rgb="FFFF0000"/>
      </font>
    </dxf>
    <dxf>
      <font>
        <b/>
        <i val="0"/>
        <color rgb="FFFF0000"/>
      </font>
      <fill>
        <patternFill patternType="solid">
          <bgColor rgb="FFFFFF00"/>
        </patternFill>
      </fill>
    </dxf>
    <dxf>
      <font>
        <b val="0"/>
        <i val="0"/>
        <color rgb="FFFF0000"/>
      </font>
    </dxf>
    <dxf>
      <fill>
        <patternFill>
          <bgColor rgb="FFFFFF00"/>
        </patternFill>
      </fill>
    </dxf>
    <dxf>
      <fill>
        <patternFill>
          <bgColor rgb="FFFFFF00"/>
        </patternFill>
      </fill>
    </dxf>
    <dxf>
      <fill>
        <patternFill>
          <bgColor rgb="FFFFFF00"/>
        </patternFill>
      </fill>
    </dxf>
    <dxf>
      <font>
        <b/>
        <i val="0"/>
      </font>
    </dxf>
    <dxf>
      <font>
        <b/>
        <i val="0"/>
      </font>
    </dxf>
    <dxf>
      <font>
        <b/>
        <i val="0"/>
      </font>
    </dxf>
    <dxf>
      <font>
        <color rgb="FF009242"/>
      </font>
    </dxf>
    <dxf>
      <font>
        <color theme="0"/>
      </font>
    </dxf>
    <dxf>
      <font>
        <b/>
        <i val="0"/>
        <color rgb="FFFF0000"/>
      </font>
    </dxf>
    <dxf>
      <font>
        <color rgb="FFFF0000"/>
      </font>
      <fill>
        <patternFill patternType="none">
          <bgColor auto="1"/>
        </patternFill>
      </fill>
    </dxf>
    <dxf>
      <font>
        <b/>
        <i val="0"/>
      </font>
    </dxf>
    <dxf>
      <fill>
        <patternFill>
          <bgColor rgb="FFFFFF00"/>
        </patternFill>
      </fill>
    </dxf>
    <dxf>
      <fill>
        <patternFill>
          <bgColor rgb="FFFFFF00"/>
        </patternFill>
      </fill>
    </dxf>
    <dxf>
      <fill>
        <patternFill>
          <bgColor rgb="FFFFFF00"/>
        </patternFill>
      </fill>
    </dxf>
    <dxf>
      <font>
        <color rgb="FFFF0000"/>
      </font>
    </dxf>
    <dxf>
      <font>
        <color rgb="FFFF0000"/>
      </font>
    </dxf>
    <dxf>
      <font>
        <color auto="1"/>
      </font>
      <fill>
        <patternFill>
          <bgColor rgb="FFFFFF00"/>
        </patternFill>
      </fill>
    </dxf>
    <dxf>
      <font>
        <color theme="0"/>
      </font>
    </dxf>
    <dxf>
      <font>
        <color auto="1"/>
      </font>
    </dxf>
    <dxf>
      <font>
        <color rgb="FFFF0000"/>
      </font>
    </dxf>
    <dxf>
      <font>
        <color theme="0"/>
      </font>
    </dxf>
    <dxf>
      <font>
        <color auto="1"/>
      </font>
      <fill>
        <patternFill>
          <bgColor rgb="FF66FFFF"/>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bgColor rgb="FFFFCC00"/>
        </patternFill>
      </fill>
    </dxf>
    <dxf>
      <fill>
        <patternFill>
          <bgColor rgb="FFFFCC00"/>
        </patternFill>
      </fill>
    </dxf>
    <dxf>
      <fill>
        <patternFill>
          <bgColor rgb="FFFFCC00"/>
        </patternFill>
      </fill>
    </dxf>
    <dxf>
      <fill>
        <patternFill>
          <bgColor rgb="FFFFCC00"/>
        </patternFill>
      </fill>
    </dxf>
    <dxf>
      <fill>
        <patternFill>
          <bgColor rgb="FFFFCC00"/>
        </patternFill>
      </fill>
    </dxf>
    <dxf>
      <font>
        <color auto="1"/>
      </font>
      <fill>
        <patternFill>
          <bgColor rgb="FFFFCC00"/>
        </patternFill>
      </fill>
    </dxf>
    <dxf>
      <fill>
        <patternFill>
          <bgColor rgb="FFFFCC00"/>
        </patternFill>
      </fill>
    </dxf>
    <dxf>
      <fill>
        <patternFill>
          <bgColor rgb="FFFFCC00"/>
        </patternFill>
      </fill>
    </dxf>
    <dxf>
      <font>
        <color theme="0"/>
      </font>
      <fill>
        <patternFill patternType="none">
          <bgColor auto="1"/>
        </patternFill>
      </fill>
      <border>
        <left/>
        <right/>
        <top/>
        <bottom/>
        <vertical/>
        <horizontal/>
      </border>
    </dxf>
    <dxf>
      <font>
        <color theme="0"/>
      </font>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bgColor rgb="FFFFFF00"/>
        </patternFill>
      </fill>
    </dxf>
    <dxf>
      <font>
        <b/>
        <i val="0"/>
      </font>
    </dxf>
    <dxf>
      <font>
        <b/>
        <i val="0"/>
        <color auto="1"/>
      </font>
      <fill>
        <patternFill>
          <bgColor rgb="FFFFFF00"/>
        </patternFill>
      </fill>
      <border>
        <left/>
        <right/>
        <top/>
        <bottom/>
        <vertical/>
        <horizontal/>
      </border>
    </dxf>
    <dxf>
      <font>
        <b/>
        <i val="0"/>
        <color auto="1"/>
      </font>
      <fill>
        <patternFill>
          <bgColor rgb="FFFFFF00"/>
        </patternFill>
      </fill>
      <border>
        <left/>
        <right/>
        <top/>
        <bottom/>
        <vertical/>
        <horizontal/>
      </border>
    </dxf>
    <dxf>
      <font>
        <color rgb="FF009242"/>
      </font>
    </dxf>
    <dxf>
      <font>
        <color rgb="FF009242"/>
      </font>
    </dxf>
    <dxf>
      <font>
        <color rgb="FF009242"/>
      </font>
      <fill>
        <patternFill patternType="none">
          <bgColor auto="1"/>
        </patternFill>
      </fill>
    </dxf>
    <dxf>
      <fill>
        <patternFill>
          <bgColor rgb="FFFFFF00"/>
        </patternFill>
      </fill>
    </dxf>
    <dxf>
      <font>
        <b/>
        <i val="0"/>
        <color rgb="FFFF0000"/>
      </font>
      <fill>
        <patternFill>
          <bgColor rgb="FFFFFF00"/>
        </patternFill>
      </fill>
    </dxf>
    <dxf>
      <font>
        <b/>
        <i val="0"/>
        <color rgb="FFFF0000"/>
      </font>
    </dxf>
    <dxf>
      <font>
        <b/>
        <i val="0"/>
        <color rgb="FFFF0000"/>
      </font>
      <fill>
        <patternFill patternType="none">
          <bgColor auto="1"/>
        </patternFill>
      </fill>
    </dxf>
    <dxf>
      <font>
        <b/>
        <i val="0"/>
        <color rgb="FFFF0000"/>
      </font>
    </dxf>
    <dxf>
      <font>
        <b/>
        <i val="0"/>
        <color rgb="FFFF0000"/>
      </font>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
      <font>
        <color rgb="FFFF0000"/>
      </font>
    </dxf>
    <dxf>
      <fill>
        <patternFill>
          <bgColor rgb="FFFFFF00"/>
        </patternFill>
      </fill>
      <border>
        <left style="thin">
          <color rgb="FFFF0000"/>
        </left>
        <right style="thin">
          <color rgb="FFFF0000"/>
        </right>
        <top style="thin">
          <color rgb="FFFF0000"/>
        </top>
        <bottom style="thin">
          <color rgb="FFFF0000"/>
        </bottom>
        <vertical/>
        <horizontal/>
      </border>
    </dxf>
    <dxf>
      <font>
        <color rgb="FFFF0000"/>
      </font>
      <fill>
        <patternFill patternType="none">
          <bgColor auto="1"/>
        </patternFill>
      </fill>
    </dxf>
    <dxf>
      <fill>
        <patternFill patternType="lightUp">
          <fgColor rgb="FFFF0000"/>
        </patternFill>
      </fill>
    </dxf>
    <dxf>
      <fill>
        <patternFill patternType="lightUp">
          <fgColor rgb="FFFF0000"/>
        </patternFill>
      </fill>
    </dxf>
    <dxf>
      <fill>
        <patternFill patternType="lightUp">
          <fgColor rgb="FFFF0000"/>
        </patternFill>
      </fill>
    </dxf>
    <dxf>
      <fill>
        <patternFill patternType="lightUp">
          <fgColor rgb="FFFF0000"/>
        </patternFill>
      </fill>
    </dxf>
    <dxf>
      <font>
        <color theme="0"/>
      </font>
      <fill>
        <patternFill patternType="none">
          <bgColor auto="1"/>
        </patternFill>
      </fill>
    </dxf>
    <dxf>
      <fill>
        <patternFill patternType="lightUp">
          <fgColor rgb="FFFF0000"/>
        </patternFill>
      </fill>
    </dxf>
    <dxf>
      <fill>
        <patternFill patternType="lightUp">
          <fgColor rgb="FFFF0000"/>
        </patternFill>
      </fill>
    </dxf>
    <dxf>
      <fill>
        <patternFill patternType="lightUp">
          <fgColor rgb="FFFF0000"/>
        </patternFill>
      </fill>
    </dxf>
    <dxf>
      <fill>
        <patternFill patternType="lightUp">
          <fgColor rgb="FFFF0000"/>
        </patternFill>
      </fill>
    </dxf>
    <dxf>
      <fill>
        <patternFill patternType="lightUp">
          <fgColor rgb="FFFF0000"/>
        </patternFill>
      </fill>
    </dxf>
    <dxf>
      <fill>
        <patternFill patternType="lightUp">
          <fgColor rgb="FFFF0000"/>
        </patternFill>
      </fill>
    </dxf>
    <dxf>
      <font>
        <color theme="0"/>
      </font>
    </dxf>
    <dxf>
      <fill>
        <patternFill patternType="lightUp"/>
      </fill>
    </dxf>
    <dxf>
      <fill>
        <patternFill patternType="lightUp">
          <fgColor rgb="FFFF0000"/>
        </patternFill>
      </fill>
    </dxf>
    <dxf>
      <fill>
        <patternFill patternType="lightUp"/>
      </fill>
    </dxf>
    <dxf>
      <font>
        <color theme="0"/>
      </font>
      <fill>
        <patternFill patternType="none">
          <fgColor indexed="64"/>
          <bgColor auto="1"/>
        </patternFill>
      </fill>
      <border>
        <left/>
        <right/>
        <top/>
        <bottom/>
        <vertical/>
        <horizontal/>
      </border>
    </dxf>
    <dxf>
      <fill>
        <patternFill>
          <bgColor rgb="FFFFFF00"/>
        </patternFill>
      </fill>
    </dxf>
    <dxf>
      <font>
        <color rgb="FFFF0000"/>
      </font>
      <fill>
        <patternFill>
          <bgColor rgb="FFFFFF00"/>
        </patternFill>
      </fill>
    </dxf>
    <dxf>
      <font>
        <b/>
        <i val="0"/>
        <color rgb="FFFF0000"/>
      </font>
    </dxf>
    <dxf>
      <font>
        <b/>
        <i val="0"/>
        <color rgb="FFFF0000"/>
      </font>
      <fill>
        <patternFill>
          <bgColor rgb="FFFFFF00"/>
        </patternFill>
      </fill>
      <border>
        <left style="thin">
          <color rgb="FFFF0000"/>
        </left>
        <right style="thin">
          <color rgb="FFFF0000"/>
        </right>
        <top style="thin">
          <color rgb="FFFF0000"/>
        </top>
        <bottom style="thin">
          <color rgb="FFFF0000"/>
        </bottom>
        <vertical/>
        <horizontal/>
      </border>
    </dxf>
    <dxf>
      <font>
        <b/>
        <i val="0"/>
        <color rgb="FFFF0000"/>
      </font>
      <fill>
        <patternFill>
          <bgColor rgb="FFFFFF00"/>
        </patternFill>
      </fill>
      <border>
        <left style="thin">
          <color rgb="FFFF0000"/>
        </left>
        <right style="thin">
          <color rgb="FFFF0000"/>
        </right>
        <top style="thin">
          <color rgb="FFFF0000"/>
        </top>
        <bottom style="thin">
          <color rgb="FFFF0000"/>
        </bottom>
      </border>
    </dxf>
    <dxf>
      <font>
        <b/>
        <i val="0"/>
        <color rgb="FFFF0000"/>
      </font>
      <fill>
        <patternFill>
          <bgColor rgb="FFFFFF00"/>
        </patternFill>
      </fill>
      <border>
        <left style="thin">
          <color rgb="FFFF0000"/>
        </left>
        <right style="thin">
          <color rgb="FFFF0000"/>
        </right>
        <top style="thin">
          <color rgb="FFFF0000"/>
        </top>
        <bottom style="thin">
          <color rgb="FFFF0000"/>
        </bottom>
      </border>
    </dxf>
    <dxf>
      <font>
        <b/>
        <i val="0"/>
        <color rgb="FFFF0000"/>
      </font>
      <fill>
        <patternFill>
          <bgColor rgb="FFFFFF00"/>
        </patternFill>
      </fill>
    </dxf>
    <dxf>
      <font>
        <b/>
        <i val="0"/>
        <color rgb="FFFF0000"/>
      </font>
    </dxf>
    <dxf>
      <font>
        <color theme="1"/>
      </font>
      <fill>
        <patternFill>
          <bgColor rgb="FFFFFF00"/>
        </patternFill>
      </fill>
    </dxf>
    <dxf>
      <font>
        <strike/>
      </font>
    </dxf>
    <dxf>
      <font>
        <strike/>
      </font>
    </dxf>
    <dxf>
      <font>
        <strike/>
      </font>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FFFF00"/>
        </patternFill>
      </fill>
    </dxf>
    <dxf>
      <fill>
        <patternFill>
          <bgColor rgb="FFFFFF00"/>
        </patternFill>
      </fill>
    </dxf>
    <dxf>
      <fill>
        <patternFill>
          <bgColor rgb="FFFFFF00"/>
        </patternFill>
      </fill>
    </dxf>
    <dxf>
      <font>
        <b val="0"/>
        <i val="0"/>
        <color rgb="FFFF0000"/>
      </font>
      <fill>
        <patternFill>
          <bgColor rgb="FFFFFF00"/>
        </patternFill>
      </fill>
      <border>
        <left style="thin">
          <color rgb="FFFF0000"/>
        </left>
        <right style="thin">
          <color rgb="FFFF0000"/>
        </right>
        <top style="thin">
          <color rgb="FFFF0000"/>
        </top>
        <bottom style="thin">
          <color rgb="FFFF0000"/>
        </bottom>
        <vertical/>
        <horizontal/>
      </border>
    </dxf>
    <dxf>
      <font>
        <color auto="1"/>
      </font>
      <fill>
        <patternFill>
          <bgColor rgb="FFFFFF00"/>
        </patternFill>
      </fill>
    </dxf>
    <dxf>
      <font>
        <color auto="1"/>
      </font>
      <fill>
        <patternFill>
          <bgColor rgb="FFFFFF00"/>
        </patternFill>
      </fill>
    </dxf>
    <dxf>
      <fill>
        <patternFill>
          <bgColor rgb="FFFFFF00"/>
        </patternFill>
      </fill>
    </dxf>
    <dxf>
      <font>
        <color rgb="FFFF0000"/>
      </font>
      <fill>
        <patternFill patternType="solid">
          <bgColor rgb="FFE7EEF5"/>
        </patternFill>
      </fill>
    </dxf>
    <dxf>
      <fill>
        <patternFill patternType="lightUp">
          <fgColor rgb="FFFF0000"/>
        </patternFill>
      </fill>
    </dxf>
    <dxf>
      <font>
        <b/>
        <i val="0"/>
        <color rgb="FFFF0000"/>
      </font>
    </dxf>
    <dxf>
      <fill>
        <patternFill>
          <bgColor rgb="FFFFFF00"/>
        </patternFill>
      </fill>
      <border>
        <left style="thin">
          <color rgb="FFFF0000"/>
        </left>
        <right style="thin">
          <color rgb="FFFF0000"/>
        </right>
        <top style="thin">
          <color rgb="FFFF0000"/>
        </top>
        <bottom style="thin">
          <color rgb="FFFF0000"/>
        </bottom>
      </border>
    </dxf>
    <dxf>
      <font>
        <color rgb="FFFF0000"/>
      </font>
    </dxf>
    <dxf>
      <fill>
        <patternFill>
          <bgColor rgb="FFFF0000"/>
        </patternFill>
      </fill>
    </dxf>
    <dxf>
      <font>
        <b val="0"/>
        <i val="0"/>
      </font>
    </dxf>
    <dxf>
      <font>
        <color theme="0"/>
      </font>
      <fill>
        <patternFill>
          <bgColor theme="0"/>
        </patternFill>
      </fill>
    </dxf>
    <dxf>
      <fill>
        <patternFill>
          <bgColor rgb="FFFF0000"/>
        </patternFill>
      </fill>
    </dxf>
    <dxf>
      <font>
        <b val="0"/>
        <i val="0"/>
      </font>
    </dxf>
    <dxf>
      <font>
        <color theme="0"/>
      </font>
      <fill>
        <patternFill>
          <bgColor theme="0"/>
        </patternFill>
      </fill>
    </dxf>
    <dxf>
      <fill>
        <patternFill>
          <bgColor rgb="FFFF0000"/>
        </patternFill>
      </fill>
    </dxf>
    <dxf>
      <font>
        <b val="0"/>
        <i val="0"/>
      </font>
    </dxf>
    <dxf>
      <font>
        <color theme="0"/>
      </font>
      <fill>
        <patternFill patternType="solid">
          <bgColor theme="0"/>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ill>
        <patternFill patternType="lightUp">
          <fgColor rgb="FFFF0000"/>
          <bgColor auto="1"/>
        </patternFill>
      </fill>
    </dxf>
    <dxf>
      <fill>
        <patternFill patternType="lightUp">
          <fgColor rgb="FFFF0000"/>
        </patternFill>
      </fill>
    </dxf>
    <dxf>
      <fill>
        <patternFill>
          <bgColor rgb="FFEAF0F6"/>
        </patternFill>
      </fill>
    </dxf>
    <dxf>
      <fill>
        <patternFill>
          <bgColor rgb="FFEAF0F6"/>
        </patternFill>
      </fill>
    </dxf>
    <dxf>
      <fill>
        <patternFill patternType="lightUp">
          <fgColor rgb="FFFF0000"/>
        </patternFill>
      </fill>
    </dxf>
    <dxf>
      <fill>
        <patternFill patternType="lightUp">
          <fgColor rgb="FFFF0000"/>
        </patternFill>
      </fill>
    </dxf>
    <dxf>
      <font>
        <b val="0"/>
        <i val="0"/>
        <color auto="1"/>
      </font>
      <fill>
        <patternFill>
          <bgColor rgb="FFFFFF00"/>
        </patternFill>
      </fill>
      <border>
        <left style="thin">
          <color rgb="FFFF0000"/>
        </left>
        <right style="thin">
          <color rgb="FFFF0000"/>
        </right>
        <top style="thin">
          <color rgb="FFFF0000"/>
        </top>
        <bottom style="thin">
          <color rgb="FFFF0000"/>
        </bottom>
      </border>
    </dxf>
    <dxf>
      <font>
        <b val="0"/>
        <i val="0"/>
        <color auto="1"/>
      </font>
      <fill>
        <patternFill>
          <bgColor rgb="FFFFFF00"/>
        </patternFill>
      </fill>
      <border>
        <left style="thin">
          <color rgb="FFFF0000"/>
        </left>
        <right style="thin">
          <color rgb="FFFF0000"/>
        </right>
        <top style="thin">
          <color rgb="FFFF0000"/>
        </top>
        <bottom style="thin">
          <color rgb="FFFF0000"/>
        </bottom>
      </border>
    </dxf>
    <dxf>
      <font>
        <strike val="0"/>
        <color auto="1"/>
      </font>
    </dxf>
    <dxf>
      <font>
        <strike val="0"/>
        <color auto="1"/>
      </font>
    </dxf>
    <dxf>
      <fill>
        <patternFill>
          <bgColor rgb="FFFFFF00"/>
        </patternFill>
      </fill>
    </dxf>
    <dxf>
      <fill>
        <patternFill>
          <bgColor rgb="FFFFFF00"/>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ill>
        <patternFill>
          <bgColor rgb="FFEAF0F6"/>
        </patternFill>
      </fill>
    </dxf>
    <dxf>
      <font>
        <color theme="1"/>
      </font>
    </dxf>
    <dxf>
      <font>
        <color theme="1"/>
      </font>
    </dxf>
    <dxf>
      <font>
        <b/>
        <i val="0"/>
      </font>
    </dxf>
    <dxf>
      <font>
        <b/>
        <i val="0"/>
      </font>
    </dxf>
    <dxf>
      <font>
        <b/>
        <i val="0"/>
      </font>
    </dxf>
    <dxf>
      <fill>
        <patternFill>
          <bgColor rgb="FFFFFF00"/>
        </patternFill>
      </fill>
    </dxf>
    <dxf>
      <fill>
        <patternFill>
          <bgColor rgb="FFFFFF00"/>
        </patternFill>
      </fill>
    </dxf>
    <dxf>
      <fill>
        <patternFill>
          <bgColor rgb="FFFFFF00"/>
        </patternFill>
      </fill>
    </dxf>
    <dxf>
      <font>
        <color theme="0"/>
      </font>
      <fill>
        <patternFill patternType="none">
          <bgColor auto="1"/>
        </patternFill>
      </fill>
      <border>
        <left/>
        <right/>
        <top/>
        <bottom/>
        <vertical/>
        <horizontal/>
      </border>
    </dxf>
    <dxf>
      <font>
        <b val="0"/>
        <i val="0"/>
      </font>
    </dxf>
    <dxf>
      <font>
        <color theme="0"/>
      </font>
      <fill>
        <patternFill patternType="none">
          <bgColor auto="1"/>
        </patternFill>
      </fill>
      <border>
        <left/>
        <right/>
        <top/>
        <bottom/>
        <vertical/>
        <horizontal/>
      </border>
    </dxf>
    <dxf>
      <font>
        <b val="0"/>
        <i val="0"/>
      </font>
    </dxf>
    <dxf>
      <font>
        <color theme="0"/>
      </font>
      <fill>
        <patternFill patternType="none">
          <bgColor auto="1"/>
        </patternFill>
      </fill>
      <border>
        <left/>
        <right/>
        <top/>
        <bottom/>
        <vertical/>
        <horizontal/>
      </border>
    </dxf>
    <dxf>
      <font>
        <b val="0"/>
        <i val="0"/>
      </font>
    </dxf>
    <dxf>
      <font>
        <color theme="0"/>
      </font>
      <fill>
        <patternFill patternType="none">
          <bgColor auto="1"/>
        </patternFill>
      </fill>
      <border>
        <left/>
        <right/>
        <top/>
        <bottom/>
        <vertical/>
        <horizontal/>
      </border>
    </dxf>
    <dxf>
      <font>
        <b val="0"/>
        <i val="0"/>
      </font>
    </dxf>
    <dxf>
      <fill>
        <patternFill patternType="lightUp"/>
      </fill>
    </dxf>
    <dxf>
      <fill>
        <patternFill patternType="lightUp"/>
      </fill>
    </dxf>
    <dxf>
      <fill>
        <patternFill patternType="lightUp"/>
      </fill>
    </dxf>
    <dxf>
      <font>
        <b/>
        <i val="0"/>
      </font>
    </dxf>
    <dxf>
      <font>
        <color theme="1"/>
      </font>
    </dxf>
    <dxf>
      <font>
        <color theme="1"/>
      </font>
    </dxf>
    <dxf>
      <font>
        <color rgb="FFC00000"/>
      </font>
      <fill>
        <patternFill>
          <bgColor rgb="FFFFFF00"/>
        </patternFill>
      </fill>
    </dxf>
    <dxf>
      <font>
        <color rgb="FFC00000"/>
      </font>
      <fill>
        <patternFill>
          <bgColor rgb="FFFFFF00"/>
        </patternFill>
      </fill>
    </dxf>
    <dxf>
      <font>
        <color theme="1"/>
      </font>
      <fill>
        <patternFill patternType="none">
          <bgColor auto="1"/>
        </patternFill>
      </fill>
    </dxf>
    <dxf>
      <fill>
        <patternFill patternType="lightUp">
          <fgColor theme="1"/>
        </patternFill>
      </fill>
    </dxf>
    <dxf>
      <fill>
        <patternFill patternType="darkUp">
          <fgColor rgb="FFFF0000"/>
        </patternFill>
      </fill>
    </dxf>
    <dxf>
      <font>
        <color rgb="FFFF0000"/>
      </font>
    </dxf>
    <dxf>
      <font>
        <color rgb="FFFF0000"/>
      </font>
    </dxf>
    <dxf>
      <fill>
        <patternFill patternType="lightUp">
          <fgColor theme="1"/>
        </patternFill>
      </fill>
    </dxf>
    <dxf>
      <fill>
        <patternFill patternType="darkUp">
          <fgColor rgb="FFFF0000"/>
        </patternFill>
      </fill>
    </dxf>
    <dxf>
      <fill>
        <patternFill patternType="lightUp"/>
      </fill>
    </dxf>
    <dxf>
      <fill>
        <patternFill patternType="darkUp">
          <fgColor rgb="FFFF0000"/>
        </patternFill>
      </fill>
    </dxf>
    <dxf>
      <font>
        <b/>
        <i val="0"/>
      </font>
      <border>
        <left style="thin">
          <color auto="1"/>
        </left>
        <right style="thin">
          <color auto="1"/>
        </right>
        <top style="thin">
          <color auto="1"/>
        </top>
        <bottom style="thin">
          <color auto="1"/>
        </bottom>
        <vertical/>
        <horizontal/>
      </border>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border>
        <left/>
        <right/>
        <top/>
        <bottom/>
        <vertical/>
        <horizontal/>
      </border>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border>
        <left/>
        <right/>
        <top/>
        <bottom/>
        <vertical/>
        <horizontal/>
      </border>
    </dxf>
    <dxf>
      <font>
        <b/>
        <i val="0"/>
      </font>
      <border>
        <left style="thin">
          <color auto="1"/>
        </left>
        <right style="thin">
          <color auto="1"/>
        </right>
        <top style="thin">
          <color auto="1"/>
        </top>
        <bottom style="thin">
          <color auto="1"/>
        </bottom>
        <vertical/>
        <horizontal/>
      </border>
    </dxf>
    <dxf>
      <font>
        <color rgb="FFFF0000"/>
      </font>
    </dxf>
    <dxf>
      <font>
        <b/>
        <i val="0"/>
      </font>
      <border>
        <left style="thin">
          <color auto="1"/>
        </left>
        <right style="thin">
          <color auto="1"/>
        </right>
        <top style="thin">
          <color auto="1"/>
        </top>
        <bottom style="thin">
          <color auto="1"/>
        </bottom>
        <vertical/>
        <horizontal/>
      </border>
    </dxf>
    <dxf>
      <font>
        <color rgb="FFFF0000"/>
      </font>
    </dxf>
    <dxf>
      <font>
        <b/>
        <i val="0"/>
      </font>
      <border>
        <left style="thin">
          <color auto="1"/>
        </left>
        <right style="thin">
          <color auto="1"/>
        </right>
        <top style="thin">
          <color auto="1"/>
        </top>
        <bottom style="thin">
          <color auto="1"/>
        </bottom>
        <vertical/>
        <horizontal/>
      </border>
    </dxf>
    <dxf>
      <font>
        <color rgb="FFFF0000"/>
      </font>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ill>
        <patternFill>
          <bgColor rgb="FFFFFF00"/>
        </patternFill>
      </fill>
    </dxf>
    <dxf>
      <font>
        <color theme="0"/>
      </font>
    </dxf>
    <dxf>
      <font>
        <b/>
        <i val="0"/>
      </font>
      <numFmt numFmtId="34" formatCode="_(&quot;$&quot;* #,##0.00_);_(&quot;$&quot;* \(#,##0.00\);_(&quot;$&quot;* &quot;-&quot;??_);_(@_)"/>
    </dxf>
    <dxf>
      <fill>
        <patternFill patternType="lightUp">
          <fgColor auto="1"/>
        </patternFill>
      </fill>
    </dxf>
    <dxf>
      <font>
        <color auto="1"/>
      </font>
      <fill>
        <patternFill>
          <bgColor rgb="FFEAF0F6"/>
        </patternFill>
      </fill>
    </dxf>
    <dxf>
      <fill>
        <patternFill patternType="lightUp"/>
      </fill>
    </dxf>
    <dxf>
      <font>
        <color theme="1"/>
      </font>
    </dxf>
    <dxf>
      <font>
        <color theme="1"/>
      </font>
    </dxf>
    <dxf>
      <font>
        <color rgb="FFC00000"/>
      </font>
      <fill>
        <patternFill>
          <bgColor rgb="FFFFFF00"/>
        </patternFill>
      </fill>
    </dxf>
    <dxf>
      <font>
        <color rgb="FFC00000"/>
      </font>
      <fill>
        <patternFill>
          <bgColor rgb="FFFFFF00"/>
        </patternFill>
      </fill>
    </dxf>
    <dxf>
      <font>
        <color theme="1"/>
      </font>
    </dxf>
    <dxf>
      <font>
        <color theme="1"/>
      </font>
    </dxf>
    <dxf>
      <font>
        <color theme="1"/>
      </font>
    </dxf>
    <dxf>
      <font>
        <color rgb="FFC00000"/>
      </font>
      <fill>
        <patternFill>
          <bgColor rgb="FFFFFF00"/>
        </patternFill>
      </fill>
    </dxf>
    <dxf>
      <font>
        <color rgb="FFC00000"/>
      </font>
      <fill>
        <patternFill>
          <bgColor rgb="FFFFFF00"/>
        </patternFill>
      </fill>
    </dxf>
    <dxf>
      <fill>
        <patternFill patternType="lightUp">
          <fgColor auto="1"/>
        </patternFill>
      </fill>
    </dxf>
    <dxf>
      <fill>
        <patternFill patternType="lightUp">
          <fgColor rgb="FFFF0000"/>
          <bgColor rgb="FFFFFF00"/>
        </patternFill>
      </fill>
    </dxf>
    <dxf>
      <font>
        <color rgb="FFFF0000"/>
      </font>
      <fill>
        <patternFill>
          <bgColor rgb="FFFFFF00"/>
        </patternFill>
      </fill>
    </dxf>
    <dxf>
      <fill>
        <patternFill patternType="lightUp"/>
      </fill>
    </dxf>
    <dxf>
      <fill>
        <patternFill patternType="darkUp">
          <fgColor rgb="FFFF0000"/>
        </patternFill>
      </fill>
    </dxf>
    <dxf>
      <fill>
        <patternFill patternType="lightUp">
          <fgColor theme="1"/>
        </patternFill>
      </fill>
    </dxf>
    <dxf>
      <fill>
        <patternFill patternType="darkUp">
          <fgColor rgb="FFFF0000"/>
        </patternFill>
      </fill>
    </dxf>
    <dxf>
      <fill>
        <patternFill patternType="lightUp">
          <fgColor theme="1"/>
        </patternFill>
      </fill>
    </dxf>
    <dxf>
      <fill>
        <patternFill patternType="darkUp">
          <fgColor rgb="FFFF0000"/>
        </patternFill>
      </fill>
    </dxf>
    <dxf>
      <fill>
        <patternFill patternType="lightUp">
          <fgColor theme="1"/>
        </patternFill>
      </fill>
    </dxf>
    <dxf>
      <fill>
        <patternFill patternType="darkUp">
          <fgColor rgb="FFFF0000"/>
        </patternFill>
      </fill>
    </dxf>
    <dxf>
      <font>
        <color rgb="FFFF0000"/>
      </font>
      <fill>
        <patternFill>
          <bgColor rgb="FFFFFF00"/>
        </patternFill>
      </fill>
    </dxf>
    <dxf>
      <font>
        <color theme="0"/>
      </font>
      <fill>
        <patternFill patternType="none">
          <bgColor auto="1"/>
        </patternFill>
      </fill>
      <border>
        <left/>
        <right/>
        <top/>
        <bottom/>
        <vertical/>
        <horizontal/>
      </border>
    </dxf>
    <dxf>
      <fill>
        <patternFill patternType="lightUp">
          <fgColor theme="1"/>
        </patternFill>
      </fill>
    </dxf>
    <dxf>
      <fill>
        <patternFill patternType="darkUp">
          <fgColor rgb="FFFF0000"/>
        </patternFill>
      </fill>
    </dxf>
    <dxf>
      <fill>
        <patternFill patternType="lightUp">
          <fgColor theme="1"/>
        </patternFill>
      </fill>
    </dxf>
    <dxf>
      <fill>
        <patternFill patternType="darkUp">
          <fgColor rgb="FFFF0000"/>
        </patternFill>
      </fill>
    </dxf>
    <dxf>
      <font>
        <color rgb="FFFF0000"/>
      </font>
    </dxf>
    <dxf>
      <font>
        <color rgb="FFFF0000"/>
      </font>
    </dxf>
    <dxf>
      <fill>
        <patternFill patternType="lightUp">
          <fgColor theme="1"/>
        </patternFill>
      </fill>
    </dxf>
    <dxf>
      <fill>
        <patternFill patternType="darkUp">
          <fgColor rgb="FFFF0000"/>
        </patternFill>
      </fill>
    </dxf>
    <dxf>
      <fill>
        <patternFill patternType="lightUp">
          <fgColor theme="1"/>
        </patternFill>
      </fill>
    </dxf>
    <dxf>
      <fill>
        <patternFill patternType="darkUp">
          <fgColor rgb="FFFF0000"/>
        </patternFill>
      </fill>
    </dxf>
    <dxf>
      <font>
        <color auto="1"/>
      </font>
      <fill>
        <patternFill>
          <bgColor rgb="FFFFFF00"/>
        </patternFill>
      </fill>
      <border>
        <left style="thin">
          <color rgb="FFFF0000"/>
        </left>
        <right style="thin">
          <color rgb="FFFF0000"/>
        </right>
        <top style="thin">
          <color rgb="FFFF0000"/>
        </top>
        <bottom style="thin">
          <color rgb="FFFF0000"/>
        </bottom>
        <vertical/>
        <horizontal/>
      </border>
    </dxf>
    <dxf>
      <font>
        <b/>
        <i val="0"/>
      </font>
    </dxf>
    <dxf>
      <font>
        <b/>
        <i val="0"/>
      </font>
    </dxf>
    <dxf>
      <font>
        <b/>
        <i val="0"/>
      </font>
    </dxf>
    <dxf>
      <font>
        <b/>
        <i val="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border>
        <left/>
        <right/>
        <top/>
        <bottom/>
        <vertical/>
        <horizontal/>
      </border>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dxf>
    <dxf>
      <font>
        <b/>
        <i val="0"/>
      </font>
      <border>
        <left/>
        <right/>
        <top/>
        <bottom/>
        <vertical/>
        <horizontal/>
      </border>
    </dxf>
    <dxf>
      <font>
        <b/>
        <i val="0"/>
      </font>
      <border>
        <left style="thin">
          <color auto="1"/>
        </left>
        <right style="thin">
          <color auto="1"/>
        </right>
        <top style="thin">
          <color auto="1"/>
        </top>
        <bottom style="thin">
          <color auto="1"/>
        </bottom>
        <vertical/>
        <horizontal/>
      </border>
    </dxf>
    <dxf>
      <font>
        <color rgb="FFFF0000"/>
      </font>
    </dxf>
    <dxf>
      <font>
        <b/>
        <i val="0"/>
      </font>
    </dxf>
    <dxf>
      <font>
        <b/>
        <i val="0"/>
      </font>
    </dxf>
    <dxf>
      <fill>
        <patternFill>
          <bgColor rgb="FFFFFF00"/>
        </patternFill>
      </fill>
    </dxf>
    <dxf>
      <font>
        <color rgb="FFFF0000"/>
      </font>
    </dxf>
    <dxf>
      <font>
        <color rgb="FFFF0000"/>
      </font>
    </dxf>
    <dxf>
      <font>
        <color rgb="FFFF0000"/>
      </font>
    </dxf>
    <dxf>
      <font>
        <color rgb="FFFF0000"/>
      </font>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font>
        <color auto="1"/>
      </font>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vertical/>
        <horizontal/>
      </border>
    </dxf>
    <dxf>
      <font>
        <color rgb="FFFDE4CF"/>
      </font>
    </dxf>
    <dxf>
      <font>
        <color rgb="FFFDE4CF"/>
      </font>
    </dxf>
    <dxf>
      <font>
        <color rgb="FFFDE4CF"/>
      </font>
    </dxf>
    <dxf>
      <font>
        <color rgb="FFFDE4CF"/>
      </font>
    </dxf>
    <dxf>
      <font>
        <color rgb="FFFDE4CF"/>
      </font>
    </dxf>
    <dxf>
      <font>
        <color rgb="FFFDE4CF"/>
      </font>
    </dxf>
    <dxf>
      <font>
        <color rgb="FFFDE4CF"/>
      </font>
    </dxf>
    <dxf>
      <font>
        <color rgb="FFFDE4CF"/>
      </font>
    </dxf>
    <dxf>
      <fill>
        <patternFill>
          <bgColor rgb="FFFF0000"/>
        </patternFill>
      </fill>
    </dxf>
    <dxf>
      <fill>
        <patternFill>
          <bgColor rgb="FFFF0000"/>
        </patternFill>
      </fill>
    </dxf>
    <dxf>
      <fill>
        <patternFill>
          <bgColor rgb="FFFF0000"/>
        </patternFill>
      </fill>
    </dxf>
    <dxf>
      <fill>
        <patternFill>
          <bgColor rgb="FFFF0000"/>
        </patternFill>
      </fill>
    </dxf>
    <dxf>
      <border>
        <left/>
        <right/>
        <bottom/>
        <vertical/>
        <horizontal/>
      </border>
    </dxf>
    <dxf>
      <font>
        <color auto="1"/>
      </font>
      <fill>
        <patternFill patternType="none">
          <bgColor auto="1"/>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ont>
        <color auto="1"/>
      </font>
      <fill>
        <patternFill>
          <bgColor rgb="FFFF00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strike/>
      </font>
    </dxf>
    <dxf>
      <font>
        <strike/>
      </font>
    </dxf>
    <dxf>
      <font>
        <strike/>
      </font>
    </dxf>
    <dxf>
      <font>
        <color rgb="FFFF0000"/>
      </font>
      <fill>
        <patternFill patternType="none">
          <bgColor auto="1"/>
        </patternFill>
      </fill>
    </dxf>
    <dxf>
      <font>
        <color rgb="FFFF0000"/>
      </font>
      <fill>
        <patternFill patternType="none">
          <bgColor auto="1"/>
        </patternFill>
      </fill>
    </dxf>
    <dxf>
      <font>
        <strike/>
      </font>
    </dxf>
    <dxf>
      <font>
        <strike/>
      </font>
    </dxf>
    <dxf>
      <font>
        <strike/>
      </font>
    </dxf>
    <dxf>
      <font>
        <strike/>
      </font>
    </dxf>
    <dxf>
      <font>
        <strike/>
      </font>
    </dxf>
    <dxf>
      <font>
        <strike/>
      </font>
    </dxf>
    <dxf>
      <font>
        <color rgb="FFFF0000"/>
      </font>
      <fill>
        <patternFill>
          <bgColor rgb="FFFFFF00"/>
        </patternFill>
      </fill>
    </dxf>
    <dxf>
      <font>
        <color rgb="FFFF0000"/>
      </font>
      <fill>
        <patternFill patternType="none">
          <bgColor auto="1"/>
        </patternFill>
      </fill>
    </dxf>
    <dxf>
      <font>
        <color rgb="FFFF0000"/>
      </font>
    </dxf>
    <dxf>
      <font>
        <color rgb="FFFF0000"/>
      </font>
    </dxf>
    <dxf>
      <fill>
        <patternFill>
          <bgColor rgb="FFFFFF00"/>
        </patternFill>
      </fill>
    </dxf>
    <dxf>
      <font>
        <color rgb="FFFF0000"/>
      </font>
    </dxf>
    <dxf>
      <font>
        <color rgb="FFFF0000"/>
      </font>
    </dxf>
    <dxf>
      <font>
        <b/>
        <i val="0"/>
      </font>
      <fill>
        <patternFill>
          <bgColor rgb="FFFFFF00"/>
        </patternFill>
      </fill>
    </dxf>
    <dxf>
      <font>
        <b/>
        <i val="0"/>
      </font>
      <fill>
        <patternFill>
          <bgColor rgb="FFFFFF00"/>
        </patternFill>
      </fill>
    </dxf>
    <dxf>
      <font>
        <color theme="1"/>
      </font>
      <fill>
        <patternFill>
          <bgColor rgb="FFFF0000"/>
        </patternFill>
      </fill>
    </dxf>
    <dxf>
      <font>
        <b/>
        <i val="0"/>
        <color auto="1"/>
      </font>
      <fill>
        <patternFill patternType="none">
          <bgColor auto="1"/>
        </patternFill>
      </fill>
      <border>
        <left style="thin">
          <color auto="1"/>
        </left>
        <right style="thin">
          <color auto="1"/>
        </right>
        <top style="thin">
          <color auto="1"/>
        </top>
        <bottom style="thin">
          <color auto="1"/>
        </bottom>
      </border>
    </dxf>
    <dxf>
      <font>
        <b/>
        <i val="0"/>
        <color rgb="FFFF0000"/>
      </font>
    </dxf>
    <dxf>
      <font>
        <b val="0"/>
        <i val="0"/>
        <strike val="0"/>
        <color auto="1"/>
      </font>
      <fill>
        <patternFill patternType="solid">
          <bgColor rgb="FFFFFF00"/>
        </patternFill>
      </fill>
      <border>
        <left/>
        <right/>
        <top/>
        <bottom/>
      </border>
    </dxf>
  </dxfs>
  <tableStyles count="0" defaultTableStyle="TableStyleMedium9" defaultPivotStyle="PivotStyleLight16"/>
  <colors>
    <mruColors>
      <color rgb="FF0000FF"/>
      <color rgb="FFEAF0F6"/>
      <color rgb="FFEAF0FF"/>
      <color rgb="FFFFFFCC"/>
      <color rgb="FFEAFFFF"/>
      <color rgb="FFEAE6F1"/>
      <color rgb="FF009242"/>
      <color rgb="FF66FFFF"/>
      <color rgb="FFFFDDAB"/>
      <color rgb="FFF6F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a:solidFill>
                  <a:schemeClr val="tx1"/>
                </a:solidFill>
              </a:rPr>
              <a:t>Employment</a:t>
            </a:r>
            <a:r>
              <a:rPr lang="en-US" baseline="0">
                <a:solidFill>
                  <a:schemeClr val="tx1"/>
                </a:solidFill>
              </a:rPr>
              <a:t> History Chart</a:t>
            </a:r>
          </a:p>
        </c:rich>
      </c:tx>
      <c:layout>
        <c:manualLayout>
          <c:xMode val="edge"/>
          <c:yMode val="edge"/>
          <c:x val="0.33994120260926752"/>
          <c:y val="8.3750732180623927E-2"/>
        </c:manualLayout>
      </c:layout>
      <c:overlay val="1"/>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lotArea>
      <c:layout>
        <c:manualLayout>
          <c:layoutTarget val="inner"/>
          <c:xMode val="edge"/>
          <c:yMode val="edge"/>
          <c:x val="0.2261895170080484"/>
          <c:y val="0.31350068809407922"/>
          <c:w val="0.69213836642512705"/>
          <c:h val="0.63841189676454657"/>
        </c:manualLayout>
      </c:layout>
      <c:barChart>
        <c:barDir val="bar"/>
        <c:grouping val="stacked"/>
        <c:varyColors val="0"/>
        <c:ser>
          <c:idx val="0"/>
          <c:order val="0"/>
          <c:tx>
            <c:strRef>
              <c:f>'Employment History'!$D$8</c:f>
              <c:strCache>
                <c:ptCount val="1"/>
                <c:pt idx="0">
                  <c:v>Start Date</c:v>
                </c:pt>
              </c:strCache>
            </c:strRef>
          </c:tx>
          <c:spPr>
            <a:noFill/>
            <a:ln>
              <a:noFill/>
            </a:ln>
            <a:effectLst/>
          </c:spPr>
          <c:invertIfNegative val="0"/>
          <c:dLbls>
            <c:delete val="1"/>
          </c:dLbls>
          <c:cat>
            <c:numRef>
              <c:f>'Employment History'!$B$9:$B$24</c:f>
              <c:numCache>
                <c:formatCode>General</c:formatCode>
                <c:ptCount val="16"/>
              </c:numCache>
            </c:numRef>
          </c:cat>
          <c:val>
            <c:numRef>
              <c:f>'Employment History'!$I$9:$I$24</c:f>
              <c:numCache>
                <c:formatCode>m/d/yy;@</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3B3-4592-8035-F6D586B5D41B}"/>
            </c:ext>
          </c:extLst>
        </c:ser>
        <c:ser>
          <c:idx val="1"/>
          <c:order val="1"/>
          <c:tx>
            <c:strRef>
              <c:f>'Employment History'!$H$8</c:f>
              <c:strCache>
                <c:ptCount val="1"/>
                <c:pt idx="0">
                  <c:v>Duration</c:v>
                </c:pt>
              </c:strCache>
            </c:strRef>
          </c:tx>
          <c:spPr>
            <a:solidFill>
              <a:srgbClr val="00B0F0"/>
            </a:solidFill>
            <a:ln>
              <a:solidFill>
                <a:schemeClr val="tx1"/>
              </a:solidFill>
            </a:ln>
            <a:effectLst/>
          </c:spPr>
          <c:invertIfNegative val="0"/>
          <c:dLbls>
            <c:delete val="1"/>
          </c:dLbls>
          <c:cat>
            <c:numRef>
              <c:f>'Employment History'!$B$9:$B$24</c:f>
              <c:numCache>
                <c:formatCode>General</c:formatCode>
                <c:ptCount val="16"/>
              </c:numCache>
            </c:numRef>
          </c:cat>
          <c:val>
            <c:numRef>
              <c:f>'Employment History'!$H$9:$H$24</c:f>
              <c:numCache>
                <c:formatCode>0.00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3B3-4592-8035-F6D586B5D41B}"/>
            </c:ext>
          </c:extLst>
        </c:ser>
        <c:dLbls>
          <c:dLblPos val="inEnd"/>
          <c:showLegendKey val="0"/>
          <c:showVal val="1"/>
          <c:showCatName val="0"/>
          <c:showSerName val="0"/>
          <c:showPercent val="0"/>
          <c:showBubbleSize val="0"/>
        </c:dLbls>
        <c:gapWidth val="150"/>
        <c:overlap val="100"/>
        <c:axId val="138500336"/>
        <c:axId val="138504256"/>
      </c:barChart>
      <c:catAx>
        <c:axId val="138500336"/>
        <c:scaling>
          <c:orientation val="maxMin"/>
        </c:scaling>
        <c:delete val="0"/>
        <c:axPos val="l"/>
        <c:title>
          <c:tx>
            <c:rich>
              <a:bodyPr rot="-5400000" spcFirstLastPara="1" vertOverflow="ellipsis" vert="horz" wrap="square" anchor="ctr" anchorCtr="1"/>
              <a:lstStyle/>
              <a:p>
                <a:pPr>
                  <a:defRPr sz="900" b="1" i="0" u="none" strike="noStrike" kern="1200" baseline="0">
                    <a:solidFill>
                      <a:schemeClr val="tx1"/>
                    </a:solidFill>
                    <a:latin typeface="+mn-lt"/>
                    <a:ea typeface="+mn-ea"/>
                    <a:cs typeface="+mn-cs"/>
                  </a:defRPr>
                </a:pPr>
                <a:r>
                  <a:rPr lang="en-US">
                    <a:solidFill>
                      <a:schemeClr val="tx1"/>
                    </a:solidFill>
                  </a:rPr>
                  <a:t>Employer</a:t>
                </a:r>
              </a:p>
            </c:rich>
          </c:tx>
          <c:layout>
            <c:manualLayout>
              <c:xMode val="edge"/>
              <c:yMode val="edge"/>
              <c:x val="2.1815609391941135E-2"/>
              <c:y val="0.54649460980920828"/>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title>
        <c:numFmt formatCode="m/d/yyyy" sourceLinked="1"/>
        <c:majorTickMark val="none"/>
        <c:minorTickMark val="none"/>
        <c:tickLblPos val="nextTo"/>
        <c:spPr>
          <a:noFill/>
          <a:ln w="6350" cap="flat" cmpd="sng" algn="ctr">
            <a:solidFill>
              <a:schemeClr val="bg2">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8504256"/>
        <c:crosses val="autoZero"/>
        <c:auto val="1"/>
        <c:lblAlgn val="ctr"/>
        <c:lblOffset val="100"/>
        <c:noMultiLvlLbl val="0"/>
      </c:catAx>
      <c:valAx>
        <c:axId val="138504256"/>
        <c:scaling>
          <c:orientation val="minMax"/>
          <c:max val="46415.350000000006"/>
          <c:min val="44565.65"/>
        </c:scaling>
        <c:delete val="0"/>
        <c:axPos val="t"/>
        <c:majorGridlines>
          <c:spPr>
            <a:ln w="6350" cap="flat" cmpd="sng" algn="ctr">
              <a:solidFill>
                <a:schemeClr val="bg2">
                  <a:lumMod val="50000"/>
                  <a:alpha val="96000"/>
                </a:schemeClr>
              </a:solidFill>
              <a:round/>
            </a:ln>
            <a:effectLst/>
          </c:spPr>
        </c:majorGridlines>
        <c:minorGridlines>
          <c:spPr>
            <a:ln w="6350">
              <a:solidFill>
                <a:schemeClr val="bg1">
                  <a:lumMod val="85000"/>
                </a:schemeClr>
              </a:solidFill>
            </a:ln>
            <a:effectLst/>
          </c:spPr>
        </c:minorGridlines>
        <c:title>
          <c:tx>
            <c:rich>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r>
                  <a:rPr lang="en-US">
                    <a:solidFill>
                      <a:schemeClr val="tx1"/>
                    </a:solidFill>
                  </a:rPr>
                  <a:t>Dates of Employment</a:t>
                </a:r>
              </a:p>
            </c:rich>
          </c:tx>
          <c:layout>
            <c:manualLayout>
              <c:xMode val="edge"/>
              <c:yMode val="edge"/>
              <c:x val="0.49188659995378681"/>
              <c:y val="0.1974500887559412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title>
        <c:numFmt formatCode="yyyy"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8500336"/>
        <c:crosses val="autoZero"/>
        <c:crossBetween val="between"/>
        <c:majorUnit val="365"/>
        <c:minorUnit val="30.444999999999997"/>
      </c:valAx>
      <c:spPr>
        <a:noFill/>
        <a:ln>
          <a:noFill/>
        </a:ln>
        <a:effectLst/>
      </c:spPr>
    </c:plotArea>
    <c:plotVisOnly val="0"/>
    <c:dispBlanksAs val="gap"/>
    <c:showDLblsOverMax val="0"/>
  </c:chart>
  <c:spPr>
    <a:solidFill>
      <a:schemeClr val="bg1"/>
    </a:solidFill>
    <a:ln w="22225" cap="flat" cmpd="sng" algn="ctr">
      <a:solidFill>
        <a:schemeClr val="tx1"/>
      </a:solidFill>
      <a:round/>
    </a:ln>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7" dropStyle="combo" dx="26" fmlaLink="$M$70" fmlaRange="$H$66:$H$70" noThreeD="1" sel="0" val="0"/>
</file>

<file path=xl/ctrlProps/ctrlProp6.xml><?xml version="1.0" encoding="utf-8"?>
<formControlPr xmlns="http://schemas.microsoft.com/office/spreadsheetml/2009/9/main" objectType="Radio" firstButton="1" fmlaLink="$N$70"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Drop" dropLines="10" dropStyle="combo" dx="26" fmlaLink="$S$111" fmlaRange="$R$24:$R$41" noThreeD="1" sel="1" val="5"/>
</file>

<file path=xl/ctrlProps/ctrlProp79.xml><?xml version="1.0" encoding="utf-8"?>
<formControlPr xmlns="http://schemas.microsoft.com/office/spreadsheetml/2009/9/main" objectType="CheckBox" fmlaLink="D110" lockText="1" noThreeD="1"/>
</file>

<file path=xl/ctrlProps/ctrlProp80.xml><?xml version="1.0" encoding="utf-8"?>
<formControlPr xmlns="http://schemas.microsoft.com/office/spreadsheetml/2009/9/main" objectType="Radio" checked="Checked" firstButton="1" fmlaLink="$M$110" lockText="1" noThreeD="1"/>
</file>

<file path=xl/ctrlProps/ctrlProp81.xml><?xml version="1.0" encoding="utf-8"?>
<formControlPr xmlns="http://schemas.microsoft.com/office/spreadsheetml/2009/9/main" objectType="Radio"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Radio" lockText="1" noThreeD="1"/>
</file>

<file path=xl/ctrlProps/ctrlProp86.xml><?xml version="1.0" encoding="utf-8"?>
<formControlPr xmlns="http://schemas.microsoft.com/office/spreadsheetml/2009/9/main" objectType="Radio" lockText="1" noThreeD="1"/>
</file>

<file path=xl/ctrlProps/ctrlProp87.xml><?xml version="1.0" encoding="utf-8"?>
<formControlPr xmlns="http://schemas.microsoft.com/office/spreadsheetml/2009/9/main" objectType="Radio"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CheckBox" fmlaLink="D111" lockText="1" noThreeD="1"/>
</file>

<file path=xl/ctrlProps/ctrlProp90.xml><?xml version="1.0" encoding="utf-8"?>
<formControlPr xmlns="http://schemas.microsoft.com/office/spreadsheetml/2009/9/main" objectType="Radio" checked="Checked" firstButton="1" fmlaLink="$M$111"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Radio" lockText="1" noThreeD="1"/>
</file>

<file path=xl/ctrlProps/ctrlProp95.xml><?xml version="1.0" encoding="utf-8"?>
<formControlPr xmlns="http://schemas.microsoft.com/office/spreadsheetml/2009/9/main" objectType="Radio"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Radio"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CheckBox" fmlaLink="$D$112" lockText="1" noThreeD="1"/>
</file>

<file path=xl/ctrlProps/ctrlProp100.xml><?xml version="1.0" encoding="utf-8"?>
<formControlPr xmlns="http://schemas.microsoft.com/office/spreadsheetml/2009/9/main" objectType="Radio" checked="Checked" firstButton="1" fmlaLink="M112"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Radio" lockText="1" noThreeD="1"/>
</file>

<file path=xl/ctrlProps/ctrlProp103.xml><?xml version="1.0" encoding="utf-8"?>
<formControlPr xmlns="http://schemas.microsoft.com/office/spreadsheetml/2009/9/main" objectType="Radio" lockText="1" noThreeD="1"/>
</file>

<file path=xl/ctrlProps/ctrlProp104.xml><?xml version="1.0" encoding="utf-8"?>
<formControlPr xmlns="http://schemas.microsoft.com/office/spreadsheetml/2009/9/main" objectType="Radio" lockText="1" noThreeD="1"/>
</file>

<file path=xl/ctrlProps/ctrlProp105.xml><?xml version="1.0" encoding="utf-8"?>
<formControlPr xmlns="http://schemas.microsoft.com/office/spreadsheetml/2009/9/main" objectType="Radio" lockText="1" noThreeD="1"/>
</file>

<file path=xl/ctrlProps/ctrlProp106.xml><?xml version="1.0" encoding="utf-8"?>
<formControlPr xmlns="http://schemas.microsoft.com/office/spreadsheetml/2009/9/main" objectType="Radio"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Radio" lockText="1" noThreeD="1"/>
</file>

<file path=xl/ctrlProps/ctrlProp109.xml><?xml version="1.0" encoding="utf-8"?>
<formControlPr xmlns="http://schemas.microsoft.com/office/spreadsheetml/2009/9/main" objectType="CheckBox" fmlaLink="$D$113" lockText="1" noThreeD="1"/>
</file>

<file path=xl/ctrlProps/ctrlProp110.xml><?xml version="1.0" encoding="utf-8"?>
<formControlPr xmlns="http://schemas.microsoft.com/office/spreadsheetml/2009/9/main" objectType="Radio" checked="Checked" firstButton="1" fmlaLink="M113" lockText="1" noThreeD="1"/>
</file>

<file path=xl/ctrlProps/ctrlProp111.xml><?xml version="1.0" encoding="utf-8"?>
<formControlPr xmlns="http://schemas.microsoft.com/office/spreadsheetml/2009/9/main" objectType="Radio" lockText="1" noThreeD="1"/>
</file>

<file path=xl/ctrlProps/ctrlProp112.xml><?xml version="1.0" encoding="utf-8"?>
<formControlPr xmlns="http://schemas.microsoft.com/office/spreadsheetml/2009/9/main" objectType="Radio"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Radio" lockText="1" noThreeD="1"/>
</file>

<file path=xl/ctrlProps/ctrlProp115.xml><?xml version="1.0" encoding="utf-8"?>
<formControlPr xmlns="http://schemas.microsoft.com/office/spreadsheetml/2009/9/main" objectType="Radio" lockText="1" noThreeD="1"/>
</file>

<file path=xl/ctrlProps/ctrlProp116.xml><?xml version="1.0" encoding="utf-8"?>
<formControlPr xmlns="http://schemas.microsoft.com/office/spreadsheetml/2009/9/main" objectType="Radio" lockText="1" noThreeD="1"/>
</file>

<file path=xl/ctrlProps/ctrlProp117.xml><?xml version="1.0" encoding="utf-8"?>
<formControlPr xmlns="http://schemas.microsoft.com/office/spreadsheetml/2009/9/main" objectType="Radio" lockText="1" noThreeD="1"/>
</file>

<file path=xl/ctrlProps/ctrlProp118.xml><?xml version="1.0" encoding="utf-8"?>
<formControlPr xmlns="http://schemas.microsoft.com/office/spreadsheetml/2009/9/main" objectType="Radio" lockText="1" noThreeD="1"/>
</file>

<file path=xl/ctrlProps/ctrlProp119.xml><?xml version="1.0" encoding="utf-8"?>
<formControlPr xmlns="http://schemas.microsoft.com/office/spreadsheetml/2009/9/main" objectType="GBox"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GBox" noThreeD="1"/>
</file>

<file path=xl/ctrlProps/ctrlProp122.xml><?xml version="1.0" encoding="utf-8"?>
<formControlPr xmlns="http://schemas.microsoft.com/office/spreadsheetml/2009/9/main" objectType="CheckBox" fmlaLink="$X$109" lockText="1" noThreeD="1"/>
</file>

<file path=xl/ctrlProps/ctrlProp123.xml><?xml version="1.0" encoding="utf-8"?>
<formControlPr xmlns="http://schemas.microsoft.com/office/spreadsheetml/2009/9/main" objectType="CheckBox" fmlaLink="X111" lockText="1" noThreeD="1"/>
</file>

<file path=xl/ctrlProps/ctrlProp124.xml><?xml version="1.0" encoding="utf-8"?>
<formControlPr xmlns="http://schemas.microsoft.com/office/spreadsheetml/2009/9/main" objectType="GBox" noThreeD="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Label"/>
</file>

<file path=xl/ctrlProps/ctrlProp130.xml><?xml version="1.0" encoding="utf-8"?>
<formControlPr xmlns="http://schemas.microsoft.com/office/spreadsheetml/2009/9/main" objectType="Drop" dropStyle="combo" dx="26" fmlaLink="$A$65" fmlaRange="$G$4:$G$10" noThreeD="1" sel="1" val="0"/>
</file>

<file path=xl/ctrlProps/ctrlProp131.xml><?xml version="1.0" encoding="utf-8"?>
<formControlPr xmlns="http://schemas.microsoft.com/office/spreadsheetml/2009/9/main" objectType="Drop" dropStyle="combo" dx="26" fmlaLink="$A$66" fmlaRange="$G$4:$G$10" noThreeD="1" sel="1" val="0"/>
</file>

<file path=xl/ctrlProps/ctrlProp132.xml><?xml version="1.0" encoding="utf-8"?>
<formControlPr xmlns="http://schemas.microsoft.com/office/spreadsheetml/2009/9/main" objectType="Drop" dropStyle="combo" dx="26" fmlaLink="$A$67" fmlaRange="$G$4:$G$10" noThreeD="1" sel="1" val="0"/>
</file>

<file path=xl/ctrlProps/ctrlProp133.xml><?xml version="1.0" encoding="utf-8"?>
<formControlPr xmlns="http://schemas.microsoft.com/office/spreadsheetml/2009/9/main" objectType="Drop" dropStyle="combo" dx="26" fmlaLink="$B$64" fmlaRange="$G$4:$G$10" noThreeD="1" sel="1" val="0"/>
</file>

<file path=xl/ctrlProps/ctrlProp134.xml><?xml version="1.0" encoding="utf-8"?>
<formControlPr xmlns="http://schemas.microsoft.com/office/spreadsheetml/2009/9/main" objectType="Drop" dropLines="17" dropStyle="combo" dx="26" fmlaLink="$A$64" fmlaRange="$M$4:$M$20" noThreeD="1" sel="1" val="0"/>
</file>

<file path=xl/ctrlProps/ctrlProp135.xml><?xml version="1.0" encoding="utf-8"?>
<formControlPr xmlns="http://schemas.microsoft.com/office/spreadsheetml/2009/9/main" objectType="Drop" dropStyle="combo" dx="26" fmlaLink="$C$64" fmlaRange="$J$32:$J$38" noThreeD="1" sel="1" val="0"/>
</file>

<file path=xl/ctrlProps/ctrlProp136.xml><?xml version="1.0" encoding="utf-8"?>
<formControlPr xmlns="http://schemas.microsoft.com/office/spreadsheetml/2009/9/main" objectType="Drop" dropStyle="combo" dx="26" fmlaLink="$C$65" fmlaRange="$J$32:$J$38" noThreeD="1" sel="1" val="0"/>
</file>

<file path=xl/ctrlProps/ctrlProp137.xml><?xml version="1.0" encoding="utf-8"?>
<formControlPr xmlns="http://schemas.microsoft.com/office/spreadsheetml/2009/9/main" objectType="Drop" dropStyle="combo" dx="26" fmlaLink="$C$66" fmlaRange="$J$32:$J$38" noThreeD="1" sel="1" val="0"/>
</file>

<file path=xl/ctrlProps/ctrlProp138.xml><?xml version="1.0" encoding="utf-8"?>
<formControlPr xmlns="http://schemas.microsoft.com/office/spreadsheetml/2009/9/main" objectType="Drop" dropStyle="combo" dx="26" fmlaLink="$C$67" fmlaRange="$J$32:$J$38" noThreeD="1" sel="1" val="0"/>
</file>

<file path=xl/ctrlProps/ctrlProp139.xml><?xml version="1.0" encoding="utf-8"?>
<formControlPr xmlns="http://schemas.microsoft.com/office/spreadsheetml/2009/9/main" objectType="Drop" dropLines="17" dropStyle="combo" dx="26" fmlaLink="$D$64" fmlaRange="$L$33:$L$49" noThreeD="1" sel="1" val="0"/>
</file>

<file path=xl/ctrlProps/ctrlProp140.xml><?xml version="1.0" encoding="utf-8"?>
<formControlPr xmlns="http://schemas.microsoft.com/office/spreadsheetml/2009/9/main" objectType="CheckBox" fmlaLink="$L$66" lockText="1" noThreeD="1"/>
</file>

<file path=xl/ctrlProps/ctrlProp141.xml><?xml version="1.0" encoding="utf-8"?>
<formControlPr xmlns="http://schemas.microsoft.com/office/spreadsheetml/2009/9/main" objectType="CheckBox" fmlaLink="$L$67" lockText="1" noThreeD="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Drop" dropLines="4" dropStyle="combo" dx="26" fmlaLink="$K$56" fmlaRange="$I$4:$I$7" noThreeD="1" sel="1" val="0"/>
</file>

<file path=xl/ctrlProps/ctrlProp147.xml><?xml version="1.0" encoding="utf-8"?>
<formControlPr xmlns="http://schemas.microsoft.com/office/spreadsheetml/2009/9/main" objectType="Drop" dropLines="6" dropStyle="combo" dx="26" fmlaLink="$M$56" fmlaRange="$K$5:$K$10" noThreeD="1" sel="1" val="0"/>
</file>

<file path=xl/ctrlProps/ctrlProp148.xml><?xml version="1.0" encoding="utf-8"?>
<formControlPr xmlns="http://schemas.microsoft.com/office/spreadsheetml/2009/9/main" objectType="Drop" dropLines="4" dropStyle="combo" dx="26" fmlaLink="$K$57" fmlaRange="$I$30:$I$33" noThreeD="1" sel="1" val="0"/>
</file>

<file path=xl/ctrlProps/ctrlProp149.xml><?xml version="1.0" encoding="utf-8"?>
<formControlPr xmlns="http://schemas.microsoft.com/office/spreadsheetml/2009/9/main" objectType="Drop" dropLines="6" dropStyle="combo" dx="26" fmlaLink="$M$57" fmlaRange="$K$31:$K$36" noThreeD="1" sel="1" val="0"/>
</file>

<file path=xl/ctrlProps/ctrlProp150.xml><?xml version="1.0" encoding="utf-8"?>
<formControlPr xmlns="http://schemas.microsoft.com/office/spreadsheetml/2009/9/main" objectType="CheckBox" fmlaLink="$K$55" lockText="1" noThreeD="1"/>
</file>

<file path=xl/ctrlProps/ctrlProp151.xml><?xml version="1.0" encoding="utf-8"?>
<formControlPr xmlns="http://schemas.microsoft.com/office/spreadsheetml/2009/9/main" objectType="CheckBox" fmlaLink="$M$55" lockText="1" noThreeD="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CheckBox" fmlaLink="$T$84" lockText="1" noThreeD="1"/>
</file>

<file path=xl/ctrlProps/ctrlProp157.xml><?xml version="1.0" encoding="utf-8"?>
<formControlPr xmlns="http://schemas.microsoft.com/office/spreadsheetml/2009/9/main" objectType="CheckBox" fmlaLink="$T$85" lockText="1" noThreeD="1"/>
</file>

<file path=xl/ctrlProps/ctrlProp158.xml><?xml version="1.0" encoding="utf-8"?>
<formControlPr xmlns="http://schemas.microsoft.com/office/spreadsheetml/2009/9/main" objectType="CheckBox" fmlaLink="$T$86" lockText="1" noThreeD="1"/>
</file>

<file path=xl/ctrlProps/ctrlProp159.xml><?xml version="1.0" encoding="utf-8"?>
<formControlPr xmlns="http://schemas.microsoft.com/office/spreadsheetml/2009/9/main" objectType="CheckBox" fmlaLink="$V$86" lockText="1" noThreeD="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CheckBox" fmlaLink="$X$286" lockText="1" noThreeD="1"/>
</file>

<file path=xl/ctrlProps/ctrlProp165.xml><?xml version="1.0" encoding="utf-8"?>
<formControlPr xmlns="http://schemas.microsoft.com/office/spreadsheetml/2009/9/main" objectType="CheckBox" fmlaLink="$Y$286" lockText="1" noThreeD="1"/>
</file>

<file path=xl/ctrlProps/ctrlProp166.xml><?xml version="1.0" encoding="utf-8"?>
<formControlPr xmlns="http://schemas.microsoft.com/office/spreadsheetml/2009/9/main" objectType="Radio" firstButton="1" fmlaLink="$V$285" lockText="1" noThreeD="1"/>
</file>

<file path=xl/ctrlProps/ctrlProp167.xml><?xml version="1.0" encoding="utf-8"?>
<formControlPr xmlns="http://schemas.microsoft.com/office/spreadsheetml/2009/9/main" objectType="Radio" lockText="1" noThreeD="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CheckBox" fmlaLink="$X$284" lockText="1" noThreeD="1"/>
</file>

<file path=xl/ctrlProps/ctrlProp173.xml><?xml version="1.0" encoding="utf-8"?>
<formControlPr xmlns="http://schemas.microsoft.com/office/spreadsheetml/2009/9/main" objectType="CheckBox" fmlaLink="$C$80" lockText="1" noThreeD="1"/>
</file>

<file path=xl/ctrlProps/ctrlProp174.xml><?xml version="1.0" encoding="utf-8"?>
<formControlPr xmlns="http://schemas.microsoft.com/office/spreadsheetml/2009/9/main" objectType="Radio" firstButton="1" fmlaLink="$V$80" lockText="1" noThreeD="1"/>
</file>

<file path=xl/ctrlProps/ctrlProp175.xml><?xml version="1.0" encoding="utf-8"?>
<formControlPr xmlns="http://schemas.microsoft.com/office/spreadsheetml/2009/9/main" objectType="Drop" dropLines="6" dropStyle="combo" dx="26" fmlaLink="$X$80" fmlaRange="$Z$27:$Z$31" noThreeD="1" sel="0" val="0"/>
</file>

<file path=xl/ctrlProps/ctrlProp176.xml><?xml version="1.0" encoding="utf-8"?>
<formControlPr xmlns="http://schemas.microsoft.com/office/spreadsheetml/2009/9/main" objectType="Radio" firstButton="1" fmlaLink="Y80" lockText="1" noThreeD="1"/>
</file>

<file path=xl/ctrlProps/ctrlProp177.xml><?xml version="1.0" encoding="utf-8"?>
<formControlPr xmlns="http://schemas.microsoft.com/office/spreadsheetml/2009/9/main" objectType="Radio" lockText="1" noThreeD="1"/>
</file>

<file path=xl/ctrlProps/ctrlProp178.xml><?xml version="1.0" encoding="utf-8"?>
<formControlPr xmlns="http://schemas.microsoft.com/office/spreadsheetml/2009/9/main" objectType="GBox" noThreeD="1"/>
</file>

<file path=xl/ctrlProps/ctrlProp179.xml><?xml version="1.0" encoding="utf-8"?>
<formControlPr xmlns="http://schemas.microsoft.com/office/spreadsheetml/2009/9/main" objectType="CheckBox" fmlaLink="$E$80" lockText="1" noThreeD="1"/>
</file>

<file path=xl/ctrlProps/ctrlProp180.xml><?xml version="1.0" encoding="utf-8"?>
<formControlPr xmlns="http://schemas.microsoft.com/office/spreadsheetml/2009/9/main" objectType="CheckBox" fmlaLink="$D$80" lockText="1" noThreeD="1"/>
</file>

<file path=xl/ctrlProps/ctrlProp181.xml><?xml version="1.0" encoding="utf-8"?>
<formControlPr xmlns="http://schemas.microsoft.com/office/spreadsheetml/2009/9/main" objectType="CheckBox" fmlaLink="$G$80" lockText="1" noThreeD="1"/>
</file>

<file path=xl/ctrlProps/ctrlProp182.xml><?xml version="1.0" encoding="utf-8"?>
<formControlPr xmlns="http://schemas.microsoft.com/office/spreadsheetml/2009/9/main" objectType="CheckBox" fmlaLink="$H$80" lockText="1" noThreeD="1"/>
</file>

<file path=xl/ctrlProps/ctrlProp183.xml><?xml version="1.0" encoding="utf-8"?>
<formControlPr xmlns="http://schemas.microsoft.com/office/spreadsheetml/2009/9/main" objectType="CheckBox" fmlaLink="$I$80" lockText="1" noThreeD="1"/>
</file>

<file path=xl/ctrlProps/ctrlProp184.xml><?xml version="1.0" encoding="utf-8"?>
<formControlPr xmlns="http://schemas.microsoft.com/office/spreadsheetml/2009/9/main" objectType="CheckBox" fmlaLink="$J$80" lockText="1" noThreeD="1"/>
</file>

<file path=xl/ctrlProps/ctrlProp185.xml><?xml version="1.0" encoding="utf-8"?>
<formControlPr xmlns="http://schemas.microsoft.com/office/spreadsheetml/2009/9/main" objectType="CheckBox" fmlaLink="$K$80" lockText="1" noThreeD="1"/>
</file>

<file path=xl/ctrlProps/ctrlProp186.xml><?xml version="1.0" encoding="utf-8"?>
<formControlPr xmlns="http://schemas.microsoft.com/office/spreadsheetml/2009/9/main" objectType="CheckBox" fmlaLink="$L$80" lockText="1" noThreeD="1"/>
</file>

<file path=xl/ctrlProps/ctrlProp187.xml><?xml version="1.0" encoding="utf-8"?>
<formControlPr xmlns="http://schemas.microsoft.com/office/spreadsheetml/2009/9/main" objectType="CheckBox" fmlaLink="$M$80" lockText="1" noThreeD="1"/>
</file>

<file path=xl/ctrlProps/ctrlProp188.xml><?xml version="1.0" encoding="utf-8"?>
<formControlPr xmlns="http://schemas.microsoft.com/office/spreadsheetml/2009/9/main" objectType="CheckBox" fmlaLink="$C$81" lockText="1" noThreeD="1"/>
</file>

<file path=xl/ctrlProps/ctrlProp189.xml><?xml version="1.0" encoding="utf-8"?>
<formControlPr xmlns="http://schemas.microsoft.com/office/spreadsheetml/2009/9/main" objectType="GBox" noThreeD="1"/>
</file>

<file path=xl/ctrlProps/ctrlProp190.xml><?xml version="1.0" encoding="utf-8"?>
<formControlPr xmlns="http://schemas.microsoft.com/office/spreadsheetml/2009/9/main" objectType="CheckBox" fmlaLink="$C$82" lockText="1" noThreeD="1"/>
</file>

<file path=xl/ctrlProps/ctrlProp191.xml><?xml version="1.0" encoding="utf-8"?>
<formControlPr xmlns="http://schemas.microsoft.com/office/spreadsheetml/2009/9/main" objectType="GBox" noThreeD="1"/>
</file>

<file path=xl/ctrlProps/ctrlProp192.xml><?xml version="1.0" encoding="utf-8"?>
<formControlPr xmlns="http://schemas.microsoft.com/office/spreadsheetml/2009/9/main" objectType="GBox" noThreeD="1"/>
</file>

<file path=xl/ctrlProps/ctrlProp193.xml><?xml version="1.0" encoding="utf-8"?>
<formControlPr xmlns="http://schemas.microsoft.com/office/spreadsheetml/2009/9/main" objectType="Radio" lockText="1" noThreeD="1"/>
</file>

<file path=xl/ctrlProps/ctrlProp194.xml><?xml version="1.0" encoding="utf-8"?>
<formControlPr xmlns="http://schemas.microsoft.com/office/spreadsheetml/2009/9/main" objectType="GBox" noThreeD="1"/>
</file>

<file path=xl/ctrlProps/ctrlProp195.xml><?xml version="1.0" encoding="utf-8"?>
<formControlPr xmlns="http://schemas.microsoft.com/office/spreadsheetml/2009/9/main" objectType="CheckBox" fmlaLink="$F$80" lockText="1" noThreeD="1"/>
</file>

<file path=xl/ctrlProps/ctrlProp196.xml><?xml version="1.0" encoding="utf-8"?>
<formControlPr xmlns="http://schemas.microsoft.com/office/spreadsheetml/2009/9/main" objectType="CheckBox" fmlaLink="$Y$81" lockText="1" noThreeD="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CheckBox" fmlaLink="$U$65" lockText="1" noThreeD="1"/>
</file>

<file path=xl/ctrlProps/ctrlProp202.xml><?xml version="1.0" encoding="utf-8"?>
<formControlPr xmlns="http://schemas.microsoft.com/office/spreadsheetml/2009/9/main" objectType="CheckBox" fmlaLink="$U$66" lockText="1" noThreeD="1"/>
</file>

<file path=xl/ctrlProps/ctrlProp203.xml><?xml version="1.0" encoding="utf-8"?>
<formControlPr xmlns="http://schemas.microsoft.com/office/spreadsheetml/2009/9/main" objectType="CheckBox" fmlaLink="$U$67" lockText="1" noThreeD="1"/>
</file>

<file path=xl/ctrlProps/ctrlProp204.xml><?xml version="1.0" encoding="utf-8"?>
<formControlPr xmlns="http://schemas.microsoft.com/office/spreadsheetml/2009/9/main" objectType="CheckBox" fmlaLink="$W$67" lockText="1" noThreeD="1"/>
</file>

<file path=xl/ctrlProps/ctrlProp205.xml><?xml version="1.0" encoding="utf-8"?>
<formControlPr xmlns="http://schemas.microsoft.com/office/spreadsheetml/2009/9/main" objectType="Radio" firstButton="1" fmlaLink="$W$66" lockText="1" noThreeD="1"/>
</file>

<file path=xl/ctrlProps/ctrlProp206.xml><?xml version="1.0" encoding="utf-8"?>
<formControlPr xmlns="http://schemas.microsoft.com/office/spreadsheetml/2009/9/main" objectType="Radio" lockText="1" noThreeD="1"/>
</file>

<file path=xl/ctrlProps/ctrlProp207.xml><?xml version="1.0" encoding="utf-8"?>
<formControlPr xmlns="http://schemas.microsoft.com/office/spreadsheetml/2009/9/main" objectType="Radio" firstButton="1" fmlaLink="$X$66" lockText="1" noThreeD="1"/>
</file>

<file path=xl/ctrlProps/ctrlProp208.xml><?xml version="1.0" encoding="utf-8"?>
<formControlPr xmlns="http://schemas.microsoft.com/office/spreadsheetml/2009/9/main" objectType="Radio" lockText="1" noThreeD="1"/>
</file>

<file path=xl/ctrlProps/ctrlProp209.xml><?xml version="1.0" encoding="utf-8"?>
<formControlPr xmlns="http://schemas.microsoft.com/office/spreadsheetml/2009/9/main" objectType="GBox" noThreeD="1"/>
</file>

<file path=xl/ctrlProps/ctrlProp210.xml><?xml version="1.0" encoding="utf-8"?>
<formControlPr xmlns="http://schemas.microsoft.com/office/spreadsheetml/2009/9/main" objectType="GBox" noThreeD="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GBox" noThreeD="1"/>
</file>

<file path=xl/ctrlProps/ctrlProp216.xml><?xml version="1.0" encoding="utf-8"?>
<formControlPr xmlns="http://schemas.microsoft.com/office/spreadsheetml/2009/9/main" objectType="CheckBox" fmlaLink="$P$54" lockText="1" noThreeD="1"/>
</file>

<file path=xl/ctrlProps/ctrlProp217.xml><?xml version="1.0" encoding="utf-8"?>
<formControlPr xmlns="http://schemas.microsoft.com/office/spreadsheetml/2009/9/main" objectType="Drop" dropLines="7" dropStyle="combo" dx="26" fmlaLink="$P$53" fmlaRange="$A$5:$A$11" noThreeD="1" sel="1" val="0"/>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CheckBox" fmlaLink="$J$85" lockText="1" noThreeD="1"/>
</file>

<file path=xl/ctrlProps/ctrlProp222.xml><?xml version="1.0" encoding="utf-8"?>
<formControlPr xmlns="http://schemas.microsoft.com/office/spreadsheetml/2009/9/main" objectType="Radio" firstButton="1" fmlaLink="$K$84" lockText="1" noThreeD="1"/>
</file>

<file path=xl/ctrlProps/ctrlProp223.xml><?xml version="1.0" encoding="utf-8"?>
<formControlPr xmlns="http://schemas.microsoft.com/office/spreadsheetml/2009/9/main" objectType="Radio" lockText="1" noThreeD="1"/>
</file>

<file path=xl/ctrlProps/ctrlProp224.xml><?xml version="1.0" encoding="utf-8"?>
<formControlPr xmlns="http://schemas.microsoft.com/office/spreadsheetml/2009/9/main" objectType="Radio" firstButton="1" fmlaLink="$K$85" lockText="1" noThreeD="1"/>
</file>

<file path=xl/ctrlProps/ctrlProp225.xml><?xml version="1.0" encoding="utf-8"?>
<formControlPr xmlns="http://schemas.microsoft.com/office/spreadsheetml/2009/9/main" objectType="Radio" lockText="1" noThreeD="1"/>
</file>

<file path=xl/ctrlProps/ctrlProp226.xml><?xml version="1.0" encoding="utf-8"?>
<formControlPr xmlns="http://schemas.microsoft.com/office/spreadsheetml/2009/9/main" objectType="GBox" noThreeD="1"/>
</file>

<file path=xl/ctrlProps/ctrlProp227.xml><?xml version="1.0" encoding="utf-8"?>
<formControlPr xmlns="http://schemas.microsoft.com/office/spreadsheetml/2009/9/main" objectType="GBox" noThreeD="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CheckBox" fmlaLink="$U$68" lockText="1" noThreeD="1"/>
</file>

<file path=xl/ctrlProps/ctrlProp233.xml><?xml version="1.0" encoding="utf-8"?>
<formControlPr xmlns="http://schemas.microsoft.com/office/spreadsheetml/2009/9/main" objectType="CheckBox" fmlaLink="$U$69" lockText="1" noThreeD="1"/>
</file>

<file path=xl/ctrlProps/ctrlProp234.xml><?xml version="1.0" encoding="utf-8"?>
<formControlPr xmlns="http://schemas.microsoft.com/office/spreadsheetml/2009/9/main" objectType="CheckBox" fmlaLink="$U$70" lockText="1" noThreeD="1"/>
</file>

<file path=xl/ctrlProps/ctrlProp235.xml><?xml version="1.0" encoding="utf-8"?>
<formControlPr xmlns="http://schemas.microsoft.com/office/spreadsheetml/2009/9/main" objectType="CheckBox" fmlaLink="$W$70" lockText="1" noThreeD="1"/>
</file>

<file path=xl/ctrlProps/ctrlProp236.xml><?xml version="1.0" encoding="utf-8"?>
<formControlPr xmlns="http://schemas.microsoft.com/office/spreadsheetml/2009/9/main" objectType="Radio" checked="Checked" firstButton="1" fmlaLink="$W$69" lockText="1" noThreeD="1"/>
</file>

<file path=xl/ctrlProps/ctrlProp237.xml><?xml version="1.0" encoding="utf-8"?>
<formControlPr xmlns="http://schemas.microsoft.com/office/spreadsheetml/2009/9/main" objectType="Radio" lockText="1" noThreeD="1"/>
</file>

<file path=xl/ctrlProps/ctrlProp238.xml><?xml version="1.0" encoding="utf-8"?>
<formControlPr xmlns="http://schemas.microsoft.com/office/spreadsheetml/2009/9/main" objectType="Drop" dropStyle="combo" dx="26" fmlaLink="$W$68" fmlaRange="$K$7:$K$9" noThreeD="1" sel="2" val="0"/>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CheckBox" fmlaLink="$S$50" lockText="1" noThreeD="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CheckBox" fmlaLink="$U$103" lockText="1" noThreeD="1"/>
</file>

<file path=xl/ctrlProps/ctrlProp249.xml><?xml version="1.0" encoding="utf-8"?>
<formControlPr xmlns="http://schemas.microsoft.com/office/spreadsheetml/2009/9/main" objectType="CheckBox" fmlaLink="$U$104" lockText="1" noThreeD="1"/>
</file>

<file path=xl/ctrlProps/ctrlProp250.xml><?xml version="1.0" encoding="utf-8"?>
<formControlPr xmlns="http://schemas.microsoft.com/office/spreadsheetml/2009/9/main" objectType="CheckBox" fmlaLink="$U$105" lockText="1" noThreeD="1"/>
</file>

<file path=xl/ctrlProps/ctrlProp251.xml><?xml version="1.0" encoding="utf-8"?>
<formControlPr xmlns="http://schemas.microsoft.com/office/spreadsheetml/2009/9/main" objectType="CheckBox" fmlaLink="$W$105" lockText="1" noThreeD="1"/>
</file>

<file path=xl/ctrlProps/ctrlProp252.xml><?xml version="1.0" encoding="utf-8"?>
<formControlPr xmlns="http://schemas.microsoft.com/office/spreadsheetml/2009/9/main" objectType="CheckBox" fmlaLink="$W$103" lockText="1" noThreeD="1"/>
</file>

<file path=xl/ctrlProps/ctrlProp253.xml><?xml version="1.0" encoding="utf-8"?>
<formControlPr xmlns="http://schemas.microsoft.com/office/spreadsheetml/2009/9/main" objectType="CheckBox" fmlaLink="$W$104" lockText="1" noThreeD="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CheckBox" fmlaLink="$P$75" lockText="1" noThreeD="1"/>
</file>

<file path=xl/ctrlProps/ctrlProp259.xml><?xml version="1.0" encoding="utf-8"?>
<formControlPr xmlns="http://schemas.microsoft.com/office/spreadsheetml/2009/9/main" objectType="CheckBox" fmlaLink="$P$74" lockText="1" noThreeD="1"/>
</file>

<file path=xl/ctrlProps/ctrlProp260.xml><?xml version="1.0" encoding="utf-8"?>
<formControlPr xmlns="http://schemas.microsoft.com/office/spreadsheetml/2009/9/main" objectType="CheckBox" fmlaLink="$N$73" lockText="1" noThreeD="1"/>
</file>

<file path=xl/ctrlProps/ctrlProp261.xml><?xml version="1.0" encoding="utf-8"?>
<formControlPr xmlns="http://schemas.microsoft.com/office/spreadsheetml/2009/9/main" objectType="CheckBox" fmlaLink="$N$74" lockText="1" noThreeD="1"/>
</file>

<file path=xl/ctrlProps/ctrlProp262.xml><?xml version="1.0" encoding="utf-8"?>
<formControlPr xmlns="http://schemas.microsoft.com/office/spreadsheetml/2009/9/main" objectType="CheckBox" fmlaLink="$N$75" lockText="1" noThreeD="1"/>
</file>

<file path=xl/ctrlProps/ctrlProp263.xml><?xml version="1.0" encoding="utf-8"?>
<formControlPr xmlns="http://schemas.microsoft.com/office/spreadsheetml/2009/9/main" objectType="CheckBox" fmlaLink="$M$75" lockText="1" noThreeD="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CheckBox" fmlaLink="$M$59" lockText="1" noThreeD="1"/>
</file>

<file path=xl/ctrlProps/ctrlProp269.xml><?xml version="1.0" encoding="utf-8"?>
<formControlPr xmlns="http://schemas.microsoft.com/office/spreadsheetml/2009/9/main" objectType="Drop" dropLines="9" dropStyle="combo" dx="26" fmlaLink="$A$60" fmlaRange="$O$3:$O$10" noThreeD="1" sel="1" val="0"/>
</file>

<file path=xl/ctrlProps/ctrlProp270.xml><?xml version="1.0" encoding="utf-8"?>
<formControlPr xmlns="http://schemas.microsoft.com/office/spreadsheetml/2009/9/main" objectType="Drop" dropStyle="combo" dx="26" fmlaLink="$B$60" fmlaRange="$O$3:$O$10" noThreeD="1" sel="1" val="0"/>
</file>

<file path=xl/ctrlProps/ctrlProp271.xml><?xml version="1.0" encoding="utf-8"?>
<formControlPr xmlns="http://schemas.microsoft.com/office/spreadsheetml/2009/9/main" objectType="Drop" dropStyle="combo" dx="26" fmlaLink="$C$60" fmlaRange="$O$3:$O$10" noThreeD="1" sel="1" val="0"/>
</file>

<file path=xl/ctrlProps/ctrlProp272.xml><?xml version="1.0" encoding="utf-8"?>
<formControlPr xmlns="http://schemas.microsoft.com/office/spreadsheetml/2009/9/main" objectType="Drop" dropStyle="combo" dx="26" fmlaLink="$D$60" fmlaRange="$O$3:$O$10" noThreeD="1" sel="1" val="0"/>
</file>

<file path=xl/ctrlProps/ctrlProp273.xml><?xml version="1.0" encoding="utf-8"?>
<formControlPr xmlns="http://schemas.microsoft.com/office/spreadsheetml/2009/9/main" objectType="Drop" dropStyle="combo" dx="26" fmlaLink="$E$60" fmlaRange="$O$3:$O$10" noThreeD="1" sel="1" val="0"/>
</file>

<file path=xl/ctrlProps/ctrlProp274.xml><?xml version="1.0" encoding="utf-8"?>
<formControlPr xmlns="http://schemas.microsoft.com/office/spreadsheetml/2009/9/main" objectType="CheckBox" fmlaLink="$M$60" lockText="1" noThreeD="1"/>
</file>

<file path=xl/ctrlProps/ctrlProp275.xml><?xml version="1.0" encoding="utf-8"?>
<formControlPr xmlns="http://schemas.microsoft.com/office/spreadsheetml/2009/9/main" objectType="CheckBox" fmlaLink="$M$61" lockText="1" noThreeD="1"/>
</file>

<file path=xl/ctrlProps/ctrlProp276.xml><?xml version="1.0" encoding="utf-8"?>
<formControlPr xmlns="http://schemas.microsoft.com/office/spreadsheetml/2009/9/main" objectType="CheckBox" fmlaLink="$N$59" lockText="1" noThreeD="1"/>
</file>

<file path=xl/ctrlProps/ctrlProp277.xml><?xml version="1.0" encoding="utf-8"?>
<formControlPr xmlns="http://schemas.microsoft.com/office/spreadsheetml/2009/9/main" objectType="CheckBox" fmlaLink="$N$60" lockText="1" noThreeD="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CheckBox" fmlaLink="$N$69" lockText="1" noThreeD="1"/>
</file>

<file path=xl/ctrlProps/ctrlProp283.xml><?xml version="1.0" encoding="utf-8"?>
<formControlPr xmlns="http://schemas.microsoft.com/office/spreadsheetml/2009/9/main" objectType="CheckBox" fmlaLink="$N$68" lockText="1" noThreeD="1"/>
</file>

<file path=xl/ctrlProps/ctrlProp284.xml><?xml version="1.0" encoding="utf-8"?>
<formControlPr xmlns="http://schemas.microsoft.com/office/spreadsheetml/2009/9/main" objectType="CheckBox" fmlaLink="$M$68" lockText="1" noThreeD="1"/>
</file>

<file path=xl/ctrlProps/ctrlProp285.xml><?xml version="1.0" encoding="utf-8"?>
<formControlPr xmlns="http://schemas.microsoft.com/office/spreadsheetml/2009/9/main" objectType="CheckBox" fmlaLink="$M$69" lockText="1" noThreeD="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CheckBox" fmlaLink="$L$68" lockText="1" noThreeD="1"/>
</file>

<file path=xl/ctrlProps/ctrlProp291.xml><?xml version="1.0" encoding="utf-8"?>
<formControlPr xmlns="http://schemas.microsoft.com/office/spreadsheetml/2009/9/main" objectType="CheckBox" fmlaLink="$N$71" lockText="1" noThreeD="1"/>
</file>

<file path=xl/ctrlProps/ctrlProp292.xml><?xml version="1.0" encoding="utf-8"?>
<formControlPr xmlns="http://schemas.microsoft.com/office/spreadsheetml/2009/9/main" objectType="CheckBox" fmlaLink="$N$70" lockText="1" noThreeD="1"/>
</file>

<file path=xl/ctrlProps/ctrlProp293.xml><?xml version="1.0" encoding="utf-8"?>
<formControlPr xmlns="http://schemas.microsoft.com/office/spreadsheetml/2009/9/main" objectType="CheckBox" fmlaLink="$M$70" lockText="1" noThreeD="1"/>
</file>

<file path=xl/ctrlProps/ctrlProp294.xml><?xml version="1.0" encoding="utf-8"?>
<formControlPr xmlns="http://schemas.microsoft.com/office/spreadsheetml/2009/9/main" objectType="CheckBox" fmlaLink="$M$69" lockText="1" noThreeD="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CheckBox" fmlaLink="$L$69" lockText="1" noThreeD="1"/>
</file>

<file path=xl/ctrlProps/ctrlProp300.xml><?xml version="1.0" encoding="utf-8"?>
<formControlPr xmlns="http://schemas.microsoft.com/office/spreadsheetml/2009/9/main" objectType="CheckBox" fmlaLink="$N$70" lockText="1" noThreeD="1"/>
</file>

<file path=xl/ctrlProps/ctrlProp301.xml><?xml version="1.0" encoding="utf-8"?>
<formControlPr xmlns="http://schemas.microsoft.com/office/spreadsheetml/2009/9/main" objectType="CheckBox" fmlaLink="$N$69" lockText="1" noThreeD="1"/>
</file>

<file path=xl/ctrlProps/ctrlProp302.xml><?xml version="1.0" encoding="utf-8"?>
<formControlPr xmlns="http://schemas.microsoft.com/office/spreadsheetml/2009/9/main" objectType="CheckBox" fmlaLink="$M$68" lockText="1" noThreeD="1"/>
</file>

<file path=xl/ctrlProps/ctrlProp303.xml><?xml version="1.0" encoding="utf-8"?>
<formControlPr xmlns="http://schemas.microsoft.com/office/spreadsheetml/2009/9/main" objectType="CheckBox" fmlaLink="$M$69" lockText="1" noThreeD="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CheckBox" fmlaLink="$L$68" lockText="1" noThreeD="1"/>
</file>

<file path=xl/ctrlProps/ctrlProp309.xml><?xml version="1.0" encoding="utf-8"?>
<formControlPr xmlns="http://schemas.microsoft.com/office/spreadsheetml/2009/9/main" objectType="CheckBox" fmlaLink="$N$64" lockText="1" noThreeD="1"/>
</file>

<file path=xl/ctrlProps/ctrlProp310.xml><?xml version="1.0" encoding="utf-8"?>
<formControlPr xmlns="http://schemas.microsoft.com/office/spreadsheetml/2009/9/main" objectType="CheckBox" fmlaLink="$N$63" lockText="1" noThreeD="1"/>
</file>

<file path=xl/ctrlProps/ctrlProp311.xml><?xml version="1.0" encoding="utf-8"?>
<formControlPr xmlns="http://schemas.microsoft.com/office/spreadsheetml/2009/9/main" objectType="CheckBox" fmlaLink="$N$62" lockText="1" noThreeD="1"/>
</file>

<file path=xl/ctrlProps/ctrlProp312.xml><?xml version="1.0" encoding="utf-8"?>
<formControlPr xmlns="http://schemas.microsoft.com/office/spreadsheetml/2009/9/main" objectType="Radio" checked="Checked" firstButton="1" fmlaLink="$M$64" lockText="1" noThreeD="1"/>
</file>

<file path=xl/ctrlProps/ctrlProp313.xml><?xml version="1.0" encoding="utf-8"?>
<formControlPr xmlns="http://schemas.microsoft.com/office/spreadsheetml/2009/9/main" objectType="Radio" lockText="1" noThreeD="1"/>
</file>

<file path=xl/ctrlProps/ctrlProp314.xml><?xml version="1.0" encoding="utf-8"?>
<formControlPr xmlns="http://schemas.microsoft.com/office/spreadsheetml/2009/9/main" objectType="CheckBox" fmlaLink="$M$62" lockText="1" noThreeD="1"/>
</file>

<file path=xl/ctrlProps/ctrlProp315.xml><?xml version="1.0" encoding="utf-8"?>
<formControlPr xmlns="http://schemas.microsoft.com/office/spreadsheetml/2009/9/main" objectType="CheckBox" fmlaLink="$M$63" lockText="1" noThreeD="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CheckBox" fmlaLink="$L$62" lockText="1" noThreeD="1"/>
</file>

<file path=xl/ctrlProps/ctrlProp321.xml><?xml version="1.0" encoding="utf-8"?>
<formControlPr xmlns="http://schemas.microsoft.com/office/spreadsheetml/2009/9/main" objectType="CheckBox" fmlaLink="$N$65" lockText="1" noThreeD="1"/>
</file>

<file path=xl/ctrlProps/ctrlProp322.xml><?xml version="1.0" encoding="utf-8"?>
<formControlPr xmlns="http://schemas.microsoft.com/office/spreadsheetml/2009/9/main" objectType="CheckBox" fmlaLink="$N$64" lockText="1" noThreeD="1"/>
</file>

<file path=xl/ctrlProps/ctrlProp323.xml><?xml version="1.0" encoding="utf-8"?>
<formControlPr xmlns="http://schemas.microsoft.com/office/spreadsheetml/2009/9/main" objectType="CheckBox" fmlaLink="$M$63" lockText="1" noThreeD="1"/>
</file>

<file path=xl/ctrlProps/ctrlProp324.xml><?xml version="1.0" encoding="utf-8"?>
<formControlPr xmlns="http://schemas.microsoft.com/office/spreadsheetml/2009/9/main" objectType="CheckBox" fmlaLink="$M$64" lockText="1" noThreeD="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CheckBox" fmlaLink="$L$63" lockText="1" noThreeD="1"/>
</file>

<file path=xl/ctrlProps/ctrlProp330.xml><?xml version="1.0" encoding="utf-8"?>
<formControlPr xmlns="http://schemas.microsoft.com/office/spreadsheetml/2009/9/main" objectType="CheckBox" fmlaLink="$Q$74" lockText="1" noThreeD="1"/>
</file>

<file path=xl/ctrlProps/ctrlProp331.xml><?xml version="1.0" encoding="utf-8"?>
<formControlPr xmlns="http://schemas.microsoft.com/office/spreadsheetml/2009/9/main" objectType="Radio" firstButton="1" fmlaLink="$M$75" lockText="1" noThreeD="1"/>
</file>

<file path=xl/ctrlProps/ctrlProp332.xml><?xml version="1.0" encoding="utf-8"?>
<formControlPr xmlns="http://schemas.microsoft.com/office/spreadsheetml/2009/9/main" objectType="Radio" lockText="1" noThreeD="1"/>
</file>

<file path=xl/ctrlProps/ctrlProp333.xml><?xml version="1.0" encoding="utf-8"?>
<formControlPr xmlns="http://schemas.microsoft.com/office/spreadsheetml/2009/9/main" objectType="Radio" firstButton="1" fmlaLink="$Q$75" lockText="1" noThreeD="1"/>
</file>

<file path=xl/ctrlProps/ctrlProp334.xml><?xml version="1.0" encoding="utf-8"?>
<formControlPr xmlns="http://schemas.microsoft.com/office/spreadsheetml/2009/9/main" objectType="Radio" lockText="1" noThreeD="1"/>
</file>

<file path=xl/ctrlProps/ctrlProp335.xml><?xml version="1.0" encoding="utf-8"?>
<formControlPr xmlns="http://schemas.microsoft.com/office/spreadsheetml/2009/9/main" objectType="GBox" noThreeD="1"/>
</file>

<file path=xl/ctrlProps/ctrlProp336.xml><?xml version="1.0" encoding="utf-8"?>
<formControlPr xmlns="http://schemas.microsoft.com/office/spreadsheetml/2009/9/main" objectType="GBox" noThreeD="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CheckBox" fmlaLink="$O$76" lockText="1" noThreeD="1"/>
</file>

<file path=xl/ctrlProps/ctrlProp341.xml><?xml version="1.0" encoding="utf-8"?>
<formControlPr xmlns="http://schemas.microsoft.com/office/spreadsheetml/2009/9/main" objectType="Drop" dropLines="3" dropStyle="combo" dx="26" fmlaLink="$M$77" fmlaRange="$I$7:$I$9" noThreeD="1" sel="1" val="0"/>
</file>

<file path=xl/ctrlProps/ctrlProp342.xml><?xml version="1.0" encoding="utf-8"?>
<formControlPr xmlns="http://schemas.microsoft.com/office/spreadsheetml/2009/9/main" objectType="Radio" firstButton="1" fmlaLink="$L$77" lockText="1" noThreeD="1"/>
</file>

<file path=xl/ctrlProps/ctrlProp343.xml><?xml version="1.0" encoding="utf-8"?>
<formControlPr xmlns="http://schemas.microsoft.com/office/spreadsheetml/2009/9/main" objectType="Radio" lockText="1" noThreeD="1"/>
</file>

<file path=xl/ctrlProps/ctrlProp344.xml><?xml version="1.0" encoding="utf-8"?>
<formControlPr xmlns="http://schemas.microsoft.com/office/spreadsheetml/2009/9/main" objectType="Radio" firstButton="1" fmlaLink="$O$77" lockText="1" noThreeD="1"/>
</file>

<file path=xl/ctrlProps/ctrlProp345.xml><?xml version="1.0" encoding="utf-8"?>
<formControlPr xmlns="http://schemas.microsoft.com/office/spreadsheetml/2009/9/main" objectType="Radio" lockText="1" noThreeD="1"/>
</file>

<file path=xl/ctrlProps/ctrlProp346.xml><?xml version="1.0" encoding="utf-8"?>
<formControlPr xmlns="http://schemas.microsoft.com/office/spreadsheetml/2009/9/main" objectType="Radio" firstButton="1" fmlaLink="$L$78" lockText="1" noThreeD="1"/>
</file>

<file path=xl/ctrlProps/ctrlProp347.xml><?xml version="1.0" encoding="utf-8"?>
<formControlPr xmlns="http://schemas.microsoft.com/office/spreadsheetml/2009/9/main" objectType="Radio" lockText="1" noThreeD="1"/>
</file>

<file path=xl/ctrlProps/ctrlProp348.xml><?xml version="1.0" encoding="utf-8"?>
<formControlPr xmlns="http://schemas.microsoft.com/office/spreadsheetml/2009/9/main" objectType="GBox" noThreeD="1"/>
</file>

<file path=xl/ctrlProps/ctrlProp349.xml><?xml version="1.0" encoding="utf-8"?>
<formControlPr xmlns="http://schemas.microsoft.com/office/spreadsheetml/2009/9/main" objectType="GBox" noThreeD="1"/>
</file>

<file path=xl/ctrlProps/ctrlProp350.xml><?xml version="1.0" encoding="utf-8"?>
<formControlPr xmlns="http://schemas.microsoft.com/office/spreadsheetml/2009/9/main" objectType="Radio" firstButton="1" fmlaLink="$AF$77" lockText="1" noThreeD="1"/>
</file>

<file path=xl/ctrlProps/ctrlProp351.xml><?xml version="1.0" encoding="utf-8"?>
<formControlPr xmlns="http://schemas.microsoft.com/office/spreadsheetml/2009/9/main" objectType="Radio" lockText="1"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CheckBox" fmlaLink="$N$73" lockText="1" noThreeD="1"/>
</file>

<file path=xl/ctrlProps/ctrlProp358.xml><?xml version="1.0" encoding="utf-8"?>
<formControlPr xmlns="http://schemas.microsoft.com/office/spreadsheetml/2009/9/main" objectType="Drop" dropLines="3" dropStyle="combo" dx="26" fmlaLink="$M$74" fmlaRange="$I$7:$I$9" noThreeD="1" sel="1" val="0"/>
</file>

<file path=xl/ctrlProps/ctrlProp359.xml><?xml version="1.0" encoding="utf-8"?>
<formControlPr xmlns="http://schemas.microsoft.com/office/spreadsheetml/2009/9/main" objectType="Radio" firstButton="1" fmlaLink="$L$74" lockText="1" noThreeD="1"/>
</file>

<file path=xl/ctrlProps/ctrlProp360.xml><?xml version="1.0" encoding="utf-8"?>
<formControlPr xmlns="http://schemas.microsoft.com/office/spreadsheetml/2009/9/main" objectType="Radio" lockText="1" noThreeD="1"/>
</file>

<file path=xl/ctrlProps/ctrlProp361.xml><?xml version="1.0" encoding="utf-8"?>
<formControlPr xmlns="http://schemas.microsoft.com/office/spreadsheetml/2009/9/main" objectType="Radio" firstButton="1" fmlaLink="$L$75" lockText="1" noThreeD="1"/>
</file>

<file path=xl/ctrlProps/ctrlProp362.xml><?xml version="1.0" encoding="utf-8"?>
<formControlPr xmlns="http://schemas.microsoft.com/office/spreadsheetml/2009/9/main" objectType="Radio" lockText="1" noThreeD="1"/>
</file>

<file path=xl/ctrlProps/ctrlProp363.xml><?xml version="1.0" encoding="utf-8"?>
<formControlPr xmlns="http://schemas.microsoft.com/office/spreadsheetml/2009/9/main" objectType="GBox" noThreeD="1"/>
</file>

<file path=xl/ctrlProps/ctrlProp364.xml><?xml version="1.0" encoding="utf-8"?>
<formControlPr xmlns="http://schemas.microsoft.com/office/spreadsheetml/2009/9/main" objectType="GBox"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Drop" dropLines="20" dropStyle="combo" dx="26" fmlaLink="$M$67" fmlaRange="$P$1:$P$53" noThreeD="1" sel="1" val="0"/>
</file>

<file path=xl/ctrlProps/ctrlProp372.xml><?xml version="1.0" encoding="utf-8"?>
<formControlPr xmlns="http://schemas.microsoft.com/office/spreadsheetml/2009/9/main" objectType="Drop" dropStyle="combo" dx="26" fmlaLink="$N$67" fmlaRange="$Q$1:$Q$8" noThreeD="1" sel="1" val="0"/>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Drop" dropLines="14" dropStyle="combo" dx="26" fmlaLink="$G$16" fmlaRange="$B$9:$B$22" noThreeD="1" sel="1" val="0"/>
</file>

<file path=xl/ctrlProps/ctrlProp378.xml><?xml version="1.0" encoding="utf-8"?>
<formControlPr xmlns="http://schemas.microsoft.com/office/spreadsheetml/2009/9/main" objectType="Drop" dropLines="14" dropStyle="combo" dx="26" fmlaLink="$G$18" fmlaRange="$B$9:$B$22" noThreeD="1" sel="1" val="0"/>
</file>

<file path=xl/ctrlProps/ctrlProp379.xml><?xml version="1.0" encoding="utf-8"?>
<formControlPr xmlns="http://schemas.microsoft.com/office/spreadsheetml/2009/9/main" objectType="Drop" dropLines="14" dropStyle="combo" dx="26" fmlaLink="$G$20" fmlaRange="$B$9:$B$22" noThreeD="1" sel="1" val="0"/>
</file>

<file path=xl/ctrlProps/ctrlProp380.xml><?xml version="1.0" encoding="utf-8"?>
<formControlPr xmlns="http://schemas.microsoft.com/office/spreadsheetml/2009/9/main" objectType="Drop" dropLines="14" dropStyle="combo" dx="26" fmlaLink="$G$22" fmlaRange="$B$9:$B$22" noThreeD="1" sel="1" val="0"/>
</file>

<file path=xl/ctrlProps/ctrlProp381.xml><?xml version="1.0" encoding="utf-8"?>
<formControlPr xmlns="http://schemas.microsoft.com/office/spreadsheetml/2009/9/main" objectType="Drop" dropLines="14" dropStyle="combo" dx="26" fmlaLink="$G$24" fmlaRange="$B$9:$B$22" noThreeD="1" sel="1" val="0"/>
</file>

<file path=xl/ctrlProps/ctrlProp382.xml><?xml version="1.0" encoding="utf-8"?>
<formControlPr xmlns="http://schemas.microsoft.com/office/spreadsheetml/2009/9/main" objectType="Drop" dropLines="14" dropStyle="combo" dx="26" fmlaLink="$G$36" fmlaRange="$B$9:$B$22" noThreeD="1" sel="1" val="0"/>
</file>

<file path=xl/ctrlProps/ctrlProp383.xml><?xml version="1.0" encoding="utf-8"?>
<formControlPr xmlns="http://schemas.microsoft.com/office/spreadsheetml/2009/9/main" objectType="Drop" dropLines="14" dropStyle="combo" dx="26" fmlaLink="$G$38" fmlaRange="$B$9:$B$22" noThreeD="1" sel="1" val="0"/>
</file>

<file path=xl/ctrlProps/ctrlProp384.xml><?xml version="1.0" encoding="utf-8"?>
<formControlPr xmlns="http://schemas.microsoft.com/office/spreadsheetml/2009/9/main" objectType="Drop" dropLines="14" dropStyle="combo" dx="26" fmlaLink="$G$40" fmlaRange="$B$9:$B$22" noThreeD="1" sel="1" val="0"/>
</file>

<file path=xl/ctrlProps/ctrlProp385.xml><?xml version="1.0" encoding="utf-8"?>
<formControlPr xmlns="http://schemas.microsoft.com/office/spreadsheetml/2009/9/main" objectType="Drop" dropLines="14" dropStyle="combo" dx="26" fmlaLink="$G$42" fmlaRange="$B$9:$B$22" noThreeD="1" sel="1" val="0"/>
</file>

<file path=xl/ctrlProps/ctrlProp386.xml><?xml version="1.0" encoding="utf-8"?>
<formControlPr xmlns="http://schemas.microsoft.com/office/spreadsheetml/2009/9/main" objectType="Drop" dropLines="14" dropStyle="combo" dx="26" fmlaLink="$G$44" fmlaRange="$B$9:$B$22" noThreeD="1" sel="1" val="0"/>
</file>

<file path=xl/ctrlProps/ctrlProp387.xml><?xml version="1.0" encoding="utf-8"?>
<formControlPr xmlns="http://schemas.microsoft.com/office/spreadsheetml/2009/9/main" objectType="Drop" dropLines="14" dropStyle="combo" dx="26" fmlaLink="$G$56" fmlaRange="$B$9:$B$22" noThreeD="1" sel="1" val="0"/>
</file>

<file path=xl/ctrlProps/ctrlProp388.xml><?xml version="1.0" encoding="utf-8"?>
<formControlPr xmlns="http://schemas.microsoft.com/office/spreadsheetml/2009/9/main" objectType="Drop" dropLines="14" dropStyle="combo" dx="26" fmlaLink="$G$58" fmlaRange="$B$9:$B$22" noThreeD="1" sel="1" val="0"/>
</file>

<file path=xl/ctrlProps/ctrlProp389.xml><?xml version="1.0" encoding="utf-8"?>
<formControlPr xmlns="http://schemas.microsoft.com/office/spreadsheetml/2009/9/main" objectType="Drop" dropLines="14" dropStyle="combo" dx="26" fmlaLink="$G$60" fmlaRange="$B$9:$B$22" noThreeD="1" sel="1" val="0"/>
</file>

<file path=xl/ctrlProps/ctrlProp390.xml><?xml version="1.0" encoding="utf-8"?>
<formControlPr xmlns="http://schemas.microsoft.com/office/spreadsheetml/2009/9/main" objectType="Drop" dropLines="14" dropStyle="combo" dx="26" fmlaLink="$G$62" fmlaRange="$B$9:$B$22" noThreeD="1" sel="1" val="0"/>
</file>

<file path=xl/ctrlProps/ctrlProp391.xml><?xml version="1.0" encoding="utf-8"?>
<formControlPr xmlns="http://schemas.microsoft.com/office/spreadsheetml/2009/9/main" objectType="Drop" dropLines="14" dropStyle="combo" dx="26" fmlaLink="$G$64" fmlaRange="$B$9:$B$22" noThreeD="1" sel="1" val="0"/>
</file>

<file path=xl/ctrlProps/ctrlProp392.xml><?xml version="1.0" encoding="utf-8"?>
<formControlPr xmlns="http://schemas.microsoft.com/office/spreadsheetml/2009/9/main" objectType="Drop" dropLines="10" dropStyle="combo" dx="26" fmlaLink="G94" fmlaRange="B89:B98" noThreeD="1" sel="1" val="0"/>
</file>

<file path=xl/ctrlProps/ctrlProp393.xml><?xml version="1.0" encoding="utf-8"?>
<formControlPr xmlns="http://schemas.microsoft.com/office/spreadsheetml/2009/9/main" objectType="Drop" dropLines="14" dropStyle="combo" dx="26" fmlaLink="$G$76" fmlaRange="$B$9:$B$22" noThreeD="1" sel="1" val="0"/>
</file>

<file path=xl/ctrlProps/ctrlProp394.xml><?xml version="1.0" encoding="utf-8"?>
<formControlPr xmlns="http://schemas.microsoft.com/office/spreadsheetml/2009/9/main" objectType="Drop" dropLines="14" dropStyle="combo" dx="26" fmlaLink="$G$78" fmlaRange="$B$9:$B$22" noThreeD="1" sel="1" val="0"/>
</file>

<file path=xl/ctrlProps/ctrlProp395.xml><?xml version="1.0" encoding="utf-8"?>
<formControlPr xmlns="http://schemas.microsoft.com/office/spreadsheetml/2009/9/main" objectType="Drop" dropLines="14" dropStyle="combo" dx="26" fmlaLink="$G$80" fmlaRange="$B$9:$B$22" noThreeD="1" sel="1" val="0"/>
</file>

<file path=xl/ctrlProps/ctrlProp396.xml><?xml version="1.0" encoding="utf-8"?>
<formControlPr xmlns="http://schemas.microsoft.com/office/spreadsheetml/2009/9/main" objectType="Drop" dropLines="14" dropStyle="combo" dx="26" fmlaLink="$G$82" fmlaRange="$B$9:$B$22" noThreeD="1" sel="1" val="0"/>
</file>

<file path=xl/ctrlProps/ctrlProp397.xml><?xml version="1.0" encoding="utf-8"?>
<formControlPr xmlns="http://schemas.microsoft.com/office/spreadsheetml/2009/9/main" objectType="Drop" dropLines="14" dropStyle="combo" dx="26" fmlaLink="$G$84" fmlaRange="$B$9:$B$22" noThreeD="1" sel="1" val="0"/>
</file>

<file path=xl/ctrlProps/ctrlProp398.xml><?xml version="1.0" encoding="utf-8"?>
<formControlPr xmlns="http://schemas.microsoft.com/office/spreadsheetml/2009/9/main" objectType="CheckBox" fmlaLink="U16" lockText="1" noThreeD="1"/>
</file>

<file path=xl/ctrlProps/ctrlProp399.xml><?xml version="1.0" encoding="utf-8"?>
<formControlPr xmlns="http://schemas.microsoft.com/office/spreadsheetml/2009/9/main" objectType="CheckBox" fmlaLink="U18" lockText="1" noThreeD="1"/>
</file>

<file path=xl/ctrlProps/ctrlProp400.xml><?xml version="1.0" encoding="utf-8"?>
<formControlPr xmlns="http://schemas.microsoft.com/office/spreadsheetml/2009/9/main" objectType="CheckBox" fmlaLink="U20" lockText="1" noThreeD="1"/>
</file>

<file path=xl/ctrlProps/ctrlProp401.xml><?xml version="1.0" encoding="utf-8"?>
<formControlPr xmlns="http://schemas.microsoft.com/office/spreadsheetml/2009/9/main" objectType="CheckBox" fmlaLink="U22" lockText="1" noThreeD="1"/>
</file>

<file path=xl/ctrlProps/ctrlProp402.xml><?xml version="1.0" encoding="utf-8"?>
<formControlPr xmlns="http://schemas.microsoft.com/office/spreadsheetml/2009/9/main" objectType="CheckBox" fmlaLink="U24" lockText="1" noThreeD="1"/>
</file>

<file path=xl/ctrlProps/ctrlProp403.xml><?xml version="1.0" encoding="utf-8"?>
<formControlPr xmlns="http://schemas.microsoft.com/office/spreadsheetml/2009/9/main" objectType="CheckBox" fmlaLink="U36" lockText="1" noThreeD="1"/>
</file>

<file path=xl/ctrlProps/ctrlProp404.xml><?xml version="1.0" encoding="utf-8"?>
<formControlPr xmlns="http://schemas.microsoft.com/office/spreadsheetml/2009/9/main" objectType="CheckBox" fmlaLink="U38" lockText="1" noThreeD="1"/>
</file>

<file path=xl/ctrlProps/ctrlProp405.xml><?xml version="1.0" encoding="utf-8"?>
<formControlPr xmlns="http://schemas.microsoft.com/office/spreadsheetml/2009/9/main" objectType="CheckBox" fmlaLink="U40" lockText="1" noThreeD="1"/>
</file>

<file path=xl/ctrlProps/ctrlProp406.xml><?xml version="1.0" encoding="utf-8"?>
<formControlPr xmlns="http://schemas.microsoft.com/office/spreadsheetml/2009/9/main" objectType="CheckBox" fmlaLink="U42" lockText="1" noThreeD="1"/>
</file>

<file path=xl/ctrlProps/ctrlProp407.xml><?xml version="1.0" encoding="utf-8"?>
<formControlPr xmlns="http://schemas.microsoft.com/office/spreadsheetml/2009/9/main" objectType="CheckBox" fmlaLink="U44" lockText="1" noThreeD="1"/>
</file>

<file path=xl/ctrlProps/ctrlProp408.xml><?xml version="1.0" encoding="utf-8"?>
<formControlPr xmlns="http://schemas.microsoft.com/office/spreadsheetml/2009/9/main" objectType="CheckBox" fmlaLink="U56" lockText="1" noThreeD="1"/>
</file>

<file path=xl/ctrlProps/ctrlProp409.xml><?xml version="1.0" encoding="utf-8"?>
<formControlPr xmlns="http://schemas.microsoft.com/office/spreadsheetml/2009/9/main" objectType="CheckBox" fmlaLink="U58" lockText="1" noThreeD="1"/>
</file>

<file path=xl/ctrlProps/ctrlProp410.xml><?xml version="1.0" encoding="utf-8"?>
<formControlPr xmlns="http://schemas.microsoft.com/office/spreadsheetml/2009/9/main" objectType="CheckBox" fmlaLink="U60" lockText="1" noThreeD="1"/>
</file>

<file path=xl/ctrlProps/ctrlProp411.xml><?xml version="1.0" encoding="utf-8"?>
<formControlPr xmlns="http://schemas.microsoft.com/office/spreadsheetml/2009/9/main" objectType="CheckBox" fmlaLink="U62" lockText="1" noThreeD="1"/>
</file>

<file path=xl/ctrlProps/ctrlProp412.xml><?xml version="1.0" encoding="utf-8"?>
<formControlPr xmlns="http://schemas.microsoft.com/office/spreadsheetml/2009/9/main" objectType="CheckBox" fmlaLink="U64" lockText="1" noThreeD="1"/>
</file>

<file path=xl/ctrlProps/ctrlProp413.xml><?xml version="1.0" encoding="utf-8"?>
<formControlPr xmlns="http://schemas.microsoft.com/office/spreadsheetml/2009/9/main" objectType="CheckBox" fmlaLink="U76" lockText="1" noThreeD="1"/>
</file>

<file path=xl/ctrlProps/ctrlProp414.xml><?xml version="1.0" encoding="utf-8"?>
<formControlPr xmlns="http://schemas.microsoft.com/office/spreadsheetml/2009/9/main" objectType="CheckBox" fmlaLink="U78" lockText="1" noThreeD="1"/>
</file>

<file path=xl/ctrlProps/ctrlProp415.xml><?xml version="1.0" encoding="utf-8"?>
<formControlPr xmlns="http://schemas.microsoft.com/office/spreadsheetml/2009/9/main" objectType="CheckBox" fmlaLink="U80" lockText="1" noThreeD="1"/>
</file>

<file path=xl/ctrlProps/ctrlProp416.xml><?xml version="1.0" encoding="utf-8"?>
<formControlPr xmlns="http://schemas.microsoft.com/office/spreadsheetml/2009/9/main" objectType="CheckBox" fmlaLink="U82" lockText="1" noThreeD="1"/>
</file>

<file path=xl/ctrlProps/ctrlProp417.xml><?xml version="1.0" encoding="utf-8"?>
<formControlPr xmlns="http://schemas.microsoft.com/office/spreadsheetml/2009/9/main" objectType="CheckBox" fmlaLink="U84" lockText="1" noThreeD="1"/>
</file>

<file path=xl/ctrlProps/ctrlProp418.xml><?xml version="1.0" encoding="utf-8"?>
<formControlPr xmlns="http://schemas.microsoft.com/office/spreadsheetml/2009/9/main" objectType="CheckBox" fmlaLink="U94" lockText="1" noThreeD="1"/>
</file>

<file path=xl/ctrlProps/ctrlProp419.xml><?xml version="1.0" encoding="utf-8"?>
<formControlPr xmlns="http://schemas.microsoft.com/office/spreadsheetml/2009/9/main" objectType="CheckBox" fmlaLink="U96" lockText="1" noThreeD="1"/>
</file>

<file path=xl/ctrlProps/ctrlProp420.xml><?xml version="1.0" encoding="utf-8"?>
<formControlPr xmlns="http://schemas.microsoft.com/office/spreadsheetml/2009/9/main" objectType="CheckBox" fmlaLink="U98" lockText="1" noThreeD="1"/>
</file>

<file path=xl/ctrlProps/ctrlProp421.xml><?xml version="1.0" encoding="utf-8"?>
<formControlPr xmlns="http://schemas.microsoft.com/office/spreadsheetml/2009/9/main" objectType="CheckBox" fmlaLink="U100" lockText="1" noThreeD="1"/>
</file>

<file path=xl/ctrlProps/ctrlProp422.xml><?xml version="1.0" encoding="utf-8"?>
<formControlPr xmlns="http://schemas.microsoft.com/office/spreadsheetml/2009/9/main" objectType="CheckBox" fmlaLink="U102" lockText="1" noThreeD="1"/>
</file>

<file path=xl/ctrlProps/ctrlProp423.xml><?xml version="1.0" encoding="utf-8"?>
<formControlPr xmlns="http://schemas.microsoft.com/office/spreadsheetml/2009/9/main" objectType="Drop" dropLines="10" dropStyle="combo" dx="26" fmlaLink="G96" fmlaRange="B89:B98" noThreeD="1" sel="1" val="0"/>
</file>

<file path=xl/ctrlProps/ctrlProp424.xml><?xml version="1.0" encoding="utf-8"?>
<formControlPr xmlns="http://schemas.microsoft.com/office/spreadsheetml/2009/9/main" objectType="Drop" dropLines="10" dropStyle="combo" dx="26" fmlaLink="G98" fmlaRange="B89:B98" noThreeD="1" sel="1" val="0"/>
</file>

<file path=xl/ctrlProps/ctrlProp425.xml><?xml version="1.0" encoding="utf-8"?>
<formControlPr xmlns="http://schemas.microsoft.com/office/spreadsheetml/2009/9/main" objectType="Drop" dropLines="10" dropStyle="combo" dx="26" fmlaLink="G100" fmlaRange="B89:B98" noThreeD="1" sel="1" val="0"/>
</file>

<file path=xl/ctrlProps/ctrlProp426.xml><?xml version="1.0" encoding="utf-8"?>
<formControlPr xmlns="http://schemas.microsoft.com/office/spreadsheetml/2009/9/main" objectType="Drop" dropLines="10" dropStyle="combo" dx="26" fmlaLink="G102" fmlaRange="B89:B98" noThreeD="1" sel="1" val="0"/>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CheckBox" fmlaLink="L54" lockText="1" noThreeD="1"/>
</file>

<file path=xl/ctrlProps/ctrlProp436.xml><?xml version="1.0" encoding="utf-8"?>
<formControlPr xmlns="http://schemas.microsoft.com/office/spreadsheetml/2009/9/main" objectType="CheckBox" fmlaLink="K54" lockText="1" noThreeD="1"/>
</file>

<file path=xl/ctrlProps/ctrlProp437.xml><?xml version="1.0" encoding="utf-8"?>
<formControlPr xmlns="http://schemas.microsoft.com/office/spreadsheetml/2009/9/main" objectType="Radio" firstButton="1" fmlaLink="$J$54" lockText="1" noThreeD="1"/>
</file>

<file path=xl/ctrlProps/ctrlProp438.xml><?xml version="1.0" encoding="utf-8"?>
<formControlPr xmlns="http://schemas.microsoft.com/office/spreadsheetml/2009/9/main" objectType="Radio" lockText="1" noThreeD="1"/>
</file>

<file path=xl/ctrlProps/ctrlProp439.xml><?xml version="1.0" encoding="utf-8"?>
<formControlPr xmlns="http://schemas.microsoft.com/office/spreadsheetml/2009/9/main" objectType="CheckBox" fmlaLink="$K$53" lockText="1" noThreeD="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Radio" firstButton="1" fmlaLink="$O$64" lockText="1" noThreeD="1"/>
</file>

<file path=xl/ctrlProps/ctrlProp445.xml><?xml version="1.0" encoding="utf-8"?>
<formControlPr xmlns="http://schemas.microsoft.com/office/spreadsheetml/2009/9/main" objectType="Radio" lockText="1" noThreeD="1"/>
</file>

<file path=xl/ctrlProps/ctrlProp446.xml><?xml version="1.0" encoding="utf-8"?>
<formControlPr xmlns="http://schemas.microsoft.com/office/spreadsheetml/2009/9/main" objectType="Radio" lockText="1" noThreeD="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Radio" firstButton="1" fmlaLink="$O$69" lockText="1" noThreeD="1"/>
</file>

<file path=xl/ctrlProps/ctrlProp452.xml><?xml version="1.0" encoding="utf-8"?>
<formControlPr xmlns="http://schemas.microsoft.com/office/spreadsheetml/2009/9/main" objectType="Radio" lockText="1" noThreeD="1"/>
</file>

<file path=xl/ctrlProps/ctrlProp453.xml><?xml version="1.0" encoding="utf-8"?>
<formControlPr xmlns="http://schemas.microsoft.com/office/spreadsheetml/2009/9/main" objectType="GBox" noThreeD="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GBox" noThreeD="1"/>
</file>

<file path=xl/ctrlProps/ctrlProp459.xml><?xml version="1.0" encoding="utf-8"?>
<formControlPr xmlns="http://schemas.microsoft.com/office/spreadsheetml/2009/9/main" objectType="CheckBox" fmlaLink="$O$62" lockText="1" noThreeD="1"/>
</file>

<file path=xl/ctrlProps/ctrlProp460.xml><?xml version="1.0" encoding="utf-8"?>
<formControlPr xmlns="http://schemas.microsoft.com/office/spreadsheetml/2009/9/main" objectType="CheckBox" fmlaLink="$O$61" lockText="1" noThreeD="1"/>
</file>

<file path=xl/ctrlProps/ctrlProp461.xml><?xml version="1.0" encoding="utf-8"?>
<formControlPr xmlns="http://schemas.microsoft.com/office/spreadsheetml/2009/9/main" objectType="CheckBox" fmlaLink="$O$60" lockText="1" noThreeD="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Drop" dropLines="20" dropStyle="combo" dx="26" fmlaLink="G63" fmlaRange="$A$56:$A$73" noThreeD="1" sel="1" val="0"/>
</file>

<file path=xl/ctrlProps/ctrlProp471.xml><?xml version="1.0" encoding="utf-8"?>
<formControlPr xmlns="http://schemas.microsoft.com/office/spreadsheetml/2009/9/main" objectType="CheckBox" fmlaLink="C62" lockText="1" noThreeD="1"/>
</file>

<file path=xl/ctrlProps/ctrlProp472.xml><?xml version="1.0" encoding="utf-8"?>
<formControlPr xmlns="http://schemas.microsoft.com/office/spreadsheetml/2009/9/main" objectType="CheckBox" fmlaLink="C63" lockText="1" noThreeD="1"/>
</file>

<file path=xl/ctrlProps/ctrlProp473.xml><?xml version="1.0" encoding="utf-8"?>
<formControlPr xmlns="http://schemas.microsoft.com/office/spreadsheetml/2009/9/main" objectType="CheckBox" fmlaLink="C64" lockText="1" noThreeD="1"/>
</file>

<file path=xl/ctrlProps/ctrlProp474.xml><?xml version="1.0" encoding="utf-8"?>
<formControlPr xmlns="http://schemas.microsoft.com/office/spreadsheetml/2009/9/main" objectType="CheckBox" fmlaLink="C65" lockText="1" noThreeD="1"/>
</file>

<file path=xl/ctrlProps/ctrlProp475.xml><?xml version="1.0" encoding="utf-8"?>
<formControlPr xmlns="http://schemas.microsoft.com/office/spreadsheetml/2009/9/main" objectType="Drop" dropLines="20" dropStyle="combo" dx="26" fmlaLink="G64" fmlaRange="$A$56:$A$73" noThreeD="1" sel="1" val="0"/>
</file>

<file path=xl/ctrlProps/ctrlProp476.xml><?xml version="1.0" encoding="utf-8"?>
<formControlPr xmlns="http://schemas.microsoft.com/office/spreadsheetml/2009/9/main" objectType="Drop" dropLines="20" dropStyle="combo" dx="26" fmlaLink="G62" fmlaRange="$A$56:$A$73" noThreeD="1" sel="1" val="0"/>
</file>

<file path=xl/ctrlProps/ctrlProp477.xml><?xml version="1.0" encoding="utf-8"?>
<formControlPr xmlns="http://schemas.microsoft.com/office/spreadsheetml/2009/9/main" objectType="Drop" dropLines="20" dropStyle="combo" dx="26" fmlaLink="G65" fmlaRange="$A$56:$A$73" noThreeD="1" sel="1" val="0"/>
</file>

<file path=xl/ctrlProps/ctrlProp478.xml><?xml version="1.0" encoding="utf-8"?>
<formControlPr xmlns="http://schemas.microsoft.com/office/spreadsheetml/2009/9/main" objectType="Drop" dropLines="20" dropStyle="combo" dx="26" fmlaLink="G66" fmlaRange="$A$56:$A$73" noThreeD="1" sel="1" val="0"/>
</file>

<file path=xl/ctrlProps/ctrlProp479.xml><?xml version="1.0" encoding="utf-8"?>
<formControlPr xmlns="http://schemas.microsoft.com/office/spreadsheetml/2009/9/main" objectType="Drop" dropLines="20" dropStyle="combo" dx="26" fmlaLink="G67" fmlaRange="$A$56:$A$73" noThreeD="1" sel="1" val="0"/>
</file>

<file path=xl/ctrlProps/ctrlProp480.xml><?xml version="1.0" encoding="utf-8"?>
<formControlPr xmlns="http://schemas.microsoft.com/office/spreadsheetml/2009/9/main" objectType="Drop" dropLines="20" dropStyle="combo" dx="26" fmlaLink="G68" fmlaRange="$A$56:$A$73" noThreeD="1" sel="1" val="0"/>
</file>

<file path=xl/ctrlProps/ctrlProp481.xml><?xml version="1.0" encoding="utf-8"?>
<formControlPr xmlns="http://schemas.microsoft.com/office/spreadsheetml/2009/9/main" objectType="Drop" dropLines="20" dropStyle="combo" dx="26" fmlaLink="G69" fmlaRange="$A$56:$A$73" noThreeD="1" sel="1" val="0"/>
</file>

<file path=xl/ctrlProps/ctrlProp482.xml><?xml version="1.0" encoding="utf-8"?>
<formControlPr xmlns="http://schemas.microsoft.com/office/spreadsheetml/2009/9/main" objectType="CheckBox" fmlaLink="C66" lockText="1" noThreeD="1"/>
</file>

<file path=xl/ctrlProps/ctrlProp483.xml><?xml version="1.0" encoding="utf-8"?>
<formControlPr xmlns="http://schemas.microsoft.com/office/spreadsheetml/2009/9/main" objectType="CheckBox" fmlaLink="C67" lockText="1" noThreeD="1"/>
</file>

<file path=xl/ctrlProps/ctrlProp484.xml><?xml version="1.0" encoding="utf-8"?>
<formControlPr xmlns="http://schemas.microsoft.com/office/spreadsheetml/2009/9/main" objectType="CheckBox" fmlaLink="C68" lockText="1" noThreeD="1"/>
</file>

<file path=xl/ctrlProps/ctrlProp485.xml><?xml version="1.0" encoding="utf-8"?>
<formControlPr xmlns="http://schemas.microsoft.com/office/spreadsheetml/2009/9/main" objectType="CheckBox" fmlaLink="C70" lockText="1" noThreeD="1"/>
</file>

<file path=xl/ctrlProps/ctrlProp486.xml><?xml version="1.0" encoding="utf-8"?>
<formControlPr xmlns="http://schemas.microsoft.com/office/spreadsheetml/2009/9/main" objectType="CheckBox" fmlaLink="C71" lockText="1" noThreeD="1"/>
</file>

<file path=xl/ctrlProps/ctrlProp487.xml><?xml version="1.0" encoding="utf-8"?>
<formControlPr xmlns="http://schemas.microsoft.com/office/spreadsheetml/2009/9/main" objectType="CheckBox" fmlaLink="C72" lockText="1" noThreeD="1"/>
</file>

<file path=xl/ctrlProps/ctrlProp488.xml><?xml version="1.0" encoding="utf-8"?>
<formControlPr xmlns="http://schemas.microsoft.com/office/spreadsheetml/2009/9/main" objectType="CheckBox" fmlaLink="D62" lockText="1" noThreeD="1"/>
</file>

<file path=xl/ctrlProps/ctrlProp489.xml><?xml version="1.0" encoding="utf-8"?>
<formControlPr xmlns="http://schemas.microsoft.com/office/spreadsheetml/2009/9/main" objectType="CheckBox" fmlaLink="D63" lockText="1" noThreeD="1"/>
</file>

<file path=xl/ctrlProps/ctrlProp490.xml><?xml version="1.0" encoding="utf-8"?>
<formControlPr xmlns="http://schemas.microsoft.com/office/spreadsheetml/2009/9/main" objectType="CheckBox" fmlaLink="D64" lockText="1" noThreeD="1"/>
</file>

<file path=xl/ctrlProps/ctrlProp491.xml><?xml version="1.0" encoding="utf-8"?>
<formControlPr xmlns="http://schemas.microsoft.com/office/spreadsheetml/2009/9/main" objectType="CheckBox" fmlaLink="D66" lockText="1" noThreeD="1"/>
</file>

<file path=xl/ctrlProps/ctrlProp492.xml><?xml version="1.0" encoding="utf-8"?>
<formControlPr xmlns="http://schemas.microsoft.com/office/spreadsheetml/2009/9/main" objectType="CheckBox" fmlaLink="D67" lockText="1" noThreeD="1"/>
</file>

<file path=xl/ctrlProps/ctrlProp493.xml><?xml version="1.0" encoding="utf-8"?>
<formControlPr xmlns="http://schemas.microsoft.com/office/spreadsheetml/2009/9/main" objectType="CheckBox" fmlaLink="D68" lockText="1" noThreeD="1"/>
</file>

<file path=xl/ctrlProps/ctrlProp494.xml><?xml version="1.0" encoding="utf-8"?>
<formControlPr xmlns="http://schemas.microsoft.com/office/spreadsheetml/2009/9/main" objectType="CheckBox" fmlaLink="D70" lockText="1" noThreeD="1"/>
</file>

<file path=xl/ctrlProps/ctrlProp495.xml><?xml version="1.0" encoding="utf-8"?>
<formControlPr xmlns="http://schemas.microsoft.com/office/spreadsheetml/2009/9/main" objectType="CheckBox" fmlaLink="D71" lockText="1" noThreeD="1"/>
</file>

<file path=xl/ctrlProps/ctrlProp496.xml><?xml version="1.0" encoding="utf-8"?>
<formControlPr xmlns="http://schemas.microsoft.com/office/spreadsheetml/2009/9/main" objectType="CheckBox" fmlaLink="D72" lockText="1" noThreeD="1"/>
</file>

<file path=xl/ctrlProps/ctrlProp497.xml><?xml version="1.0" encoding="utf-8"?>
<formControlPr xmlns="http://schemas.microsoft.com/office/spreadsheetml/2009/9/main" objectType="CheckBox" fmlaLink="E62" lockText="1" noThreeD="1"/>
</file>

<file path=xl/ctrlProps/ctrlProp498.xml><?xml version="1.0" encoding="utf-8"?>
<formControlPr xmlns="http://schemas.microsoft.com/office/spreadsheetml/2009/9/main" objectType="CheckBox" fmlaLink="E63" lockText="1" noThreeD="1"/>
</file>

<file path=xl/ctrlProps/ctrlProp499.xml><?xml version="1.0" encoding="utf-8"?>
<formControlPr xmlns="http://schemas.microsoft.com/office/spreadsheetml/2009/9/main" objectType="CheckBox" fmlaLink="E64" lockText="1" noThreeD="1"/>
</file>

<file path=xl/ctrlProps/ctrlProp500.xml><?xml version="1.0" encoding="utf-8"?>
<formControlPr xmlns="http://schemas.microsoft.com/office/spreadsheetml/2009/9/main" objectType="CheckBox" fmlaLink="E66" lockText="1" noThreeD="1"/>
</file>

<file path=xl/ctrlProps/ctrlProp501.xml><?xml version="1.0" encoding="utf-8"?>
<formControlPr xmlns="http://schemas.microsoft.com/office/spreadsheetml/2009/9/main" objectType="CheckBox" fmlaLink="E67" lockText="1" noThreeD="1"/>
</file>

<file path=xl/ctrlProps/ctrlProp502.xml><?xml version="1.0" encoding="utf-8"?>
<formControlPr xmlns="http://schemas.microsoft.com/office/spreadsheetml/2009/9/main" objectType="CheckBox" fmlaLink="E68" lockText="1" noThreeD="1"/>
</file>

<file path=xl/ctrlProps/ctrlProp503.xml><?xml version="1.0" encoding="utf-8"?>
<formControlPr xmlns="http://schemas.microsoft.com/office/spreadsheetml/2009/9/main" objectType="CheckBox" fmlaLink="C69" lockText="1" noThreeD="1"/>
</file>

<file path=xl/ctrlProps/ctrlProp504.xml><?xml version="1.0" encoding="utf-8"?>
<formControlPr xmlns="http://schemas.microsoft.com/office/spreadsheetml/2009/9/main" objectType="CheckBox" fmlaLink="C73" lockText="1" noThreeD="1"/>
</file>

<file path=xl/ctrlProps/ctrlProp505.xml><?xml version="1.0" encoding="utf-8"?>
<formControlPr xmlns="http://schemas.microsoft.com/office/spreadsheetml/2009/9/main" objectType="CheckBox" fmlaLink="D65" lockText="1" noThreeD="1"/>
</file>

<file path=xl/ctrlProps/ctrlProp506.xml><?xml version="1.0" encoding="utf-8"?>
<formControlPr xmlns="http://schemas.microsoft.com/office/spreadsheetml/2009/9/main" objectType="CheckBox" fmlaLink="D69" lockText="1" noThreeD="1"/>
</file>

<file path=xl/ctrlProps/ctrlProp507.xml><?xml version="1.0" encoding="utf-8"?>
<formControlPr xmlns="http://schemas.microsoft.com/office/spreadsheetml/2009/9/main" objectType="CheckBox" fmlaLink="D73" lockText="1" noThreeD="1"/>
</file>

<file path=xl/ctrlProps/ctrlProp508.xml><?xml version="1.0" encoding="utf-8"?>
<formControlPr xmlns="http://schemas.microsoft.com/office/spreadsheetml/2009/9/main" objectType="CheckBox" fmlaLink="E65" lockText="1" noThreeD="1"/>
</file>

<file path=xl/ctrlProps/ctrlProp509.xml><?xml version="1.0" encoding="utf-8"?>
<formControlPr xmlns="http://schemas.microsoft.com/office/spreadsheetml/2009/9/main" objectType="CheckBox" fmlaLink="E69" lockText="1" noThreeD="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CheckBox" fmlaLink="M58" lockText="1" noThreeD="1"/>
</file>

<file path=xl/ctrlProps/ctrlProp515.xml><?xml version="1.0" encoding="utf-8"?>
<formControlPr xmlns="http://schemas.microsoft.com/office/spreadsheetml/2009/9/main" objectType="CheckBox" fmlaLink="N58" lockText="1" noThreeD="1"/>
</file>

<file path=xl/ctrlProps/ctrlProp516.xml><?xml version="1.0" encoding="utf-8"?>
<formControlPr xmlns="http://schemas.microsoft.com/office/spreadsheetml/2009/9/main" objectType="CheckBox" fmlaLink="K59" lockText="1" noThreeD="1"/>
</file>

<file path=xl/ctrlProps/ctrlProp517.xml><?xml version="1.0" encoding="utf-8"?>
<formControlPr xmlns="http://schemas.microsoft.com/office/spreadsheetml/2009/9/main" objectType="CheckBox" fmlaLink="K58" lockText="1" noThreeD="1"/>
</file>

<file path=xl/ctrlProps/ctrlProp518.xml><?xml version="1.0" encoding="utf-8"?>
<formControlPr xmlns="http://schemas.microsoft.com/office/spreadsheetml/2009/9/main" objectType="CheckBox" fmlaLink="L58" lockText="1" noThreeD="1"/>
</file>

<file path=xl/ctrlProps/ctrlProp519.xml><?xml version="1.0" encoding="utf-8"?>
<formControlPr xmlns="http://schemas.microsoft.com/office/spreadsheetml/2009/9/main" objectType="CheckBox" fmlaLink="L59" lockText="1" noThreeD="1"/>
</file>

<file path=xl/ctrlProps/ctrlProp520.xml><?xml version="1.0" encoding="utf-8"?>
<formControlPr xmlns="http://schemas.microsoft.com/office/spreadsheetml/2009/9/main" objectType="CheckBox" fmlaLink="M59" lockText="1" noThreeD="1"/>
</file>

<file path=xl/ctrlProps/ctrlProp521.xml><?xml version="1.0" encoding="utf-8"?>
<formControlPr xmlns="http://schemas.microsoft.com/office/spreadsheetml/2009/9/main" objectType="CheckBox" fmlaLink="N59" lockText="1" noThreeD="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6.png"/><Relationship Id="rId26" Type="http://schemas.openxmlformats.org/officeDocument/2006/relationships/image" Target="../media/image24.PNG"/><Relationship Id="rId3" Type="http://schemas.openxmlformats.org/officeDocument/2006/relationships/image" Target="../media/image3.PNG"/><Relationship Id="rId21" Type="http://schemas.openxmlformats.org/officeDocument/2006/relationships/image" Target="../media/image19.png"/><Relationship Id="rId34" Type="http://schemas.openxmlformats.org/officeDocument/2006/relationships/image" Target="../media/image3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5.jpeg"/><Relationship Id="rId25" Type="http://schemas.openxmlformats.org/officeDocument/2006/relationships/image" Target="../media/image23.PNG"/><Relationship Id="rId33" Type="http://schemas.microsoft.com/office/2007/relationships/hdphoto" Target="../media/hdphoto3.wdp"/><Relationship Id="rId2" Type="http://schemas.openxmlformats.org/officeDocument/2006/relationships/image" Target="../media/image2.PNG"/><Relationship Id="rId16" Type="http://schemas.microsoft.com/office/2007/relationships/hdphoto" Target="../media/hdphoto2.wdp"/><Relationship Id="rId20" Type="http://schemas.openxmlformats.org/officeDocument/2006/relationships/image" Target="../media/image18.PNG"/><Relationship Id="rId29" Type="http://schemas.openxmlformats.org/officeDocument/2006/relationships/image" Target="../media/image27.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2.PNG"/><Relationship Id="rId32" Type="http://schemas.openxmlformats.org/officeDocument/2006/relationships/image" Target="../media/image30.png"/><Relationship Id="rId5" Type="http://schemas.openxmlformats.org/officeDocument/2006/relationships/image" Target="../media/image5.png"/><Relationship Id="rId15" Type="http://schemas.openxmlformats.org/officeDocument/2006/relationships/image" Target="../media/image14.png"/><Relationship Id="rId23" Type="http://schemas.openxmlformats.org/officeDocument/2006/relationships/image" Target="../media/image21.PNG"/><Relationship Id="rId28" Type="http://schemas.openxmlformats.org/officeDocument/2006/relationships/image" Target="../media/image26.PNG"/><Relationship Id="rId10" Type="http://schemas.openxmlformats.org/officeDocument/2006/relationships/image" Target="../media/image10.PNG"/><Relationship Id="rId19" Type="http://schemas.openxmlformats.org/officeDocument/2006/relationships/image" Target="../media/image17.png"/><Relationship Id="rId31" Type="http://schemas.openxmlformats.org/officeDocument/2006/relationships/image" Target="../media/image29.png"/><Relationship Id="rId4" Type="http://schemas.openxmlformats.org/officeDocument/2006/relationships/image" Target="../media/image4.png"/><Relationship Id="rId9" Type="http://schemas.openxmlformats.org/officeDocument/2006/relationships/image" Target="../media/image9.png"/><Relationship Id="rId14" Type="http://schemas.microsoft.com/office/2007/relationships/hdphoto" Target="../media/hdphoto1.wdp"/><Relationship Id="rId22" Type="http://schemas.openxmlformats.org/officeDocument/2006/relationships/image" Target="../media/image20.png"/><Relationship Id="rId27" Type="http://schemas.openxmlformats.org/officeDocument/2006/relationships/image" Target="../media/image25.png"/><Relationship Id="rId30" Type="http://schemas.openxmlformats.org/officeDocument/2006/relationships/image" Target="../media/image28.PNG"/><Relationship Id="rId8" Type="http://schemas.openxmlformats.org/officeDocument/2006/relationships/image" Target="../media/image8.png"/></Relationships>
</file>

<file path=xl/drawings/_rels/drawing2.xml.rels><?xml version="1.0" encoding="UTF-8" standalone="yes"?>
<Relationships xmlns="http://schemas.openxmlformats.org/package/2006/relationships"><Relationship Id="rId1" Type="http://schemas.openxmlformats.org/officeDocument/2006/relationships/image" Target="../media/image3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6.PNG"/><Relationship Id="rId1" Type="http://schemas.openxmlformats.org/officeDocument/2006/relationships/image" Target="../media/image3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36.PNG"/><Relationship Id="rId1" Type="http://schemas.openxmlformats.org/officeDocument/2006/relationships/image" Target="../media/image37.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8.jpeg"/></Relationships>
</file>

<file path=xl/drawings/_rels/drawing8.xml.rels><?xml version="1.0" encoding="UTF-8" standalone="yes"?>
<Relationships xmlns="http://schemas.openxmlformats.org/package/2006/relationships"><Relationship Id="rId2" Type="http://schemas.openxmlformats.org/officeDocument/2006/relationships/image" Target="../media/image36.PNG"/><Relationship Id="rId1" Type="http://schemas.openxmlformats.org/officeDocument/2006/relationships/image" Target="../media/image39.jpeg"/></Relationships>
</file>

<file path=xl/drawings/_rels/drawing9.xml.rels><?xml version="1.0" encoding="UTF-8" standalone="yes"?>
<Relationships xmlns="http://schemas.openxmlformats.org/package/2006/relationships"><Relationship Id="rId2" Type="http://schemas.openxmlformats.org/officeDocument/2006/relationships/image" Target="../media/image36.PNG"/><Relationship Id="rId1" Type="http://schemas.openxmlformats.org/officeDocument/2006/relationships/image" Target="../media/image39.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40.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4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3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4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43.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40.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44.jpeg"/><Relationship Id="rId1" Type="http://schemas.openxmlformats.org/officeDocument/2006/relationships/image" Target="../media/image37.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40.jpeg"/></Relationships>
</file>

<file path=xl/drawings/_rels/drawing21.xml.rels><?xml version="1.0" encoding="UTF-8" standalone="yes"?>
<Relationships xmlns="http://schemas.openxmlformats.org/package/2006/relationships"><Relationship Id="rId2" Type="http://schemas.openxmlformats.org/officeDocument/2006/relationships/image" Target="../media/image46.jpeg"/><Relationship Id="rId1" Type="http://schemas.openxmlformats.org/officeDocument/2006/relationships/image" Target="../media/image45.jpeg"/></Relationships>
</file>

<file path=xl/drawings/_rels/drawing22.xml.rels><?xml version="1.0" encoding="UTF-8" standalone="yes"?>
<Relationships xmlns="http://schemas.openxmlformats.org/package/2006/relationships"><Relationship Id="rId2" Type="http://schemas.openxmlformats.org/officeDocument/2006/relationships/image" Target="../media/image45.jpeg"/><Relationship Id="rId1" Type="http://schemas.openxmlformats.org/officeDocument/2006/relationships/image" Target="../media/image47.jpeg"/></Relationships>
</file>

<file path=xl/drawings/_rels/drawing23.xml.rels><?xml version="1.0" encoding="UTF-8" standalone="yes"?>
<Relationships xmlns="http://schemas.openxmlformats.org/package/2006/relationships"><Relationship Id="rId2" Type="http://schemas.openxmlformats.org/officeDocument/2006/relationships/image" Target="../media/image40.jpeg"/><Relationship Id="rId1" Type="http://schemas.openxmlformats.org/officeDocument/2006/relationships/image" Target="../media/image48.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41.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41.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41.jpeg"/></Relationships>
</file>

<file path=xl/drawings/_rels/drawing27.xml.rels><?xml version="1.0" encoding="UTF-8" standalone="yes"?>
<Relationships xmlns="http://schemas.openxmlformats.org/package/2006/relationships"><Relationship Id="rId2" Type="http://schemas.openxmlformats.org/officeDocument/2006/relationships/image" Target="../media/image50.jpeg"/><Relationship Id="rId1" Type="http://schemas.openxmlformats.org/officeDocument/2006/relationships/image" Target="../media/image49.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35.jpeg"/></Relationships>
</file>

<file path=xl/drawings/_rels/drawing29.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45.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40.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40.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45.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41.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32.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45.jpeg"/></Relationships>
</file>

<file path=xl/drawings/_rels/drawing36.xml.rels><?xml version="1.0" encoding="UTF-8" standalone="yes"?>
<Relationships xmlns="http://schemas.openxmlformats.org/package/2006/relationships"><Relationship Id="rId1" Type="http://schemas.openxmlformats.org/officeDocument/2006/relationships/image" Target="../media/image51.jpeg"/></Relationships>
</file>

<file path=xl/drawings/drawing1.xml><?xml version="1.0" encoding="utf-8"?>
<xdr:wsDr xmlns:xdr="http://schemas.openxmlformats.org/drawingml/2006/spreadsheetDrawing" xmlns:a="http://schemas.openxmlformats.org/drawingml/2006/main">
  <xdr:twoCellAnchor editAs="oneCell">
    <xdr:from>
      <xdr:col>3</xdr:col>
      <xdr:colOff>419060</xdr:colOff>
      <xdr:row>73</xdr:row>
      <xdr:rowOff>330221</xdr:rowOff>
    </xdr:from>
    <xdr:to>
      <xdr:col>4</xdr:col>
      <xdr:colOff>351368</xdr:colOff>
      <xdr:row>74</xdr:row>
      <xdr:rowOff>184171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20593" y="25188354"/>
          <a:ext cx="2810975" cy="1885950"/>
        </a:xfrm>
        <a:prstGeom prst="rect">
          <a:avLst/>
        </a:prstGeom>
        <a:ln>
          <a:solidFill>
            <a:schemeClr val="tx1"/>
          </a:solidFill>
        </a:ln>
      </xdr:spPr>
    </xdr:pic>
    <xdr:clientData/>
  </xdr:twoCellAnchor>
  <xdr:twoCellAnchor editAs="oneCell">
    <xdr:from>
      <xdr:col>3</xdr:col>
      <xdr:colOff>436033</xdr:colOff>
      <xdr:row>77</xdr:row>
      <xdr:rowOff>110067</xdr:rowOff>
    </xdr:from>
    <xdr:to>
      <xdr:col>4</xdr:col>
      <xdr:colOff>373549</xdr:colOff>
      <xdr:row>77</xdr:row>
      <xdr:rowOff>1980809</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37566" y="19490267"/>
          <a:ext cx="2816183" cy="1870742"/>
        </a:xfrm>
        <a:prstGeom prst="rect">
          <a:avLst/>
        </a:prstGeom>
        <a:ln>
          <a:solidFill>
            <a:schemeClr val="tx1"/>
          </a:solidFill>
        </a:ln>
      </xdr:spPr>
    </xdr:pic>
    <xdr:clientData/>
  </xdr:twoCellAnchor>
  <xdr:twoCellAnchor editAs="oneCell">
    <xdr:from>
      <xdr:col>3</xdr:col>
      <xdr:colOff>419100</xdr:colOff>
      <xdr:row>80</xdr:row>
      <xdr:rowOff>164271</xdr:rowOff>
    </xdr:from>
    <xdr:to>
      <xdr:col>4</xdr:col>
      <xdr:colOff>352425</xdr:colOff>
      <xdr:row>81</xdr:row>
      <xdr:rowOff>1761067</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20633" y="23303671"/>
          <a:ext cx="2811992" cy="1799996"/>
        </a:xfrm>
        <a:prstGeom prst="rect">
          <a:avLst/>
        </a:prstGeom>
        <a:ln>
          <a:solidFill>
            <a:schemeClr val="tx1"/>
          </a:solidFill>
        </a:ln>
      </xdr:spPr>
    </xdr:pic>
    <xdr:clientData/>
  </xdr:twoCellAnchor>
  <xdr:twoCellAnchor editAs="oneCell">
    <xdr:from>
      <xdr:col>3</xdr:col>
      <xdr:colOff>428624</xdr:colOff>
      <xdr:row>82</xdr:row>
      <xdr:rowOff>66677</xdr:rowOff>
    </xdr:from>
    <xdr:to>
      <xdr:col>4</xdr:col>
      <xdr:colOff>366140</xdr:colOff>
      <xdr:row>82</xdr:row>
      <xdr:rowOff>1971675</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305299" y="25088852"/>
          <a:ext cx="2871216" cy="1904998"/>
        </a:xfrm>
        <a:prstGeom prst="rect">
          <a:avLst/>
        </a:prstGeom>
        <a:ln>
          <a:solidFill>
            <a:schemeClr val="tx1"/>
          </a:solidFill>
        </a:ln>
      </xdr:spPr>
    </xdr:pic>
    <xdr:clientData/>
  </xdr:twoCellAnchor>
  <xdr:twoCellAnchor editAs="oneCell">
    <xdr:from>
      <xdr:col>3</xdr:col>
      <xdr:colOff>358222</xdr:colOff>
      <xdr:row>85</xdr:row>
      <xdr:rowOff>55034</xdr:rowOff>
    </xdr:from>
    <xdr:to>
      <xdr:col>4</xdr:col>
      <xdr:colOff>352425</xdr:colOff>
      <xdr:row>85</xdr:row>
      <xdr:rowOff>1950509</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234897" y="27668009"/>
          <a:ext cx="2927903" cy="1895475"/>
        </a:xfrm>
        <a:prstGeom prst="rect">
          <a:avLst/>
        </a:prstGeom>
        <a:ln>
          <a:solidFill>
            <a:schemeClr val="tx1"/>
          </a:solidFill>
        </a:ln>
      </xdr:spPr>
    </xdr:pic>
    <xdr:clientData/>
  </xdr:twoCellAnchor>
  <xdr:twoCellAnchor editAs="oneCell">
    <xdr:from>
      <xdr:col>3</xdr:col>
      <xdr:colOff>361951</xdr:colOff>
      <xdr:row>86</xdr:row>
      <xdr:rowOff>55034</xdr:rowOff>
    </xdr:from>
    <xdr:to>
      <xdr:col>4</xdr:col>
      <xdr:colOff>352425</xdr:colOff>
      <xdr:row>86</xdr:row>
      <xdr:rowOff>1947334</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238626" y="29706359"/>
          <a:ext cx="2924174" cy="1892300"/>
        </a:xfrm>
        <a:prstGeom prst="rect">
          <a:avLst/>
        </a:prstGeom>
        <a:ln>
          <a:solidFill>
            <a:schemeClr val="tx1"/>
          </a:solidFill>
        </a:ln>
      </xdr:spPr>
    </xdr:pic>
    <xdr:clientData/>
  </xdr:twoCellAnchor>
  <xdr:twoCellAnchor editAs="oneCell">
    <xdr:from>
      <xdr:col>3</xdr:col>
      <xdr:colOff>361950</xdr:colOff>
      <xdr:row>87</xdr:row>
      <xdr:rowOff>45508</xdr:rowOff>
    </xdr:from>
    <xdr:to>
      <xdr:col>4</xdr:col>
      <xdr:colOff>361950</xdr:colOff>
      <xdr:row>87</xdr:row>
      <xdr:rowOff>1936752</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238625" y="31735183"/>
          <a:ext cx="2933700" cy="1891244"/>
        </a:xfrm>
        <a:prstGeom prst="rect">
          <a:avLst/>
        </a:prstGeom>
        <a:ln>
          <a:solidFill>
            <a:schemeClr val="tx1"/>
          </a:solidFill>
        </a:ln>
      </xdr:spPr>
    </xdr:pic>
    <xdr:clientData/>
  </xdr:twoCellAnchor>
  <xdr:twoCellAnchor editAs="oneCell">
    <xdr:from>
      <xdr:col>3</xdr:col>
      <xdr:colOff>360890</xdr:colOff>
      <xdr:row>88</xdr:row>
      <xdr:rowOff>52914</xdr:rowOff>
    </xdr:from>
    <xdr:to>
      <xdr:col>4</xdr:col>
      <xdr:colOff>361950</xdr:colOff>
      <xdr:row>88</xdr:row>
      <xdr:rowOff>1907095</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237565" y="33780939"/>
          <a:ext cx="2934760" cy="1854181"/>
        </a:xfrm>
        <a:prstGeom prst="rect">
          <a:avLst/>
        </a:prstGeom>
        <a:ln>
          <a:solidFill>
            <a:schemeClr val="tx1"/>
          </a:solidFill>
        </a:ln>
      </xdr:spPr>
    </xdr:pic>
    <xdr:clientData/>
  </xdr:twoCellAnchor>
  <xdr:twoCellAnchor editAs="oneCell">
    <xdr:from>
      <xdr:col>3</xdr:col>
      <xdr:colOff>352423</xdr:colOff>
      <xdr:row>88</xdr:row>
      <xdr:rowOff>2027886</xdr:rowOff>
    </xdr:from>
    <xdr:to>
      <xdr:col>4</xdr:col>
      <xdr:colOff>353483</xdr:colOff>
      <xdr:row>88</xdr:row>
      <xdr:rowOff>3941761</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153956" y="45114753"/>
          <a:ext cx="2879727" cy="1913875"/>
        </a:xfrm>
        <a:prstGeom prst="rect">
          <a:avLst/>
        </a:prstGeom>
        <a:ln>
          <a:solidFill>
            <a:schemeClr val="tx1"/>
          </a:solidFill>
        </a:ln>
      </xdr:spPr>
    </xdr:pic>
    <xdr:clientData/>
  </xdr:twoCellAnchor>
  <xdr:twoCellAnchor editAs="oneCell">
    <xdr:from>
      <xdr:col>3</xdr:col>
      <xdr:colOff>440267</xdr:colOff>
      <xdr:row>91</xdr:row>
      <xdr:rowOff>47626</xdr:rowOff>
    </xdr:from>
    <xdr:to>
      <xdr:col>4</xdr:col>
      <xdr:colOff>364066</xdr:colOff>
      <xdr:row>91</xdr:row>
      <xdr:rowOff>1943100</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18000" y="47774226"/>
          <a:ext cx="2861733" cy="1895474"/>
        </a:xfrm>
        <a:prstGeom prst="rect">
          <a:avLst/>
        </a:prstGeom>
        <a:ln>
          <a:solidFill>
            <a:schemeClr val="tx1"/>
          </a:solidFill>
        </a:ln>
      </xdr:spPr>
    </xdr:pic>
    <xdr:clientData/>
  </xdr:twoCellAnchor>
  <xdr:twoCellAnchor editAs="oneCell">
    <xdr:from>
      <xdr:col>3</xdr:col>
      <xdr:colOff>447675</xdr:colOff>
      <xdr:row>93</xdr:row>
      <xdr:rowOff>47625</xdr:rowOff>
    </xdr:from>
    <xdr:to>
      <xdr:col>4</xdr:col>
      <xdr:colOff>361950</xdr:colOff>
      <xdr:row>93</xdr:row>
      <xdr:rowOff>1943100</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324350" y="40824150"/>
          <a:ext cx="2847975" cy="1895475"/>
        </a:xfrm>
        <a:prstGeom prst="rect">
          <a:avLst/>
        </a:prstGeom>
        <a:ln>
          <a:solidFill>
            <a:schemeClr val="tx1"/>
          </a:solidFill>
        </a:ln>
      </xdr:spPr>
    </xdr:pic>
    <xdr:clientData/>
  </xdr:twoCellAnchor>
  <xdr:twoCellAnchor editAs="oneCell">
    <xdr:from>
      <xdr:col>3</xdr:col>
      <xdr:colOff>447675</xdr:colOff>
      <xdr:row>95</xdr:row>
      <xdr:rowOff>47626</xdr:rowOff>
    </xdr:from>
    <xdr:to>
      <xdr:col>4</xdr:col>
      <xdr:colOff>364578</xdr:colOff>
      <xdr:row>95</xdr:row>
      <xdr:rowOff>1933575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4321175" y="43428709"/>
          <a:ext cx="2850603" cy="1885949"/>
        </a:xfrm>
        <a:prstGeom prst="rect">
          <a:avLst/>
        </a:prstGeom>
        <a:ln>
          <a:solidFill>
            <a:schemeClr val="tx1"/>
          </a:solidFill>
        </a:ln>
      </xdr:spPr>
    </xdr:pic>
    <xdr:clientData/>
  </xdr:twoCellAnchor>
  <xdr:twoCellAnchor editAs="oneCell">
    <xdr:from>
      <xdr:col>3</xdr:col>
      <xdr:colOff>447675</xdr:colOff>
      <xdr:row>96</xdr:row>
      <xdr:rowOff>20619</xdr:rowOff>
    </xdr:from>
    <xdr:to>
      <xdr:col>4</xdr:col>
      <xdr:colOff>364578</xdr:colOff>
      <xdr:row>96</xdr:row>
      <xdr:rowOff>1901825</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3" cstate="print">
          <a:extLst>
            <a:ext uri="{BEBA8EAE-BF5A-486C-A8C5-ECC9F3942E4B}">
              <a14:imgProps xmlns:a14="http://schemas.microsoft.com/office/drawing/2010/main">
                <a14:imgLayer r:embed="rId14">
                  <a14:imgEffect>
                    <a14:brightnessContrast bright="6000"/>
                  </a14:imgEffect>
                </a14:imgLayer>
              </a14:imgProps>
            </a:ext>
            <a:ext uri="{28A0092B-C50C-407E-A947-70E740481C1C}">
              <a14:useLocalDpi xmlns:a14="http://schemas.microsoft.com/office/drawing/2010/main" val="0"/>
            </a:ext>
          </a:extLst>
        </a:blip>
        <a:stretch>
          <a:fillRect/>
        </a:stretch>
      </xdr:blipFill>
      <xdr:spPr>
        <a:xfrm>
          <a:off x="4324350" y="45416769"/>
          <a:ext cx="2850603" cy="1881206"/>
        </a:xfrm>
        <a:prstGeom prst="rect">
          <a:avLst/>
        </a:prstGeom>
        <a:ln>
          <a:solidFill>
            <a:schemeClr val="tx1"/>
          </a:solidFill>
        </a:ln>
      </xdr:spPr>
    </xdr:pic>
    <xdr:clientData/>
  </xdr:twoCellAnchor>
  <xdr:twoCellAnchor editAs="oneCell">
    <xdr:from>
      <xdr:col>3</xdr:col>
      <xdr:colOff>447675</xdr:colOff>
      <xdr:row>96</xdr:row>
      <xdr:rowOff>2053168</xdr:rowOff>
    </xdr:from>
    <xdr:to>
      <xdr:col>4</xdr:col>
      <xdr:colOff>352425</xdr:colOff>
      <xdr:row>96</xdr:row>
      <xdr:rowOff>3958168</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5" cstate="print">
          <a:extLst>
            <a:ext uri="{BEBA8EAE-BF5A-486C-A8C5-ECC9F3942E4B}">
              <a14:imgProps xmlns:a14="http://schemas.microsoft.com/office/drawing/2010/main">
                <a14:imgLayer r:embed="rId16">
                  <a14:imgEffect>
                    <a14:sharpenSoften amount="25000"/>
                  </a14:imgEffect>
                  <a14:imgEffect>
                    <a14:brightnessContrast bright="40000" contrast="20000"/>
                  </a14:imgEffect>
                </a14:imgLayer>
              </a14:imgProps>
            </a:ext>
            <a:ext uri="{28A0092B-C50C-407E-A947-70E740481C1C}">
              <a14:useLocalDpi xmlns:a14="http://schemas.microsoft.com/office/drawing/2010/main" val="0"/>
            </a:ext>
          </a:extLst>
        </a:blip>
        <a:stretch>
          <a:fillRect/>
        </a:stretch>
      </xdr:blipFill>
      <xdr:spPr>
        <a:xfrm>
          <a:off x="4324350" y="47449318"/>
          <a:ext cx="2838450" cy="1905000"/>
        </a:xfrm>
        <a:prstGeom prst="rect">
          <a:avLst/>
        </a:prstGeom>
        <a:ln>
          <a:solidFill>
            <a:schemeClr val="tx1"/>
          </a:solidFill>
        </a:ln>
      </xdr:spPr>
    </xdr:pic>
    <xdr:clientData/>
  </xdr:twoCellAnchor>
  <xdr:oneCellAnchor>
    <xdr:from>
      <xdr:col>2</xdr:col>
      <xdr:colOff>2324114</xdr:colOff>
      <xdr:row>103</xdr:row>
      <xdr:rowOff>31516</xdr:rowOff>
    </xdr:from>
    <xdr:ext cx="1143263" cy="510119"/>
    <xdr:pic>
      <xdr:nvPicPr>
        <xdr:cNvPr id="18" name="Picture 17" descr="C:\Users\lbasham\AppData\Local\Microsoft\Windows\Temporary Internet Files\Content.Outlook\AMGT183Z\1-MM-Standard-logo-small.jpg">
          <a:extLst>
            <a:ext uri="{FF2B5EF4-FFF2-40B4-BE49-F238E27FC236}">
              <a16:creationId xmlns:a16="http://schemas.microsoft.com/office/drawing/2014/main" id="{00000000-0008-0000-0000-000012000000}"/>
            </a:ext>
          </a:extLst>
        </xdr:cNvPr>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3077647" y="83318116"/>
          <a:ext cx="1143263" cy="510119"/>
        </a:xfrm>
        <a:prstGeom prst="rect">
          <a:avLst/>
        </a:prstGeom>
        <a:noFill/>
        <a:ln>
          <a:noFill/>
        </a:ln>
      </xdr:spPr>
    </xdr:pic>
    <xdr:clientData/>
  </xdr:oneCellAnchor>
  <xdr:twoCellAnchor editAs="oneCell">
    <xdr:from>
      <xdr:col>3</xdr:col>
      <xdr:colOff>465666</xdr:colOff>
      <xdr:row>98</xdr:row>
      <xdr:rowOff>105834</xdr:rowOff>
    </xdr:from>
    <xdr:to>
      <xdr:col>4</xdr:col>
      <xdr:colOff>366606</xdr:colOff>
      <xdr:row>98</xdr:row>
      <xdr:rowOff>2032000</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4342341" y="50550234"/>
          <a:ext cx="2834640" cy="1926166"/>
        </a:xfrm>
        <a:prstGeom prst="rect">
          <a:avLst/>
        </a:prstGeom>
        <a:ln>
          <a:solidFill>
            <a:schemeClr val="tx1"/>
          </a:solidFill>
        </a:ln>
      </xdr:spPr>
    </xdr:pic>
    <xdr:clientData/>
  </xdr:twoCellAnchor>
  <xdr:twoCellAnchor editAs="oneCell">
    <xdr:from>
      <xdr:col>3</xdr:col>
      <xdr:colOff>465666</xdr:colOff>
      <xdr:row>98</xdr:row>
      <xdr:rowOff>2190751</xdr:rowOff>
    </xdr:from>
    <xdr:to>
      <xdr:col>4</xdr:col>
      <xdr:colOff>366606</xdr:colOff>
      <xdr:row>98</xdr:row>
      <xdr:rowOff>4423835</xdr:rowOff>
    </xdr:to>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4342341" y="52635151"/>
          <a:ext cx="2834640" cy="2233084"/>
        </a:xfrm>
        <a:prstGeom prst="rect">
          <a:avLst/>
        </a:prstGeom>
        <a:ln>
          <a:solidFill>
            <a:schemeClr val="tx1"/>
          </a:solidFill>
        </a:ln>
      </xdr:spPr>
    </xdr:pic>
    <xdr:clientData/>
  </xdr:twoCellAnchor>
  <xdr:twoCellAnchor editAs="oneCell">
    <xdr:from>
      <xdr:col>3</xdr:col>
      <xdr:colOff>465667</xdr:colOff>
      <xdr:row>99</xdr:row>
      <xdr:rowOff>84667</xdr:rowOff>
    </xdr:from>
    <xdr:to>
      <xdr:col>4</xdr:col>
      <xdr:colOff>366607</xdr:colOff>
      <xdr:row>100</xdr:row>
      <xdr:rowOff>19051</xdr:rowOff>
    </xdr:to>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339167" y="55160334"/>
          <a:ext cx="2834640" cy="1915584"/>
        </a:xfrm>
        <a:prstGeom prst="rect">
          <a:avLst/>
        </a:prstGeom>
        <a:ln>
          <a:solidFill>
            <a:schemeClr val="tx1"/>
          </a:solidFill>
        </a:ln>
      </xdr:spPr>
    </xdr:pic>
    <xdr:clientData/>
  </xdr:twoCellAnchor>
  <xdr:oneCellAnchor>
    <xdr:from>
      <xdr:col>3</xdr:col>
      <xdr:colOff>463977</xdr:colOff>
      <xdr:row>101</xdr:row>
      <xdr:rowOff>109950</xdr:rowOff>
    </xdr:from>
    <xdr:ext cx="2821656" cy="1693465"/>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4350177" y="79493417"/>
          <a:ext cx="2821656" cy="1693465"/>
        </a:xfrm>
        <a:prstGeom prst="rect">
          <a:avLst/>
        </a:prstGeom>
        <a:ln>
          <a:solidFill>
            <a:schemeClr val="tx1"/>
          </a:solidFill>
        </a:ln>
      </xdr:spPr>
    </xdr:pic>
    <xdr:clientData/>
  </xdr:oneCellAnchor>
  <xdr:oneCellAnchor>
    <xdr:from>
      <xdr:col>3</xdr:col>
      <xdr:colOff>463498</xdr:colOff>
      <xdr:row>102</xdr:row>
      <xdr:rowOff>107346</xdr:rowOff>
    </xdr:from>
    <xdr:ext cx="2836810" cy="1638482"/>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4265031" y="61160479"/>
          <a:ext cx="2836810" cy="1638482"/>
        </a:xfrm>
        <a:prstGeom prst="rect">
          <a:avLst/>
        </a:prstGeom>
        <a:ln>
          <a:solidFill>
            <a:schemeClr val="tx1"/>
          </a:solidFill>
        </a:ln>
      </xdr:spPr>
    </xdr:pic>
    <xdr:clientData/>
  </xdr:oneCellAnchor>
  <xdr:oneCellAnchor>
    <xdr:from>
      <xdr:col>3</xdr:col>
      <xdr:colOff>465666</xdr:colOff>
      <xdr:row>100</xdr:row>
      <xdr:rowOff>135335</xdr:rowOff>
    </xdr:from>
    <xdr:ext cx="2827868" cy="1693465"/>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4343399" y="66437802"/>
          <a:ext cx="2827868" cy="1693465"/>
        </a:xfrm>
        <a:prstGeom prst="rect">
          <a:avLst/>
        </a:prstGeom>
        <a:ln>
          <a:solidFill>
            <a:schemeClr val="tx1"/>
          </a:solidFill>
        </a:ln>
      </xdr:spPr>
    </xdr:pic>
    <xdr:clientData/>
  </xdr:oneCellAnchor>
  <xdr:oneCellAnchor>
    <xdr:from>
      <xdr:col>3</xdr:col>
      <xdr:colOff>410593</xdr:colOff>
      <xdr:row>68</xdr:row>
      <xdr:rowOff>153048</xdr:rowOff>
    </xdr:from>
    <xdr:ext cx="2810975" cy="1732253"/>
    <xdr:pic>
      <xdr:nvPicPr>
        <xdr:cNvPr id="29" name="Picture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4212126" y="13733581"/>
          <a:ext cx="2810975" cy="1732253"/>
        </a:xfrm>
        <a:prstGeom prst="rect">
          <a:avLst/>
        </a:prstGeom>
        <a:ln>
          <a:solidFill>
            <a:schemeClr val="tx1"/>
          </a:solidFill>
        </a:ln>
      </xdr:spPr>
    </xdr:pic>
    <xdr:clientData/>
  </xdr:oneCellAnchor>
  <xdr:oneCellAnchor>
    <xdr:from>
      <xdr:col>3</xdr:col>
      <xdr:colOff>423335</xdr:colOff>
      <xdr:row>64</xdr:row>
      <xdr:rowOff>27281</xdr:rowOff>
    </xdr:from>
    <xdr:ext cx="2826772" cy="2013185"/>
    <xdr:pic>
      <xdr:nvPicPr>
        <xdr:cNvPr id="30" name="Pictur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4224868" y="13599348"/>
          <a:ext cx="2826772" cy="2013185"/>
        </a:xfrm>
        <a:prstGeom prst="rect">
          <a:avLst/>
        </a:prstGeom>
        <a:ln>
          <a:solidFill>
            <a:schemeClr val="tx1"/>
          </a:solidFill>
        </a:ln>
      </xdr:spPr>
    </xdr:pic>
    <xdr:clientData/>
  </xdr:oneCellAnchor>
  <xdr:oneCellAnchor>
    <xdr:from>
      <xdr:col>3</xdr:col>
      <xdr:colOff>410593</xdr:colOff>
      <xdr:row>71</xdr:row>
      <xdr:rowOff>136291</xdr:rowOff>
    </xdr:from>
    <xdr:ext cx="2810975" cy="1765767"/>
    <xdr:pic>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4212126" y="19118558"/>
          <a:ext cx="2810975" cy="1765767"/>
        </a:xfrm>
        <a:prstGeom prst="rect">
          <a:avLst/>
        </a:prstGeom>
        <a:ln>
          <a:solidFill>
            <a:schemeClr val="tx1"/>
          </a:solidFill>
        </a:ln>
      </xdr:spPr>
    </xdr:pic>
    <xdr:clientData/>
  </xdr:oneCellAnchor>
  <xdr:oneCellAnchor>
    <xdr:from>
      <xdr:col>3</xdr:col>
      <xdr:colOff>409576</xdr:colOff>
      <xdr:row>72</xdr:row>
      <xdr:rowOff>76201</xdr:rowOff>
    </xdr:from>
    <xdr:ext cx="2811991" cy="1885950"/>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4211109" y="28304068"/>
          <a:ext cx="2811991" cy="1885950"/>
        </a:xfrm>
        <a:prstGeom prst="rect">
          <a:avLst/>
        </a:prstGeom>
        <a:ln>
          <a:solidFill>
            <a:schemeClr val="tx1"/>
          </a:solidFill>
        </a:ln>
      </xdr:spPr>
    </xdr:pic>
    <xdr:clientData/>
  </xdr:oneCellAnchor>
  <xdr:oneCellAnchor>
    <xdr:from>
      <xdr:col>3</xdr:col>
      <xdr:colOff>461656</xdr:colOff>
      <xdr:row>55</xdr:row>
      <xdr:rowOff>543747</xdr:rowOff>
    </xdr:from>
    <xdr:ext cx="2814945" cy="1399353"/>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8">
          <a:extLst>
            <a:ext uri="{28A0092B-C50C-407E-A947-70E740481C1C}">
              <a14:useLocalDpi xmlns:a14="http://schemas.microsoft.com/office/drawing/2010/main" val="0"/>
            </a:ext>
          </a:extLst>
        </a:blip>
        <a:srcRect t="62163" b="-371"/>
        <a:stretch>
          <a:fillRect/>
        </a:stretch>
      </xdr:blipFill>
      <xdr:spPr>
        <a:xfrm>
          <a:off x="4469776" y="14122587"/>
          <a:ext cx="2814945" cy="1399353"/>
        </a:xfrm>
        <a:prstGeom prst="rect">
          <a:avLst/>
        </a:prstGeom>
        <a:ln>
          <a:solidFill>
            <a:schemeClr val="tx1"/>
          </a:solidFill>
        </a:ln>
      </xdr:spPr>
    </xdr:pic>
    <xdr:clientData/>
  </xdr:oneCellAnchor>
  <xdr:twoCellAnchor editAs="oneCell">
    <xdr:from>
      <xdr:col>1</xdr:col>
      <xdr:colOff>118536</xdr:colOff>
      <xdr:row>55</xdr:row>
      <xdr:rowOff>1945639</xdr:rowOff>
    </xdr:from>
    <xdr:to>
      <xdr:col>2</xdr:col>
      <xdr:colOff>3022603</xdr:colOff>
      <xdr:row>55</xdr:row>
      <xdr:rowOff>2147036</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56636" y="15524479"/>
          <a:ext cx="3620347" cy="201397"/>
        </a:xfrm>
        <a:prstGeom prst="rect">
          <a:avLst/>
        </a:prstGeom>
      </xdr:spPr>
    </xdr:pic>
    <xdr:clientData/>
  </xdr:twoCellAnchor>
  <xdr:twoCellAnchor editAs="oneCell">
    <xdr:from>
      <xdr:col>3</xdr:col>
      <xdr:colOff>448734</xdr:colOff>
      <xdr:row>55</xdr:row>
      <xdr:rowOff>203202</xdr:rowOff>
    </xdr:from>
    <xdr:to>
      <xdr:col>4</xdr:col>
      <xdr:colOff>416290</xdr:colOff>
      <xdr:row>55</xdr:row>
      <xdr:rowOff>364069</xdr:rowOff>
    </xdr:to>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4334934" y="13766802"/>
          <a:ext cx="2871623" cy="160867"/>
        </a:xfrm>
        <a:prstGeom prst="rect">
          <a:avLst/>
        </a:prstGeom>
      </xdr:spPr>
    </xdr:pic>
    <xdr:clientData/>
  </xdr:twoCellAnchor>
  <xdr:oneCellAnchor>
    <xdr:from>
      <xdr:col>3</xdr:col>
      <xdr:colOff>518562</xdr:colOff>
      <xdr:row>58</xdr:row>
      <xdr:rowOff>1556175</xdr:rowOff>
    </xdr:from>
    <xdr:ext cx="2743646" cy="2169160"/>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xdr:blipFill>
      <xdr:spPr>
        <a:xfrm>
          <a:off x="4480962" y="21545975"/>
          <a:ext cx="2743646" cy="2169160"/>
        </a:xfrm>
        <a:prstGeom prst="rect">
          <a:avLst/>
        </a:prstGeom>
        <a:ln>
          <a:solidFill>
            <a:schemeClr val="tx1"/>
          </a:solidFill>
        </a:ln>
      </xdr:spPr>
    </xdr:pic>
    <xdr:clientData/>
  </xdr:oneCellAnchor>
  <xdr:oneCellAnchor>
    <xdr:from>
      <xdr:col>3</xdr:col>
      <xdr:colOff>516469</xdr:colOff>
      <xdr:row>58</xdr:row>
      <xdr:rowOff>170939</xdr:rowOff>
    </xdr:from>
    <xdr:ext cx="2743646" cy="1031445"/>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Lst>
        </a:blip>
        <a:srcRect/>
        <a:stretch/>
      </xdr:blipFill>
      <xdr:spPr>
        <a:xfrm>
          <a:off x="4478869" y="20160739"/>
          <a:ext cx="2743646" cy="1031445"/>
        </a:xfrm>
        <a:prstGeom prst="rect">
          <a:avLst/>
        </a:prstGeom>
        <a:ln>
          <a:solidFill>
            <a:schemeClr val="tx1"/>
          </a:solidFill>
        </a:ln>
      </xdr:spPr>
    </xdr:pic>
    <xdr:clientData/>
  </xdr:oneCellAnchor>
  <xdr:oneCellAnchor>
    <xdr:from>
      <xdr:col>3</xdr:col>
      <xdr:colOff>516468</xdr:colOff>
      <xdr:row>60</xdr:row>
      <xdr:rowOff>412329</xdr:rowOff>
    </xdr:from>
    <xdr:ext cx="2743200" cy="1463040"/>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401" t="24702" r="2824" b="-894"/>
        <a:stretch/>
      </xdr:blipFill>
      <xdr:spPr>
        <a:xfrm>
          <a:off x="4471248" y="23889549"/>
          <a:ext cx="2743200" cy="1463040"/>
        </a:xfrm>
        <a:prstGeom prst="rect">
          <a:avLst/>
        </a:prstGeom>
        <a:ln>
          <a:solidFill>
            <a:schemeClr val="tx1"/>
          </a:solidFill>
        </a:ln>
      </xdr:spPr>
    </xdr:pic>
    <xdr:clientData/>
  </xdr:oneCellAnchor>
  <xdr:twoCellAnchor editAs="oneCell">
    <xdr:from>
      <xdr:col>3</xdr:col>
      <xdr:colOff>485140</xdr:colOff>
      <xdr:row>56</xdr:row>
      <xdr:rowOff>334433</xdr:rowOff>
    </xdr:from>
    <xdr:to>
      <xdr:col>4</xdr:col>
      <xdr:colOff>324273</xdr:colOff>
      <xdr:row>56</xdr:row>
      <xdr:rowOff>1431713</xdr:rowOff>
    </xdr:to>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rotWithShape="1">
        <a:blip xmlns:r="http://schemas.openxmlformats.org/officeDocument/2006/relationships" r:embed="rId32">
          <a:extLst>
            <a:ext uri="{BEBA8EAE-BF5A-486C-A8C5-ECC9F3942E4B}">
              <a14:imgProps xmlns:a14="http://schemas.microsoft.com/office/drawing/2010/main">
                <a14:imgLayer r:embed="rId33">
                  <a14:imgEffect>
                    <a14:sharpenSoften amount="-2000"/>
                  </a14:imgEffect>
                  <a14:imgEffect>
                    <a14:brightnessContrast contrast="-5000"/>
                  </a14:imgEffect>
                </a14:imgLayer>
              </a14:imgProps>
            </a:ext>
            <a:ext uri="{28A0092B-C50C-407E-A947-70E740481C1C}">
              <a14:useLocalDpi xmlns:a14="http://schemas.microsoft.com/office/drawing/2010/main" val="0"/>
            </a:ext>
          </a:extLst>
        </a:blip>
        <a:srcRect l="1613" t="837" r="1613" b="24162"/>
        <a:stretch/>
      </xdr:blipFill>
      <xdr:spPr>
        <a:xfrm>
          <a:off x="4493260" y="18012833"/>
          <a:ext cx="2780453" cy="1097280"/>
        </a:xfrm>
        <a:prstGeom prst="rect">
          <a:avLst/>
        </a:prstGeom>
        <a:ln>
          <a:solidFill>
            <a:schemeClr val="tx1"/>
          </a:solidFill>
        </a:ln>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7620</xdr:rowOff>
        </xdr:from>
        <xdr:to>
          <xdr:col>1</xdr:col>
          <xdr:colOff>464820</xdr:colOff>
          <xdr:row>1</xdr:row>
          <xdr:rowOff>114300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73152" tIns="0" rIns="73152" bIns="41148" anchor="b" upright="1"/>
            <a:lstStyle/>
            <a:p>
              <a:pPr algn="ctr" rtl="0">
                <a:defRPr sz="1000"/>
              </a:pPr>
              <a:r>
                <a:rPr lang="en-US" sz="16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0</xdr:row>
          <xdr:rowOff>0</xdr:rowOff>
        </xdr:from>
        <xdr:to>
          <xdr:col>2</xdr:col>
          <xdr:colOff>1028700</xdr:colOff>
          <xdr:row>1</xdr:row>
          <xdr:rowOff>114300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Print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175260</xdr:rowOff>
        </xdr:from>
        <xdr:to>
          <xdr:col>2</xdr:col>
          <xdr:colOff>129540</xdr:colOff>
          <xdr:row>2</xdr:row>
          <xdr:rowOff>152400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2080260</xdr:colOff>
          <xdr:row>0</xdr:row>
          <xdr:rowOff>7620</xdr:rowOff>
        </xdr:from>
        <xdr:to>
          <xdr:col>4</xdr:col>
          <xdr:colOff>655320</xdr:colOff>
          <xdr:row>1</xdr:row>
          <xdr:rowOff>274320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66CC"/>
                  </a:solidFill>
                  <a:latin typeface="Calibri"/>
                  <a:ea typeface="Calibri"/>
                  <a:cs typeface="Calibri"/>
                </a:rPr>
                <a:t>Click Here to Hide</a:t>
              </a:r>
            </a:p>
            <a:p>
              <a:pPr algn="ctr" rtl="0">
                <a:defRPr sz="1000"/>
              </a:pPr>
              <a:r>
                <a:rPr lang="en-US" sz="1100" b="1" i="0" u="none" strike="noStrike" baseline="0">
                  <a:solidFill>
                    <a:srgbClr val="0066CC"/>
                  </a:solidFill>
                  <a:latin typeface="Calibri"/>
                  <a:ea typeface="Calibri"/>
                  <a:cs typeface="Calibri"/>
                </a:rPr>
                <a:t>Instructions &amp; Start</a:t>
              </a:r>
            </a:p>
          </xdr:txBody>
        </xdr:sp>
        <xdr:clientData fPrintsWithSheet="0"/>
      </xdr:twoCellAnchor>
    </mc:Choice>
    <mc:Fallback/>
  </mc:AlternateContent>
  <xdr:oneCellAnchor>
    <xdr:from>
      <xdr:col>3</xdr:col>
      <xdr:colOff>472440</xdr:colOff>
      <xdr:row>55</xdr:row>
      <xdr:rowOff>2278380</xdr:rowOff>
    </xdr:from>
    <xdr:ext cx="2814945" cy="1813560"/>
    <xdr:pic>
      <xdr:nvPicPr>
        <xdr:cNvPr id="27" name="Picture 26">
          <a:extLst>
            <a:ext uri="{FF2B5EF4-FFF2-40B4-BE49-F238E27FC236}">
              <a16:creationId xmlns:a16="http://schemas.microsoft.com/office/drawing/2014/main" id="{3A87EEE2-EC60-4EAF-AC81-E1ABB2413467}"/>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val="0"/>
            </a:ext>
          </a:extLst>
        </a:blip>
        <a:srcRect t="-1667" b="-1667"/>
        <a:stretch>
          <a:fillRect/>
        </a:stretch>
      </xdr:blipFill>
      <xdr:spPr>
        <a:xfrm>
          <a:off x="4480560" y="15857220"/>
          <a:ext cx="2814945" cy="1813560"/>
        </a:xfrm>
        <a:prstGeom prst="rect">
          <a:avLst/>
        </a:prstGeom>
        <a:ln>
          <a:solidFill>
            <a:schemeClr val="tx1"/>
          </a:solidFill>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4</xdr:col>
      <xdr:colOff>1366851</xdr:colOff>
      <xdr:row>68</xdr:row>
      <xdr:rowOff>67734</xdr:rowOff>
    </xdr:from>
    <xdr:to>
      <xdr:col>5</xdr:col>
      <xdr:colOff>1124332</xdr:colOff>
      <xdr:row>73</xdr:row>
      <xdr:rowOff>55460</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95651" y="12581467"/>
          <a:ext cx="1142204" cy="508003"/>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3</xdr:col>
          <xdr:colOff>236220</xdr:colOff>
          <xdr:row>17</xdr:row>
          <xdr:rowOff>68580</xdr:rowOff>
        </xdr:from>
        <xdr:to>
          <xdr:col>4</xdr:col>
          <xdr:colOff>777240</xdr:colOff>
          <xdr:row>18</xdr:row>
          <xdr:rowOff>99060</xdr:rowOff>
        </xdr:to>
        <xdr:sp macro="" textlink="">
          <xdr:nvSpPr>
            <xdr:cNvPr id="94210" name="Drop Down 2" hidden="1">
              <a:extLst>
                <a:ext uri="{63B3BB69-23CF-44E3-9099-C40C66FF867C}">
                  <a14:compatExt spid="_x0000_s94210"/>
                </a:ext>
                <a:ext uri="{FF2B5EF4-FFF2-40B4-BE49-F238E27FC236}">
                  <a16:creationId xmlns:a16="http://schemas.microsoft.com/office/drawing/2014/main" id="{00000000-0008-0000-0100-000002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411480</xdr:colOff>
          <xdr:row>18</xdr:row>
          <xdr:rowOff>114300</xdr:rowOff>
        </xdr:from>
        <xdr:to>
          <xdr:col>3</xdr:col>
          <xdr:colOff>449580</xdr:colOff>
          <xdr:row>19</xdr:row>
          <xdr:rowOff>121920</xdr:rowOff>
        </xdr:to>
        <xdr:sp macro="" textlink="">
          <xdr:nvSpPr>
            <xdr:cNvPr id="94211" name="Option Button 3" hidden="1">
              <a:extLst>
                <a:ext uri="{63B3BB69-23CF-44E3-9099-C40C66FF867C}">
                  <a14:compatExt spid="_x0000_s94211"/>
                </a:ext>
                <a:ext uri="{FF2B5EF4-FFF2-40B4-BE49-F238E27FC236}">
                  <a16:creationId xmlns:a16="http://schemas.microsoft.com/office/drawing/2014/main" id="{00000000-0008-0000-0100-0000037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Purchase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502920</xdr:colOff>
          <xdr:row>18</xdr:row>
          <xdr:rowOff>114300</xdr:rowOff>
        </xdr:from>
        <xdr:to>
          <xdr:col>4</xdr:col>
          <xdr:colOff>541020</xdr:colOff>
          <xdr:row>19</xdr:row>
          <xdr:rowOff>121920</xdr:rowOff>
        </xdr:to>
        <xdr:sp macro="" textlink="">
          <xdr:nvSpPr>
            <xdr:cNvPr id="94212" name="Option Button 4" hidden="1">
              <a:extLst>
                <a:ext uri="{63B3BB69-23CF-44E3-9099-C40C66FF867C}">
                  <a14:compatExt spid="_x0000_s94212"/>
                </a:ext>
                <a:ext uri="{FF2B5EF4-FFF2-40B4-BE49-F238E27FC236}">
                  <a16:creationId xmlns:a16="http://schemas.microsoft.com/office/drawing/2014/main" id="{00000000-0008-0000-0100-0000047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Refinance</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xdr:colOff>
          <xdr:row>0</xdr:row>
          <xdr:rowOff>7620</xdr:rowOff>
        </xdr:from>
        <xdr:to>
          <xdr:col>2</xdr:col>
          <xdr:colOff>60960</xdr:colOff>
          <xdr:row>1</xdr:row>
          <xdr:rowOff>121920</xdr:rowOff>
        </xdr:to>
        <xdr:sp macro="" textlink="">
          <xdr:nvSpPr>
            <xdr:cNvPr id="94462" name="Button 254" hidden="1">
              <a:extLst>
                <a:ext uri="{63B3BB69-23CF-44E3-9099-C40C66FF867C}">
                  <a14:compatExt spid="_x0000_s94462"/>
                </a:ext>
                <a:ext uri="{FF2B5EF4-FFF2-40B4-BE49-F238E27FC236}">
                  <a16:creationId xmlns:a16="http://schemas.microsoft.com/office/drawing/2014/main" id="{00000000-0008-0000-0100-0000FE700100}"/>
                </a:ext>
              </a:extLst>
            </xdr:cNvPr>
            <xdr:cNvSpPr/>
          </xdr:nvSpPr>
          <xdr:spPr bwMode="auto">
            <a:xfrm>
              <a:off x="0" y="0"/>
              <a:ext cx="0" cy="0"/>
            </a:xfrm>
            <a:prstGeom prst="rect">
              <a:avLst/>
            </a:prstGeom>
            <a:noFill/>
            <a:ln w="9525">
              <a:miter lim="800000"/>
              <a:headEnd/>
              <a:tailEnd/>
            </a:ln>
          </xdr:spPr>
          <xdr:txBody>
            <a:bodyPr vertOverflow="clip" wrap="square" lIns="82296" tIns="0" rIns="82296" bIns="36576" anchor="b" upright="1"/>
            <a:lstStyle/>
            <a:p>
              <a:pPr algn="ctr" rtl="0">
                <a:defRPr sz="1000"/>
              </a:pPr>
              <a:r>
                <a:rPr lang="en-US" sz="1600" b="0" i="0" u="none" strike="noStrike" baseline="0">
                  <a:solidFill>
                    <a:srgbClr val="0066CC"/>
                  </a:solidFill>
                  <a:latin typeface="Wingdings 2"/>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121920</xdr:colOff>
          <xdr:row>0</xdr:row>
          <xdr:rowOff>0</xdr:rowOff>
        </xdr:from>
        <xdr:to>
          <xdr:col>2</xdr:col>
          <xdr:colOff>541020</xdr:colOff>
          <xdr:row>1</xdr:row>
          <xdr:rowOff>121920</xdr:rowOff>
        </xdr:to>
        <xdr:sp macro="" textlink="">
          <xdr:nvSpPr>
            <xdr:cNvPr id="94463" name="Button 255" hidden="1">
              <a:extLst>
                <a:ext uri="{63B3BB69-23CF-44E3-9099-C40C66FF867C}">
                  <a14:compatExt spid="_x0000_s94463"/>
                </a:ext>
                <a:ext uri="{FF2B5EF4-FFF2-40B4-BE49-F238E27FC236}">
                  <a16:creationId xmlns:a16="http://schemas.microsoft.com/office/drawing/2014/main" id="{00000000-0008-0000-0100-0000FF7001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US" sz="1600" b="0" i="0" u="none" strike="noStrike" baseline="0">
                  <a:solidFill>
                    <a:srgbClr val="0066CC"/>
                  </a:solidFill>
                  <a:latin typeface="Wingdings"/>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0</xdr:row>
          <xdr:rowOff>0</xdr:rowOff>
        </xdr:from>
        <xdr:to>
          <xdr:col>4</xdr:col>
          <xdr:colOff>53340</xdr:colOff>
          <xdr:row>1</xdr:row>
          <xdr:rowOff>121920</xdr:rowOff>
        </xdr:to>
        <xdr:sp macro="" textlink="">
          <xdr:nvSpPr>
            <xdr:cNvPr id="94464" name="Button 256" hidden="1">
              <a:extLst>
                <a:ext uri="{63B3BB69-23CF-44E3-9099-C40C66FF867C}">
                  <a14:compatExt spid="_x0000_s94464"/>
                </a:ext>
                <a:ext uri="{FF2B5EF4-FFF2-40B4-BE49-F238E27FC236}">
                  <a16:creationId xmlns:a16="http://schemas.microsoft.com/office/drawing/2014/main" id="{00000000-0008-0000-0100-000000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66CC"/>
                  </a:solidFill>
                  <a:latin typeface="Calibri"/>
                  <a:ea typeface="Calibri"/>
                  <a:cs typeface="Calibri"/>
                </a:rPr>
                <a:t>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182880</xdr:rowOff>
        </xdr:from>
        <xdr:to>
          <xdr:col>2</xdr:col>
          <xdr:colOff>548640</xdr:colOff>
          <xdr:row>2</xdr:row>
          <xdr:rowOff>175260</xdr:rowOff>
        </xdr:to>
        <xdr:sp macro="" textlink="">
          <xdr:nvSpPr>
            <xdr:cNvPr id="94465" name="Button 257" hidden="1">
              <a:extLst>
                <a:ext uri="{63B3BB69-23CF-44E3-9099-C40C66FF867C}">
                  <a14:compatExt spid="_x0000_s94465"/>
                </a:ext>
                <a:ext uri="{FF2B5EF4-FFF2-40B4-BE49-F238E27FC236}">
                  <a16:creationId xmlns:a16="http://schemas.microsoft.com/office/drawing/2014/main" id="{00000000-0008-0000-0100-000001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213360</xdr:colOff>
          <xdr:row>2</xdr:row>
          <xdr:rowOff>45720</xdr:rowOff>
        </xdr:from>
        <xdr:to>
          <xdr:col>18</xdr:col>
          <xdr:colOff>365760</xdr:colOff>
          <xdr:row>3</xdr:row>
          <xdr:rowOff>15240</xdr:rowOff>
        </xdr:to>
        <xdr:sp macro="" textlink="">
          <xdr:nvSpPr>
            <xdr:cNvPr id="94468" name="Button 260" hidden="1">
              <a:extLst>
                <a:ext uri="{63B3BB69-23CF-44E3-9099-C40C66FF867C}">
                  <a14:compatExt spid="_x0000_s94468"/>
                </a:ext>
                <a:ext uri="{FF2B5EF4-FFF2-40B4-BE49-F238E27FC236}">
                  <a16:creationId xmlns:a16="http://schemas.microsoft.com/office/drawing/2014/main" id="{00000000-0008-0000-0100-000004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213360</xdr:colOff>
          <xdr:row>3</xdr:row>
          <xdr:rowOff>114300</xdr:rowOff>
        </xdr:from>
        <xdr:to>
          <xdr:col>18</xdr:col>
          <xdr:colOff>365760</xdr:colOff>
          <xdr:row>4</xdr:row>
          <xdr:rowOff>198120</xdr:rowOff>
        </xdr:to>
        <xdr:sp macro="" textlink="">
          <xdr:nvSpPr>
            <xdr:cNvPr id="94469" name="Button 261" hidden="1">
              <a:extLst>
                <a:ext uri="{63B3BB69-23CF-44E3-9099-C40C66FF867C}">
                  <a14:compatExt spid="_x0000_s94469"/>
                </a:ext>
                <a:ext uri="{FF2B5EF4-FFF2-40B4-BE49-F238E27FC236}">
                  <a16:creationId xmlns:a16="http://schemas.microsoft.com/office/drawing/2014/main" id="{00000000-0008-0000-0100-000005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213360</xdr:colOff>
          <xdr:row>6</xdr:row>
          <xdr:rowOff>0</xdr:rowOff>
        </xdr:from>
        <xdr:to>
          <xdr:col>18</xdr:col>
          <xdr:colOff>365760</xdr:colOff>
          <xdr:row>7</xdr:row>
          <xdr:rowOff>38100</xdr:rowOff>
        </xdr:to>
        <xdr:sp macro="" textlink="">
          <xdr:nvSpPr>
            <xdr:cNvPr id="94470" name="Button 262" hidden="1">
              <a:extLst>
                <a:ext uri="{63B3BB69-23CF-44E3-9099-C40C66FF867C}">
                  <a14:compatExt spid="_x0000_s94470"/>
                </a:ext>
                <a:ext uri="{FF2B5EF4-FFF2-40B4-BE49-F238E27FC236}">
                  <a16:creationId xmlns:a16="http://schemas.microsoft.com/office/drawing/2014/main" id="{00000000-0008-0000-0100-000006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8</xdr:row>
          <xdr:rowOff>160020</xdr:rowOff>
        </xdr:from>
        <xdr:to>
          <xdr:col>18</xdr:col>
          <xdr:colOff>30480</xdr:colOff>
          <xdr:row>10</xdr:row>
          <xdr:rowOff>30480</xdr:rowOff>
        </xdr:to>
        <xdr:sp macro="" textlink="">
          <xdr:nvSpPr>
            <xdr:cNvPr id="94471" name="Button 263" hidden="1">
              <a:extLst>
                <a:ext uri="{63B3BB69-23CF-44E3-9099-C40C66FF867C}">
                  <a14:compatExt spid="_x0000_s94471"/>
                </a:ext>
                <a:ext uri="{FF2B5EF4-FFF2-40B4-BE49-F238E27FC236}">
                  <a16:creationId xmlns:a16="http://schemas.microsoft.com/office/drawing/2014/main" id="{00000000-0008-0000-0100-000007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8</xdr:row>
          <xdr:rowOff>160020</xdr:rowOff>
        </xdr:from>
        <xdr:to>
          <xdr:col>19</xdr:col>
          <xdr:colOff>358140</xdr:colOff>
          <xdr:row>10</xdr:row>
          <xdr:rowOff>30480</xdr:rowOff>
        </xdr:to>
        <xdr:sp macro="" textlink="">
          <xdr:nvSpPr>
            <xdr:cNvPr id="94474" name="Button 266" hidden="1">
              <a:extLst>
                <a:ext uri="{63B3BB69-23CF-44E3-9099-C40C66FF867C}">
                  <a14:compatExt spid="_x0000_s94474"/>
                </a:ext>
                <a:ext uri="{FF2B5EF4-FFF2-40B4-BE49-F238E27FC236}">
                  <a16:creationId xmlns:a16="http://schemas.microsoft.com/office/drawing/2014/main" id="{00000000-0008-0000-0100-00000A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10</xdr:row>
          <xdr:rowOff>167640</xdr:rowOff>
        </xdr:from>
        <xdr:to>
          <xdr:col>18</xdr:col>
          <xdr:colOff>30480</xdr:colOff>
          <xdr:row>12</xdr:row>
          <xdr:rowOff>38100</xdr:rowOff>
        </xdr:to>
        <xdr:sp macro="" textlink="">
          <xdr:nvSpPr>
            <xdr:cNvPr id="94477" name="Button 269" hidden="1">
              <a:extLst>
                <a:ext uri="{63B3BB69-23CF-44E3-9099-C40C66FF867C}">
                  <a14:compatExt spid="_x0000_s94477"/>
                </a:ext>
                <a:ext uri="{FF2B5EF4-FFF2-40B4-BE49-F238E27FC236}">
                  <a16:creationId xmlns:a16="http://schemas.microsoft.com/office/drawing/2014/main" id="{00000000-0008-0000-0100-00000D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10</xdr:row>
          <xdr:rowOff>167640</xdr:rowOff>
        </xdr:from>
        <xdr:to>
          <xdr:col>19</xdr:col>
          <xdr:colOff>358140</xdr:colOff>
          <xdr:row>12</xdr:row>
          <xdr:rowOff>38100</xdr:rowOff>
        </xdr:to>
        <xdr:sp macro="" textlink="">
          <xdr:nvSpPr>
            <xdr:cNvPr id="94478" name="Button 270" hidden="1">
              <a:extLst>
                <a:ext uri="{63B3BB69-23CF-44E3-9099-C40C66FF867C}">
                  <a14:compatExt spid="_x0000_s94478"/>
                </a:ext>
                <a:ext uri="{FF2B5EF4-FFF2-40B4-BE49-F238E27FC236}">
                  <a16:creationId xmlns:a16="http://schemas.microsoft.com/office/drawing/2014/main" id="{00000000-0008-0000-0100-00000E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12</xdr:row>
          <xdr:rowOff>167640</xdr:rowOff>
        </xdr:from>
        <xdr:to>
          <xdr:col>18</xdr:col>
          <xdr:colOff>30480</xdr:colOff>
          <xdr:row>14</xdr:row>
          <xdr:rowOff>38100</xdr:rowOff>
        </xdr:to>
        <xdr:sp macro="" textlink="">
          <xdr:nvSpPr>
            <xdr:cNvPr id="94479" name="Button 271" hidden="1">
              <a:extLst>
                <a:ext uri="{63B3BB69-23CF-44E3-9099-C40C66FF867C}">
                  <a14:compatExt spid="_x0000_s94479"/>
                </a:ext>
                <a:ext uri="{FF2B5EF4-FFF2-40B4-BE49-F238E27FC236}">
                  <a16:creationId xmlns:a16="http://schemas.microsoft.com/office/drawing/2014/main" id="{00000000-0008-0000-0100-00000F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12</xdr:row>
          <xdr:rowOff>167640</xdr:rowOff>
        </xdr:from>
        <xdr:to>
          <xdr:col>19</xdr:col>
          <xdr:colOff>358140</xdr:colOff>
          <xdr:row>14</xdr:row>
          <xdr:rowOff>38100</xdr:rowOff>
        </xdr:to>
        <xdr:sp macro="" textlink="">
          <xdr:nvSpPr>
            <xdr:cNvPr id="94480" name="Button 272" hidden="1">
              <a:extLst>
                <a:ext uri="{63B3BB69-23CF-44E3-9099-C40C66FF867C}">
                  <a14:compatExt spid="_x0000_s94480"/>
                </a:ext>
                <a:ext uri="{FF2B5EF4-FFF2-40B4-BE49-F238E27FC236}">
                  <a16:creationId xmlns:a16="http://schemas.microsoft.com/office/drawing/2014/main" id="{00000000-0008-0000-0100-000010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14</xdr:row>
          <xdr:rowOff>190500</xdr:rowOff>
        </xdr:from>
        <xdr:to>
          <xdr:col>18</xdr:col>
          <xdr:colOff>30480</xdr:colOff>
          <xdr:row>16</xdr:row>
          <xdr:rowOff>22860</xdr:rowOff>
        </xdr:to>
        <xdr:sp macro="" textlink="">
          <xdr:nvSpPr>
            <xdr:cNvPr id="94481" name="Button 273" hidden="1">
              <a:extLst>
                <a:ext uri="{63B3BB69-23CF-44E3-9099-C40C66FF867C}">
                  <a14:compatExt spid="_x0000_s94481"/>
                </a:ext>
                <a:ext uri="{FF2B5EF4-FFF2-40B4-BE49-F238E27FC236}">
                  <a16:creationId xmlns:a16="http://schemas.microsoft.com/office/drawing/2014/main" id="{00000000-0008-0000-0100-000011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14</xdr:row>
          <xdr:rowOff>190500</xdr:rowOff>
        </xdr:from>
        <xdr:to>
          <xdr:col>19</xdr:col>
          <xdr:colOff>358140</xdr:colOff>
          <xdr:row>16</xdr:row>
          <xdr:rowOff>22860</xdr:rowOff>
        </xdr:to>
        <xdr:sp macro="" textlink="">
          <xdr:nvSpPr>
            <xdr:cNvPr id="94482" name="Button 274" hidden="1">
              <a:extLst>
                <a:ext uri="{63B3BB69-23CF-44E3-9099-C40C66FF867C}">
                  <a14:compatExt spid="_x0000_s94482"/>
                </a:ext>
                <a:ext uri="{FF2B5EF4-FFF2-40B4-BE49-F238E27FC236}">
                  <a16:creationId xmlns:a16="http://schemas.microsoft.com/office/drawing/2014/main" id="{00000000-0008-0000-0100-000012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16</xdr:row>
          <xdr:rowOff>152400</xdr:rowOff>
        </xdr:from>
        <xdr:to>
          <xdr:col>18</xdr:col>
          <xdr:colOff>30480</xdr:colOff>
          <xdr:row>18</xdr:row>
          <xdr:rowOff>45720</xdr:rowOff>
        </xdr:to>
        <xdr:sp macro="" textlink="">
          <xdr:nvSpPr>
            <xdr:cNvPr id="94483" name="Button 275" hidden="1">
              <a:extLst>
                <a:ext uri="{63B3BB69-23CF-44E3-9099-C40C66FF867C}">
                  <a14:compatExt spid="_x0000_s94483"/>
                </a:ext>
                <a:ext uri="{FF2B5EF4-FFF2-40B4-BE49-F238E27FC236}">
                  <a16:creationId xmlns:a16="http://schemas.microsoft.com/office/drawing/2014/main" id="{00000000-0008-0000-0100-000013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16</xdr:row>
          <xdr:rowOff>152400</xdr:rowOff>
        </xdr:from>
        <xdr:to>
          <xdr:col>19</xdr:col>
          <xdr:colOff>358140</xdr:colOff>
          <xdr:row>18</xdr:row>
          <xdr:rowOff>45720</xdr:rowOff>
        </xdr:to>
        <xdr:sp macro="" textlink="">
          <xdr:nvSpPr>
            <xdr:cNvPr id="94484" name="Button 276" hidden="1">
              <a:extLst>
                <a:ext uri="{63B3BB69-23CF-44E3-9099-C40C66FF867C}">
                  <a14:compatExt spid="_x0000_s94484"/>
                </a:ext>
                <a:ext uri="{FF2B5EF4-FFF2-40B4-BE49-F238E27FC236}">
                  <a16:creationId xmlns:a16="http://schemas.microsoft.com/office/drawing/2014/main" id="{00000000-0008-0000-0100-000014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18</xdr:row>
          <xdr:rowOff>137160</xdr:rowOff>
        </xdr:from>
        <xdr:to>
          <xdr:col>18</xdr:col>
          <xdr:colOff>30480</xdr:colOff>
          <xdr:row>20</xdr:row>
          <xdr:rowOff>45720</xdr:rowOff>
        </xdr:to>
        <xdr:sp macro="" textlink="">
          <xdr:nvSpPr>
            <xdr:cNvPr id="94485" name="Button 277" hidden="1">
              <a:extLst>
                <a:ext uri="{63B3BB69-23CF-44E3-9099-C40C66FF867C}">
                  <a14:compatExt spid="_x0000_s94485"/>
                </a:ext>
                <a:ext uri="{FF2B5EF4-FFF2-40B4-BE49-F238E27FC236}">
                  <a16:creationId xmlns:a16="http://schemas.microsoft.com/office/drawing/2014/main" id="{00000000-0008-0000-0100-000015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18</xdr:row>
          <xdr:rowOff>137160</xdr:rowOff>
        </xdr:from>
        <xdr:to>
          <xdr:col>19</xdr:col>
          <xdr:colOff>358140</xdr:colOff>
          <xdr:row>20</xdr:row>
          <xdr:rowOff>45720</xdr:rowOff>
        </xdr:to>
        <xdr:sp macro="" textlink="">
          <xdr:nvSpPr>
            <xdr:cNvPr id="94486" name="Button 278" hidden="1">
              <a:extLst>
                <a:ext uri="{63B3BB69-23CF-44E3-9099-C40C66FF867C}">
                  <a14:compatExt spid="_x0000_s94486"/>
                </a:ext>
                <a:ext uri="{FF2B5EF4-FFF2-40B4-BE49-F238E27FC236}">
                  <a16:creationId xmlns:a16="http://schemas.microsoft.com/office/drawing/2014/main" id="{00000000-0008-0000-0100-000016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20</xdr:row>
          <xdr:rowOff>137160</xdr:rowOff>
        </xdr:from>
        <xdr:to>
          <xdr:col>18</xdr:col>
          <xdr:colOff>30480</xdr:colOff>
          <xdr:row>22</xdr:row>
          <xdr:rowOff>38100</xdr:rowOff>
        </xdr:to>
        <xdr:sp macro="" textlink="">
          <xdr:nvSpPr>
            <xdr:cNvPr id="94487" name="Button 279" hidden="1">
              <a:extLst>
                <a:ext uri="{63B3BB69-23CF-44E3-9099-C40C66FF867C}">
                  <a14:compatExt spid="_x0000_s94487"/>
                </a:ext>
                <a:ext uri="{FF2B5EF4-FFF2-40B4-BE49-F238E27FC236}">
                  <a16:creationId xmlns:a16="http://schemas.microsoft.com/office/drawing/2014/main" id="{00000000-0008-0000-0100-000017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20</xdr:row>
          <xdr:rowOff>137160</xdr:rowOff>
        </xdr:from>
        <xdr:to>
          <xdr:col>19</xdr:col>
          <xdr:colOff>358140</xdr:colOff>
          <xdr:row>22</xdr:row>
          <xdr:rowOff>38100</xdr:rowOff>
        </xdr:to>
        <xdr:sp macro="" textlink="">
          <xdr:nvSpPr>
            <xdr:cNvPr id="94488" name="Button 280" hidden="1">
              <a:extLst>
                <a:ext uri="{63B3BB69-23CF-44E3-9099-C40C66FF867C}">
                  <a14:compatExt spid="_x0000_s94488"/>
                </a:ext>
                <a:ext uri="{FF2B5EF4-FFF2-40B4-BE49-F238E27FC236}">
                  <a16:creationId xmlns:a16="http://schemas.microsoft.com/office/drawing/2014/main" id="{00000000-0008-0000-0100-000018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22</xdr:row>
          <xdr:rowOff>137160</xdr:rowOff>
        </xdr:from>
        <xdr:to>
          <xdr:col>18</xdr:col>
          <xdr:colOff>30480</xdr:colOff>
          <xdr:row>24</xdr:row>
          <xdr:rowOff>38100</xdr:rowOff>
        </xdr:to>
        <xdr:sp macro="" textlink="">
          <xdr:nvSpPr>
            <xdr:cNvPr id="94489" name="Button 281" hidden="1">
              <a:extLst>
                <a:ext uri="{63B3BB69-23CF-44E3-9099-C40C66FF867C}">
                  <a14:compatExt spid="_x0000_s94489"/>
                </a:ext>
                <a:ext uri="{FF2B5EF4-FFF2-40B4-BE49-F238E27FC236}">
                  <a16:creationId xmlns:a16="http://schemas.microsoft.com/office/drawing/2014/main" id="{00000000-0008-0000-0100-000019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22</xdr:row>
          <xdr:rowOff>137160</xdr:rowOff>
        </xdr:from>
        <xdr:to>
          <xdr:col>19</xdr:col>
          <xdr:colOff>358140</xdr:colOff>
          <xdr:row>24</xdr:row>
          <xdr:rowOff>38100</xdr:rowOff>
        </xdr:to>
        <xdr:sp macro="" textlink="">
          <xdr:nvSpPr>
            <xdr:cNvPr id="94490" name="Button 282" hidden="1">
              <a:extLst>
                <a:ext uri="{63B3BB69-23CF-44E3-9099-C40C66FF867C}">
                  <a14:compatExt spid="_x0000_s94490"/>
                </a:ext>
                <a:ext uri="{FF2B5EF4-FFF2-40B4-BE49-F238E27FC236}">
                  <a16:creationId xmlns:a16="http://schemas.microsoft.com/office/drawing/2014/main" id="{00000000-0008-0000-0100-00001A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24</xdr:row>
          <xdr:rowOff>137160</xdr:rowOff>
        </xdr:from>
        <xdr:to>
          <xdr:col>18</xdr:col>
          <xdr:colOff>30480</xdr:colOff>
          <xdr:row>26</xdr:row>
          <xdr:rowOff>38100</xdr:rowOff>
        </xdr:to>
        <xdr:sp macro="" textlink="">
          <xdr:nvSpPr>
            <xdr:cNvPr id="94491" name="Button 283" hidden="1">
              <a:extLst>
                <a:ext uri="{63B3BB69-23CF-44E3-9099-C40C66FF867C}">
                  <a14:compatExt spid="_x0000_s94491"/>
                </a:ext>
                <a:ext uri="{FF2B5EF4-FFF2-40B4-BE49-F238E27FC236}">
                  <a16:creationId xmlns:a16="http://schemas.microsoft.com/office/drawing/2014/main" id="{00000000-0008-0000-0100-00001B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24</xdr:row>
          <xdr:rowOff>137160</xdr:rowOff>
        </xdr:from>
        <xdr:to>
          <xdr:col>19</xdr:col>
          <xdr:colOff>358140</xdr:colOff>
          <xdr:row>26</xdr:row>
          <xdr:rowOff>38100</xdr:rowOff>
        </xdr:to>
        <xdr:sp macro="" textlink="">
          <xdr:nvSpPr>
            <xdr:cNvPr id="94492" name="Button 284" hidden="1">
              <a:extLst>
                <a:ext uri="{63B3BB69-23CF-44E3-9099-C40C66FF867C}">
                  <a14:compatExt spid="_x0000_s94492"/>
                </a:ext>
                <a:ext uri="{FF2B5EF4-FFF2-40B4-BE49-F238E27FC236}">
                  <a16:creationId xmlns:a16="http://schemas.microsoft.com/office/drawing/2014/main" id="{00000000-0008-0000-0100-00001C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26</xdr:row>
          <xdr:rowOff>137160</xdr:rowOff>
        </xdr:from>
        <xdr:to>
          <xdr:col>18</xdr:col>
          <xdr:colOff>30480</xdr:colOff>
          <xdr:row>28</xdr:row>
          <xdr:rowOff>38100</xdr:rowOff>
        </xdr:to>
        <xdr:sp macro="" textlink="">
          <xdr:nvSpPr>
            <xdr:cNvPr id="94493" name="Button 285" hidden="1">
              <a:extLst>
                <a:ext uri="{63B3BB69-23CF-44E3-9099-C40C66FF867C}">
                  <a14:compatExt spid="_x0000_s94493"/>
                </a:ext>
                <a:ext uri="{FF2B5EF4-FFF2-40B4-BE49-F238E27FC236}">
                  <a16:creationId xmlns:a16="http://schemas.microsoft.com/office/drawing/2014/main" id="{00000000-0008-0000-0100-00001D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26</xdr:row>
          <xdr:rowOff>137160</xdr:rowOff>
        </xdr:from>
        <xdr:to>
          <xdr:col>19</xdr:col>
          <xdr:colOff>358140</xdr:colOff>
          <xdr:row>28</xdr:row>
          <xdr:rowOff>38100</xdr:rowOff>
        </xdr:to>
        <xdr:sp macro="" textlink="">
          <xdr:nvSpPr>
            <xdr:cNvPr id="94494" name="Button 286" hidden="1">
              <a:extLst>
                <a:ext uri="{63B3BB69-23CF-44E3-9099-C40C66FF867C}">
                  <a14:compatExt spid="_x0000_s94494"/>
                </a:ext>
                <a:ext uri="{FF2B5EF4-FFF2-40B4-BE49-F238E27FC236}">
                  <a16:creationId xmlns:a16="http://schemas.microsoft.com/office/drawing/2014/main" id="{00000000-0008-0000-0100-00001E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28</xdr:row>
          <xdr:rowOff>160020</xdr:rowOff>
        </xdr:from>
        <xdr:to>
          <xdr:col>18</xdr:col>
          <xdr:colOff>30480</xdr:colOff>
          <xdr:row>30</xdr:row>
          <xdr:rowOff>38100</xdr:rowOff>
        </xdr:to>
        <xdr:sp macro="" textlink="">
          <xdr:nvSpPr>
            <xdr:cNvPr id="94495" name="Button 287" hidden="1">
              <a:extLst>
                <a:ext uri="{63B3BB69-23CF-44E3-9099-C40C66FF867C}">
                  <a14:compatExt spid="_x0000_s94495"/>
                </a:ext>
                <a:ext uri="{FF2B5EF4-FFF2-40B4-BE49-F238E27FC236}">
                  <a16:creationId xmlns:a16="http://schemas.microsoft.com/office/drawing/2014/main" id="{00000000-0008-0000-0100-00001F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28</xdr:row>
          <xdr:rowOff>160020</xdr:rowOff>
        </xdr:from>
        <xdr:to>
          <xdr:col>19</xdr:col>
          <xdr:colOff>358140</xdr:colOff>
          <xdr:row>30</xdr:row>
          <xdr:rowOff>38100</xdr:rowOff>
        </xdr:to>
        <xdr:sp macro="" textlink="">
          <xdr:nvSpPr>
            <xdr:cNvPr id="94496" name="Button 288" hidden="1">
              <a:extLst>
                <a:ext uri="{63B3BB69-23CF-44E3-9099-C40C66FF867C}">
                  <a14:compatExt spid="_x0000_s94496"/>
                </a:ext>
                <a:ext uri="{FF2B5EF4-FFF2-40B4-BE49-F238E27FC236}">
                  <a16:creationId xmlns:a16="http://schemas.microsoft.com/office/drawing/2014/main" id="{00000000-0008-0000-0100-000020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30</xdr:row>
          <xdr:rowOff>167640</xdr:rowOff>
        </xdr:from>
        <xdr:to>
          <xdr:col>18</xdr:col>
          <xdr:colOff>30480</xdr:colOff>
          <xdr:row>32</xdr:row>
          <xdr:rowOff>30480</xdr:rowOff>
        </xdr:to>
        <xdr:sp macro="" textlink="">
          <xdr:nvSpPr>
            <xdr:cNvPr id="94497" name="Button 289" hidden="1">
              <a:extLst>
                <a:ext uri="{63B3BB69-23CF-44E3-9099-C40C66FF867C}">
                  <a14:compatExt spid="_x0000_s94497"/>
                </a:ext>
                <a:ext uri="{FF2B5EF4-FFF2-40B4-BE49-F238E27FC236}">
                  <a16:creationId xmlns:a16="http://schemas.microsoft.com/office/drawing/2014/main" id="{00000000-0008-0000-0100-000021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30</xdr:row>
          <xdr:rowOff>167640</xdr:rowOff>
        </xdr:from>
        <xdr:to>
          <xdr:col>19</xdr:col>
          <xdr:colOff>358140</xdr:colOff>
          <xdr:row>32</xdr:row>
          <xdr:rowOff>30480</xdr:rowOff>
        </xdr:to>
        <xdr:sp macro="" textlink="">
          <xdr:nvSpPr>
            <xdr:cNvPr id="94498" name="Button 290" hidden="1">
              <a:extLst>
                <a:ext uri="{63B3BB69-23CF-44E3-9099-C40C66FF867C}">
                  <a14:compatExt spid="_x0000_s94498"/>
                </a:ext>
                <a:ext uri="{FF2B5EF4-FFF2-40B4-BE49-F238E27FC236}">
                  <a16:creationId xmlns:a16="http://schemas.microsoft.com/office/drawing/2014/main" id="{00000000-0008-0000-0100-000022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32</xdr:row>
          <xdr:rowOff>167640</xdr:rowOff>
        </xdr:from>
        <xdr:to>
          <xdr:col>18</xdr:col>
          <xdr:colOff>30480</xdr:colOff>
          <xdr:row>34</xdr:row>
          <xdr:rowOff>22860</xdr:rowOff>
        </xdr:to>
        <xdr:sp macro="" textlink="">
          <xdr:nvSpPr>
            <xdr:cNvPr id="94499" name="Button 291" hidden="1">
              <a:extLst>
                <a:ext uri="{63B3BB69-23CF-44E3-9099-C40C66FF867C}">
                  <a14:compatExt spid="_x0000_s94499"/>
                </a:ext>
                <a:ext uri="{FF2B5EF4-FFF2-40B4-BE49-F238E27FC236}">
                  <a16:creationId xmlns:a16="http://schemas.microsoft.com/office/drawing/2014/main" id="{00000000-0008-0000-0100-000023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32</xdr:row>
          <xdr:rowOff>167640</xdr:rowOff>
        </xdr:from>
        <xdr:to>
          <xdr:col>19</xdr:col>
          <xdr:colOff>358140</xdr:colOff>
          <xdr:row>34</xdr:row>
          <xdr:rowOff>22860</xdr:rowOff>
        </xdr:to>
        <xdr:sp macro="" textlink="">
          <xdr:nvSpPr>
            <xdr:cNvPr id="94500" name="Button 292" hidden="1">
              <a:extLst>
                <a:ext uri="{63B3BB69-23CF-44E3-9099-C40C66FF867C}">
                  <a14:compatExt spid="_x0000_s94500"/>
                </a:ext>
                <a:ext uri="{FF2B5EF4-FFF2-40B4-BE49-F238E27FC236}">
                  <a16:creationId xmlns:a16="http://schemas.microsoft.com/office/drawing/2014/main" id="{00000000-0008-0000-0100-000024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36</xdr:row>
          <xdr:rowOff>160020</xdr:rowOff>
        </xdr:from>
        <xdr:to>
          <xdr:col>18</xdr:col>
          <xdr:colOff>30480</xdr:colOff>
          <xdr:row>38</xdr:row>
          <xdr:rowOff>22860</xdr:rowOff>
        </xdr:to>
        <xdr:sp macro="" textlink="">
          <xdr:nvSpPr>
            <xdr:cNvPr id="94503" name="Button 295" hidden="1">
              <a:extLst>
                <a:ext uri="{63B3BB69-23CF-44E3-9099-C40C66FF867C}">
                  <a14:compatExt spid="_x0000_s94503"/>
                </a:ext>
                <a:ext uri="{FF2B5EF4-FFF2-40B4-BE49-F238E27FC236}">
                  <a16:creationId xmlns:a16="http://schemas.microsoft.com/office/drawing/2014/main" id="{00000000-0008-0000-0100-000027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36</xdr:row>
          <xdr:rowOff>160020</xdr:rowOff>
        </xdr:from>
        <xdr:to>
          <xdr:col>19</xdr:col>
          <xdr:colOff>358140</xdr:colOff>
          <xdr:row>38</xdr:row>
          <xdr:rowOff>22860</xdr:rowOff>
        </xdr:to>
        <xdr:sp macro="" textlink="">
          <xdr:nvSpPr>
            <xdr:cNvPr id="94504" name="Button 296" hidden="1">
              <a:extLst>
                <a:ext uri="{63B3BB69-23CF-44E3-9099-C40C66FF867C}">
                  <a14:compatExt spid="_x0000_s94504"/>
                </a:ext>
                <a:ext uri="{FF2B5EF4-FFF2-40B4-BE49-F238E27FC236}">
                  <a16:creationId xmlns:a16="http://schemas.microsoft.com/office/drawing/2014/main" id="{00000000-0008-0000-0100-000028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38</xdr:row>
          <xdr:rowOff>160020</xdr:rowOff>
        </xdr:from>
        <xdr:to>
          <xdr:col>18</xdr:col>
          <xdr:colOff>30480</xdr:colOff>
          <xdr:row>40</xdr:row>
          <xdr:rowOff>30480</xdr:rowOff>
        </xdr:to>
        <xdr:sp macro="" textlink="">
          <xdr:nvSpPr>
            <xdr:cNvPr id="94505" name="Button 297" hidden="1">
              <a:extLst>
                <a:ext uri="{63B3BB69-23CF-44E3-9099-C40C66FF867C}">
                  <a14:compatExt spid="_x0000_s94505"/>
                </a:ext>
                <a:ext uri="{FF2B5EF4-FFF2-40B4-BE49-F238E27FC236}">
                  <a16:creationId xmlns:a16="http://schemas.microsoft.com/office/drawing/2014/main" id="{00000000-0008-0000-0100-000029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38</xdr:row>
          <xdr:rowOff>160020</xdr:rowOff>
        </xdr:from>
        <xdr:to>
          <xdr:col>19</xdr:col>
          <xdr:colOff>358140</xdr:colOff>
          <xdr:row>40</xdr:row>
          <xdr:rowOff>30480</xdr:rowOff>
        </xdr:to>
        <xdr:sp macro="" textlink="">
          <xdr:nvSpPr>
            <xdr:cNvPr id="94506" name="Button 298" hidden="1">
              <a:extLst>
                <a:ext uri="{63B3BB69-23CF-44E3-9099-C40C66FF867C}">
                  <a14:compatExt spid="_x0000_s94506"/>
                </a:ext>
                <a:ext uri="{FF2B5EF4-FFF2-40B4-BE49-F238E27FC236}">
                  <a16:creationId xmlns:a16="http://schemas.microsoft.com/office/drawing/2014/main" id="{00000000-0008-0000-0100-00002A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40</xdr:row>
          <xdr:rowOff>182880</xdr:rowOff>
        </xdr:from>
        <xdr:to>
          <xdr:col>18</xdr:col>
          <xdr:colOff>30480</xdr:colOff>
          <xdr:row>42</xdr:row>
          <xdr:rowOff>22860</xdr:rowOff>
        </xdr:to>
        <xdr:sp macro="" textlink="">
          <xdr:nvSpPr>
            <xdr:cNvPr id="94507" name="Button 299" hidden="1">
              <a:extLst>
                <a:ext uri="{63B3BB69-23CF-44E3-9099-C40C66FF867C}">
                  <a14:compatExt spid="_x0000_s94507"/>
                </a:ext>
                <a:ext uri="{FF2B5EF4-FFF2-40B4-BE49-F238E27FC236}">
                  <a16:creationId xmlns:a16="http://schemas.microsoft.com/office/drawing/2014/main" id="{00000000-0008-0000-0100-00002B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40</xdr:row>
          <xdr:rowOff>182880</xdr:rowOff>
        </xdr:from>
        <xdr:to>
          <xdr:col>19</xdr:col>
          <xdr:colOff>358140</xdr:colOff>
          <xdr:row>42</xdr:row>
          <xdr:rowOff>22860</xdr:rowOff>
        </xdr:to>
        <xdr:sp macro="" textlink="">
          <xdr:nvSpPr>
            <xdr:cNvPr id="94508" name="Button 300" hidden="1">
              <a:extLst>
                <a:ext uri="{63B3BB69-23CF-44E3-9099-C40C66FF867C}">
                  <a14:compatExt spid="_x0000_s94508"/>
                </a:ext>
                <a:ext uri="{FF2B5EF4-FFF2-40B4-BE49-F238E27FC236}">
                  <a16:creationId xmlns:a16="http://schemas.microsoft.com/office/drawing/2014/main" id="{00000000-0008-0000-0100-00002C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42</xdr:row>
          <xdr:rowOff>198120</xdr:rowOff>
        </xdr:from>
        <xdr:to>
          <xdr:col>18</xdr:col>
          <xdr:colOff>30480</xdr:colOff>
          <xdr:row>44</xdr:row>
          <xdr:rowOff>22860</xdr:rowOff>
        </xdr:to>
        <xdr:sp macro="" textlink="">
          <xdr:nvSpPr>
            <xdr:cNvPr id="94509" name="Button 301" hidden="1">
              <a:extLst>
                <a:ext uri="{63B3BB69-23CF-44E3-9099-C40C66FF867C}">
                  <a14:compatExt spid="_x0000_s94509"/>
                </a:ext>
                <a:ext uri="{FF2B5EF4-FFF2-40B4-BE49-F238E27FC236}">
                  <a16:creationId xmlns:a16="http://schemas.microsoft.com/office/drawing/2014/main" id="{00000000-0008-0000-0100-00002D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42</xdr:row>
          <xdr:rowOff>198120</xdr:rowOff>
        </xdr:from>
        <xdr:to>
          <xdr:col>19</xdr:col>
          <xdr:colOff>358140</xdr:colOff>
          <xdr:row>44</xdr:row>
          <xdr:rowOff>22860</xdr:rowOff>
        </xdr:to>
        <xdr:sp macro="" textlink="">
          <xdr:nvSpPr>
            <xdr:cNvPr id="94510" name="Button 302" hidden="1">
              <a:extLst>
                <a:ext uri="{63B3BB69-23CF-44E3-9099-C40C66FF867C}">
                  <a14:compatExt spid="_x0000_s94510"/>
                </a:ext>
                <a:ext uri="{FF2B5EF4-FFF2-40B4-BE49-F238E27FC236}">
                  <a16:creationId xmlns:a16="http://schemas.microsoft.com/office/drawing/2014/main" id="{00000000-0008-0000-0100-00002E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44</xdr:row>
          <xdr:rowOff>167640</xdr:rowOff>
        </xdr:from>
        <xdr:to>
          <xdr:col>18</xdr:col>
          <xdr:colOff>30480</xdr:colOff>
          <xdr:row>46</xdr:row>
          <xdr:rowOff>30480</xdr:rowOff>
        </xdr:to>
        <xdr:sp macro="" textlink="">
          <xdr:nvSpPr>
            <xdr:cNvPr id="94511" name="Button 303" hidden="1">
              <a:extLst>
                <a:ext uri="{63B3BB69-23CF-44E3-9099-C40C66FF867C}">
                  <a14:compatExt spid="_x0000_s94511"/>
                </a:ext>
                <a:ext uri="{FF2B5EF4-FFF2-40B4-BE49-F238E27FC236}">
                  <a16:creationId xmlns:a16="http://schemas.microsoft.com/office/drawing/2014/main" id="{00000000-0008-0000-0100-00002F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44</xdr:row>
          <xdr:rowOff>167640</xdr:rowOff>
        </xdr:from>
        <xdr:to>
          <xdr:col>19</xdr:col>
          <xdr:colOff>358140</xdr:colOff>
          <xdr:row>46</xdr:row>
          <xdr:rowOff>30480</xdr:rowOff>
        </xdr:to>
        <xdr:sp macro="" textlink="">
          <xdr:nvSpPr>
            <xdr:cNvPr id="94512" name="Button 304" hidden="1">
              <a:extLst>
                <a:ext uri="{63B3BB69-23CF-44E3-9099-C40C66FF867C}">
                  <a14:compatExt spid="_x0000_s94512"/>
                </a:ext>
                <a:ext uri="{FF2B5EF4-FFF2-40B4-BE49-F238E27FC236}">
                  <a16:creationId xmlns:a16="http://schemas.microsoft.com/office/drawing/2014/main" id="{00000000-0008-0000-0100-000030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48</xdr:row>
          <xdr:rowOff>160020</xdr:rowOff>
        </xdr:from>
        <xdr:to>
          <xdr:col>18</xdr:col>
          <xdr:colOff>30480</xdr:colOff>
          <xdr:row>50</xdr:row>
          <xdr:rowOff>30480</xdr:rowOff>
        </xdr:to>
        <xdr:sp macro="" textlink="">
          <xdr:nvSpPr>
            <xdr:cNvPr id="94513" name="Button 305" hidden="1">
              <a:extLst>
                <a:ext uri="{63B3BB69-23CF-44E3-9099-C40C66FF867C}">
                  <a14:compatExt spid="_x0000_s94513"/>
                </a:ext>
                <a:ext uri="{FF2B5EF4-FFF2-40B4-BE49-F238E27FC236}">
                  <a16:creationId xmlns:a16="http://schemas.microsoft.com/office/drawing/2014/main" id="{00000000-0008-0000-0100-000031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48</xdr:row>
          <xdr:rowOff>160020</xdr:rowOff>
        </xdr:from>
        <xdr:to>
          <xdr:col>19</xdr:col>
          <xdr:colOff>358140</xdr:colOff>
          <xdr:row>50</xdr:row>
          <xdr:rowOff>30480</xdr:rowOff>
        </xdr:to>
        <xdr:sp macro="" textlink="">
          <xdr:nvSpPr>
            <xdr:cNvPr id="94514" name="Button 306" hidden="1">
              <a:extLst>
                <a:ext uri="{63B3BB69-23CF-44E3-9099-C40C66FF867C}">
                  <a14:compatExt spid="_x0000_s94514"/>
                </a:ext>
                <a:ext uri="{FF2B5EF4-FFF2-40B4-BE49-F238E27FC236}">
                  <a16:creationId xmlns:a16="http://schemas.microsoft.com/office/drawing/2014/main" id="{00000000-0008-0000-0100-000032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50</xdr:row>
          <xdr:rowOff>167640</xdr:rowOff>
        </xdr:from>
        <xdr:to>
          <xdr:col>18</xdr:col>
          <xdr:colOff>30480</xdr:colOff>
          <xdr:row>52</xdr:row>
          <xdr:rowOff>38100</xdr:rowOff>
        </xdr:to>
        <xdr:sp macro="" textlink="">
          <xdr:nvSpPr>
            <xdr:cNvPr id="94515" name="Button 307" hidden="1">
              <a:extLst>
                <a:ext uri="{63B3BB69-23CF-44E3-9099-C40C66FF867C}">
                  <a14:compatExt spid="_x0000_s94515"/>
                </a:ext>
                <a:ext uri="{FF2B5EF4-FFF2-40B4-BE49-F238E27FC236}">
                  <a16:creationId xmlns:a16="http://schemas.microsoft.com/office/drawing/2014/main" id="{00000000-0008-0000-0100-000033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50</xdr:row>
          <xdr:rowOff>167640</xdr:rowOff>
        </xdr:from>
        <xdr:to>
          <xdr:col>19</xdr:col>
          <xdr:colOff>358140</xdr:colOff>
          <xdr:row>52</xdr:row>
          <xdr:rowOff>38100</xdr:rowOff>
        </xdr:to>
        <xdr:sp macro="" textlink="">
          <xdr:nvSpPr>
            <xdr:cNvPr id="94516" name="Button 308" hidden="1">
              <a:extLst>
                <a:ext uri="{63B3BB69-23CF-44E3-9099-C40C66FF867C}">
                  <a14:compatExt spid="_x0000_s94516"/>
                </a:ext>
                <a:ext uri="{FF2B5EF4-FFF2-40B4-BE49-F238E27FC236}">
                  <a16:creationId xmlns:a16="http://schemas.microsoft.com/office/drawing/2014/main" id="{00000000-0008-0000-0100-000034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54</xdr:row>
          <xdr:rowOff>160020</xdr:rowOff>
        </xdr:from>
        <xdr:to>
          <xdr:col>18</xdr:col>
          <xdr:colOff>30480</xdr:colOff>
          <xdr:row>56</xdr:row>
          <xdr:rowOff>30480</xdr:rowOff>
        </xdr:to>
        <xdr:sp macro="" textlink="">
          <xdr:nvSpPr>
            <xdr:cNvPr id="94517" name="Button 309" hidden="1">
              <a:extLst>
                <a:ext uri="{63B3BB69-23CF-44E3-9099-C40C66FF867C}">
                  <a14:compatExt spid="_x0000_s94517"/>
                </a:ext>
                <a:ext uri="{FF2B5EF4-FFF2-40B4-BE49-F238E27FC236}">
                  <a16:creationId xmlns:a16="http://schemas.microsoft.com/office/drawing/2014/main" id="{00000000-0008-0000-0100-000035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54</xdr:row>
          <xdr:rowOff>160020</xdr:rowOff>
        </xdr:from>
        <xdr:to>
          <xdr:col>19</xdr:col>
          <xdr:colOff>358140</xdr:colOff>
          <xdr:row>56</xdr:row>
          <xdr:rowOff>30480</xdr:rowOff>
        </xdr:to>
        <xdr:sp macro="" textlink="">
          <xdr:nvSpPr>
            <xdr:cNvPr id="94518" name="Button 310" hidden="1">
              <a:extLst>
                <a:ext uri="{63B3BB69-23CF-44E3-9099-C40C66FF867C}">
                  <a14:compatExt spid="_x0000_s94518"/>
                </a:ext>
                <a:ext uri="{FF2B5EF4-FFF2-40B4-BE49-F238E27FC236}">
                  <a16:creationId xmlns:a16="http://schemas.microsoft.com/office/drawing/2014/main" id="{00000000-0008-0000-0100-000036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56</xdr:row>
          <xdr:rowOff>167640</xdr:rowOff>
        </xdr:from>
        <xdr:to>
          <xdr:col>18</xdr:col>
          <xdr:colOff>30480</xdr:colOff>
          <xdr:row>58</xdr:row>
          <xdr:rowOff>30480</xdr:rowOff>
        </xdr:to>
        <xdr:sp macro="" textlink="">
          <xdr:nvSpPr>
            <xdr:cNvPr id="94519" name="Button 311" hidden="1">
              <a:extLst>
                <a:ext uri="{63B3BB69-23CF-44E3-9099-C40C66FF867C}">
                  <a14:compatExt spid="_x0000_s94519"/>
                </a:ext>
                <a:ext uri="{FF2B5EF4-FFF2-40B4-BE49-F238E27FC236}">
                  <a16:creationId xmlns:a16="http://schemas.microsoft.com/office/drawing/2014/main" id="{00000000-0008-0000-0100-000037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56</xdr:row>
          <xdr:rowOff>167640</xdr:rowOff>
        </xdr:from>
        <xdr:to>
          <xdr:col>19</xdr:col>
          <xdr:colOff>358140</xdr:colOff>
          <xdr:row>58</xdr:row>
          <xdr:rowOff>30480</xdr:rowOff>
        </xdr:to>
        <xdr:sp macro="" textlink="">
          <xdr:nvSpPr>
            <xdr:cNvPr id="94520" name="Button 312" hidden="1">
              <a:extLst>
                <a:ext uri="{63B3BB69-23CF-44E3-9099-C40C66FF867C}">
                  <a14:compatExt spid="_x0000_s94520"/>
                </a:ext>
                <a:ext uri="{FF2B5EF4-FFF2-40B4-BE49-F238E27FC236}">
                  <a16:creationId xmlns:a16="http://schemas.microsoft.com/office/drawing/2014/main" id="{00000000-0008-0000-0100-000038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58</xdr:row>
          <xdr:rowOff>167640</xdr:rowOff>
        </xdr:from>
        <xdr:to>
          <xdr:col>18</xdr:col>
          <xdr:colOff>30480</xdr:colOff>
          <xdr:row>60</xdr:row>
          <xdr:rowOff>22860</xdr:rowOff>
        </xdr:to>
        <xdr:sp macro="" textlink="">
          <xdr:nvSpPr>
            <xdr:cNvPr id="94521" name="Button 313" hidden="1">
              <a:extLst>
                <a:ext uri="{63B3BB69-23CF-44E3-9099-C40C66FF867C}">
                  <a14:compatExt spid="_x0000_s94521"/>
                </a:ext>
                <a:ext uri="{FF2B5EF4-FFF2-40B4-BE49-F238E27FC236}">
                  <a16:creationId xmlns:a16="http://schemas.microsoft.com/office/drawing/2014/main" id="{00000000-0008-0000-0100-000039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58</xdr:row>
          <xdr:rowOff>167640</xdr:rowOff>
        </xdr:from>
        <xdr:to>
          <xdr:col>19</xdr:col>
          <xdr:colOff>358140</xdr:colOff>
          <xdr:row>60</xdr:row>
          <xdr:rowOff>22860</xdr:rowOff>
        </xdr:to>
        <xdr:sp macro="" textlink="">
          <xdr:nvSpPr>
            <xdr:cNvPr id="94522" name="Button 314" hidden="1">
              <a:extLst>
                <a:ext uri="{63B3BB69-23CF-44E3-9099-C40C66FF867C}">
                  <a14:compatExt spid="_x0000_s94522"/>
                </a:ext>
                <a:ext uri="{FF2B5EF4-FFF2-40B4-BE49-F238E27FC236}">
                  <a16:creationId xmlns:a16="http://schemas.microsoft.com/office/drawing/2014/main" id="{00000000-0008-0000-0100-00003A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61</xdr:row>
          <xdr:rowOff>167640</xdr:rowOff>
        </xdr:from>
        <xdr:to>
          <xdr:col>18</xdr:col>
          <xdr:colOff>30480</xdr:colOff>
          <xdr:row>63</xdr:row>
          <xdr:rowOff>22860</xdr:rowOff>
        </xdr:to>
        <xdr:sp macro="" textlink="">
          <xdr:nvSpPr>
            <xdr:cNvPr id="94523" name="Button 315" hidden="1">
              <a:extLst>
                <a:ext uri="{63B3BB69-23CF-44E3-9099-C40C66FF867C}">
                  <a14:compatExt spid="_x0000_s94523"/>
                </a:ext>
                <a:ext uri="{FF2B5EF4-FFF2-40B4-BE49-F238E27FC236}">
                  <a16:creationId xmlns:a16="http://schemas.microsoft.com/office/drawing/2014/main" id="{00000000-0008-0000-0100-00003B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61</xdr:row>
          <xdr:rowOff>167640</xdr:rowOff>
        </xdr:from>
        <xdr:to>
          <xdr:col>19</xdr:col>
          <xdr:colOff>358140</xdr:colOff>
          <xdr:row>63</xdr:row>
          <xdr:rowOff>22860</xdr:rowOff>
        </xdr:to>
        <xdr:sp macro="" textlink="">
          <xdr:nvSpPr>
            <xdr:cNvPr id="94524" name="Button 316" hidden="1">
              <a:extLst>
                <a:ext uri="{63B3BB69-23CF-44E3-9099-C40C66FF867C}">
                  <a14:compatExt spid="_x0000_s94524"/>
                </a:ext>
                <a:ext uri="{FF2B5EF4-FFF2-40B4-BE49-F238E27FC236}">
                  <a16:creationId xmlns:a16="http://schemas.microsoft.com/office/drawing/2014/main" id="{00000000-0008-0000-0100-00003C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63</xdr:row>
          <xdr:rowOff>167640</xdr:rowOff>
        </xdr:from>
        <xdr:to>
          <xdr:col>18</xdr:col>
          <xdr:colOff>30480</xdr:colOff>
          <xdr:row>65</xdr:row>
          <xdr:rowOff>22860</xdr:rowOff>
        </xdr:to>
        <xdr:sp macro="" textlink="">
          <xdr:nvSpPr>
            <xdr:cNvPr id="94525" name="Button 317" hidden="1">
              <a:extLst>
                <a:ext uri="{63B3BB69-23CF-44E3-9099-C40C66FF867C}">
                  <a14:compatExt spid="_x0000_s94525"/>
                </a:ext>
                <a:ext uri="{FF2B5EF4-FFF2-40B4-BE49-F238E27FC236}">
                  <a16:creationId xmlns:a16="http://schemas.microsoft.com/office/drawing/2014/main" id="{00000000-0008-0000-0100-00003D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63</xdr:row>
          <xdr:rowOff>167640</xdr:rowOff>
        </xdr:from>
        <xdr:to>
          <xdr:col>19</xdr:col>
          <xdr:colOff>358140</xdr:colOff>
          <xdr:row>65</xdr:row>
          <xdr:rowOff>22860</xdr:rowOff>
        </xdr:to>
        <xdr:sp macro="" textlink="">
          <xdr:nvSpPr>
            <xdr:cNvPr id="94526" name="Button 318" hidden="1">
              <a:extLst>
                <a:ext uri="{63B3BB69-23CF-44E3-9099-C40C66FF867C}">
                  <a14:compatExt spid="_x0000_s94526"/>
                </a:ext>
                <a:ext uri="{FF2B5EF4-FFF2-40B4-BE49-F238E27FC236}">
                  <a16:creationId xmlns:a16="http://schemas.microsoft.com/office/drawing/2014/main" id="{00000000-0008-0000-0100-00003E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66</xdr:row>
          <xdr:rowOff>76200</xdr:rowOff>
        </xdr:from>
        <xdr:to>
          <xdr:col>18</xdr:col>
          <xdr:colOff>30480</xdr:colOff>
          <xdr:row>70</xdr:row>
          <xdr:rowOff>22860</xdr:rowOff>
        </xdr:to>
        <xdr:sp macro="" textlink="">
          <xdr:nvSpPr>
            <xdr:cNvPr id="94527" name="Button 319" hidden="1">
              <a:extLst>
                <a:ext uri="{63B3BB69-23CF-44E3-9099-C40C66FF867C}">
                  <a14:compatExt spid="_x0000_s94527"/>
                </a:ext>
                <a:ext uri="{FF2B5EF4-FFF2-40B4-BE49-F238E27FC236}">
                  <a16:creationId xmlns:a16="http://schemas.microsoft.com/office/drawing/2014/main" id="{00000000-0008-0000-0100-00003F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66</xdr:row>
          <xdr:rowOff>76200</xdr:rowOff>
        </xdr:from>
        <xdr:to>
          <xdr:col>19</xdr:col>
          <xdr:colOff>358140</xdr:colOff>
          <xdr:row>70</xdr:row>
          <xdr:rowOff>22860</xdr:rowOff>
        </xdr:to>
        <xdr:sp macro="" textlink="">
          <xdr:nvSpPr>
            <xdr:cNvPr id="94528" name="Button 320" hidden="1">
              <a:extLst>
                <a:ext uri="{63B3BB69-23CF-44E3-9099-C40C66FF867C}">
                  <a14:compatExt spid="_x0000_s94528"/>
                </a:ext>
                <a:ext uri="{FF2B5EF4-FFF2-40B4-BE49-F238E27FC236}">
                  <a16:creationId xmlns:a16="http://schemas.microsoft.com/office/drawing/2014/main" id="{00000000-0008-0000-0100-000040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70</xdr:row>
          <xdr:rowOff>167640</xdr:rowOff>
        </xdr:from>
        <xdr:to>
          <xdr:col>18</xdr:col>
          <xdr:colOff>30480</xdr:colOff>
          <xdr:row>73</xdr:row>
          <xdr:rowOff>22860</xdr:rowOff>
        </xdr:to>
        <xdr:sp macro="" textlink="">
          <xdr:nvSpPr>
            <xdr:cNvPr id="94529" name="Button 321" hidden="1">
              <a:extLst>
                <a:ext uri="{63B3BB69-23CF-44E3-9099-C40C66FF867C}">
                  <a14:compatExt spid="_x0000_s94529"/>
                </a:ext>
                <a:ext uri="{FF2B5EF4-FFF2-40B4-BE49-F238E27FC236}">
                  <a16:creationId xmlns:a16="http://schemas.microsoft.com/office/drawing/2014/main" id="{00000000-0008-0000-0100-000041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160020</xdr:colOff>
          <xdr:row>70</xdr:row>
          <xdr:rowOff>167640</xdr:rowOff>
        </xdr:from>
        <xdr:to>
          <xdr:col>19</xdr:col>
          <xdr:colOff>358140</xdr:colOff>
          <xdr:row>73</xdr:row>
          <xdr:rowOff>22860</xdr:rowOff>
        </xdr:to>
        <xdr:sp macro="" textlink="">
          <xdr:nvSpPr>
            <xdr:cNvPr id="94530" name="Button 322" hidden="1">
              <a:extLst>
                <a:ext uri="{63B3BB69-23CF-44E3-9099-C40C66FF867C}">
                  <a14:compatExt spid="_x0000_s94530"/>
                </a:ext>
                <a:ext uri="{FF2B5EF4-FFF2-40B4-BE49-F238E27FC236}">
                  <a16:creationId xmlns:a16="http://schemas.microsoft.com/office/drawing/2014/main" id="{00000000-0008-0000-0100-000042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83820</xdr:colOff>
          <xdr:row>54</xdr:row>
          <xdr:rowOff>167640</xdr:rowOff>
        </xdr:from>
        <xdr:to>
          <xdr:col>23</xdr:col>
          <xdr:colOff>563880</xdr:colOff>
          <xdr:row>56</xdr:row>
          <xdr:rowOff>38100</xdr:rowOff>
        </xdr:to>
        <xdr:sp macro="" textlink="">
          <xdr:nvSpPr>
            <xdr:cNvPr id="94531" name="Button 323" hidden="1">
              <a:extLst>
                <a:ext uri="{63B3BB69-23CF-44E3-9099-C40C66FF867C}">
                  <a14:compatExt spid="_x0000_s94531"/>
                </a:ext>
                <a:ext uri="{FF2B5EF4-FFF2-40B4-BE49-F238E27FC236}">
                  <a16:creationId xmlns:a16="http://schemas.microsoft.com/office/drawing/2014/main" id="{00000000-0008-0000-0100-000043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693420</xdr:colOff>
          <xdr:row>54</xdr:row>
          <xdr:rowOff>167640</xdr:rowOff>
        </xdr:from>
        <xdr:to>
          <xdr:col>23</xdr:col>
          <xdr:colOff>1379220</xdr:colOff>
          <xdr:row>56</xdr:row>
          <xdr:rowOff>38100</xdr:rowOff>
        </xdr:to>
        <xdr:sp macro="" textlink="">
          <xdr:nvSpPr>
            <xdr:cNvPr id="94532" name="Button 324" hidden="1">
              <a:extLst>
                <a:ext uri="{63B3BB69-23CF-44E3-9099-C40C66FF867C}">
                  <a14:compatExt spid="_x0000_s94532"/>
                </a:ext>
                <a:ext uri="{FF2B5EF4-FFF2-40B4-BE49-F238E27FC236}">
                  <a16:creationId xmlns:a16="http://schemas.microsoft.com/office/drawing/2014/main" id="{00000000-0008-0000-0100-000044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83820</xdr:colOff>
          <xdr:row>56</xdr:row>
          <xdr:rowOff>167640</xdr:rowOff>
        </xdr:from>
        <xdr:to>
          <xdr:col>23</xdr:col>
          <xdr:colOff>563880</xdr:colOff>
          <xdr:row>58</xdr:row>
          <xdr:rowOff>30480</xdr:rowOff>
        </xdr:to>
        <xdr:sp macro="" textlink="">
          <xdr:nvSpPr>
            <xdr:cNvPr id="94533" name="Button 325" hidden="1">
              <a:extLst>
                <a:ext uri="{63B3BB69-23CF-44E3-9099-C40C66FF867C}">
                  <a14:compatExt spid="_x0000_s94533"/>
                </a:ext>
                <a:ext uri="{FF2B5EF4-FFF2-40B4-BE49-F238E27FC236}">
                  <a16:creationId xmlns:a16="http://schemas.microsoft.com/office/drawing/2014/main" id="{00000000-0008-0000-0100-000045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693420</xdr:colOff>
          <xdr:row>56</xdr:row>
          <xdr:rowOff>167640</xdr:rowOff>
        </xdr:from>
        <xdr:to>
          <xdr:col>23</xdr:col>
          <xdr:colOff>1379220</xdr:colOff>
          <xdr:row>58</xdr:row>
          <xdr:rowOff>30480</xdr:rowOff>
        </xdr:to>
        <xdr:sp macro="" textlink="">
          <xdr:nvSpPr>
            <xdr:cNvPr id="94534" name="Button 326" hidden="1">
              <a:extLst>
                <a:ext uri="{63B3BB69-23CF-44E3-9099-C40C66FF867C}">
                  <a14:compatExt spid="_x0000_s94534"/>
                </a:ext>
                <a:ext uri="{FF2B5EF4-FFF2-40B4-BE49-F238E27FC236}">
                  <a16:creationId xmlns:a16="http://schemas.microsoft.com/office/drawing/2014/main" id="{00000000-0008-0000-0100-0000467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View/Go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941372</xdr:colOff>
      <xdr:row>218</xdr:row>
      <xdr:rowOff>26486</xdr:rowOff>
    </xdr:from>
    <xdr:to>
      <xdr:col>6</xdr:col>
      <xdr:colOff>245039</xdr:colOff>
      <xdr:row>220</xdr:row>
      <xdr:rowOff>169357</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07239" y="25688953"/>
          <a:ext cx="1123153" cy="505881"/>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83820</xdr:colOff>
          <xdr:row>1</xdr:row>
          <xdr:rowOff>114300</xdr:rowOff>
        </xdr:to>
        <xdr:sp macro="" textlink="">
          <xdr:nvSpPr>
            <xdr:cNvPr id="95235" name="Button 3" hidden="1">
              <a:extLst>
                <a:ext uri="{63B3BB69-23CF-44E3-9099-C40C66FF867C}">
                  <a14:compatExt spid="_x0000_s95235"/>
                </a:ext>
                <a:ext uri="{FF2B5EF4-FFF2-40B4-BE49-F238E27FC236}">
                  <a16:creationId xmlns:a16="http://schemas.microsoft.com/office/drawing/2014/main" id="{00000000-0008-0000-0300-0000037401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53340</xdr:colOff>
          <xdr:row>0</xdr:row>
          <xdr:rowOff>0</xdr:rowOff>
        </xdr:from>
        <xdr:to>
          <xdr:col>2</xdr:col>
          <xdr:colOff>472440</xdr:colOff>
          <xdr:row>1</xdr:row>
          <xdr:rowOff>114300</xdr:rowOff>
        </xdr:to>
        <xdr:sp macro="" textlink="">
          <xdr:nvSpPr>
            <xdr:cNvPr id="95236" name="Button 4" hidden="1">
              <a:extLst>
                <a:ext uri="{63B3BB69-23CF-44E3-9099-C40C66FF867C}">
                  <a14:compatExt spid="_x0000_s95236"/>
                </a:ext>
                <a:ext uri="{FF2B5EF4-FFF2-40B4-BE49-F238E27FC236}">
                  <a16:creationId xmlns:a16="http://schemas.microsoft.com/office/drawing/2014/main" id="{00000000-0008-0000-0300-0000047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1144576</xdr:colOff>
      <xdr:row>62</xdr:row>
      <xdr:rowOff>51889</xdr:rowOff>
    </xdr:from>
    <xdr:to>
      <xdr:col>6</xdr:col>
      <xdr:colOff>455862</xdr:colOff>
      <xdr:row>65</xdr:row>
      <xdr:rowOff>4266</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00376" y="11854422"/>
          <a:ext cx="1123153" cy="50588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2</xdr:col>
          <xdr:colOff>342900</xdr:colOff>
          <xdr:row>0</xdr:row>
          <xdr:rowOff>0</xdr:rowOff>
        </xdr:from>
        <xdr:to>
          <xdr:col>3</xdr:col>
          <xdr:colOff>297180</xdr:colOff>
          <xdr:row>1</xdr:row>
          <xdr:rowOff>114300</xdr:rowOff>
        </xdr:to>
        <xdr:sp macro="" textlink="">
          <xdr:nvSpPr>
            <xdr:cNvPr id="96261" name="Button 5" hidden="1">
              <a:extLst>
                <a:ext uri="{63B3BB69-23CF-44E3-9099-C40C66FF867C}">
                  <a14:compatExt spid="_x0000_s96261"/>
                </a:ext>
                <a:ext uri="{FF2B5EF4-FFF2-40B4-BE49-F238E27FC236}">
                  <a16:creationId xmlns:a16="http://schemas.microsoft.com/office/drawing/2014/main" id="{00000000-0008-0000-0400-0000057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0</xdr:row>
          <xdr:rowOff>0</xdr:rowOff>
        </xdr:from>
        <xdr:to>
          <xdr:col>2</xdr:col>
          <xdr:colOff>297180</xdr:colOff>
          <xdr:row>1</xdr:row>
          <xdr:rowOff>114300</xdr:rowOff>
        </xdr:to>
        <xdr:sp macro="" textlink="">
          <xdr:nvSpPr>
            <xdr:cNvPr id="96262" name="Button 6" hidden="1">
              <a:extLst>
                <a:ext uri="{63B3BB69-23CF-44E3-9099-C40C66FF867C}">
                  <a14:compatExt spid="_x0000_s96262"/>
                </a:ext>
                <a:ext uri="{FF2B5EF4-FFF2-40B4-BE49-F238E27FC236}">
                  <a16:creationId xmlns:a16="http://schemas.microsoft.com/office/drawing/2014/main" id="{00000000-0008-0000-0400-0000067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91440</xdr:colOff>
          <xdr:row>1</xdr:row>
          <xdr:rowOff>114300</xdr:rowOff>
        </xdr:to>
        <xdr:sp macro="" textlink="">
          <xdr:nvSpPr>
            <xdr:cNvPr id="96263" name="Button 7" hidden="1">
              <a:extLst>
                <a:ext uri="{63B3BB69-23CF-44E3-9099-C40C66FF867C}">
                  <a14:compatExt spid="_x0000_s96263"/>
                </a:ext>
                <a:ext uri="{FF2B5EF4-FFF2-40B4-BE49-F238E27FC236}">
                  <a16:creationId xmlns:a16="http://schemas.microsoft.com/office/drawing/2014/main" id="{00000000-0008-0000-0400-0000077801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30480</xdr:colOff>
          <xdr:row>24</xdr:row>
          <xdr:rowOff>160020</xdr:rowOff>
        </xdr:from>
        <xdr:to>
          <xdr:col>9</xdr:col>
          <xdr:colOff>22860</xdr:colOff>
          <xdr:row>26</xdr:row>
          <xdr:rowOff>7620</xdr:rowOff>
        </xdr:to>
        <xdr:sp macro="" textlink="">
          <xdr:nvSpPr>
            <xdr:cNvPr id="1219586" name="Drop Down 2" hidden="1">
              <a:extLst>
                <a:ext uri="{63B3BB69-23CF-44E3-9099-C40C66FF867C}">
                  <a14:compatExt spid="_x0000_s1219586"/>
                </a:ext>
                <a:ext uri="{FF2B5EF4-FFF2-40B4-BE49-F238E27FC236}">
                  <a16:creationId xmlns:a16="http://schemas.microsoft.com/office/drawing/2014/main" id="{00000000-0008-0000-0500-0000029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312420</xdr:colOff>
          <xdr:row>33</xdr:row>
          <xdr:rowOff>0</xdr:rowOff>
        </xdr:from>
        <xdr:to>
          <xdr:col>2</xdr:col>
          <xdr:colOff>312420</xdr:colOff>
          <xdr:row>33</xdr:row>
          <xdr:rowOff>160020</xdr:rowOff>
        </xdr:to>
        <xdr:sp macro="" textlink="">
          <xdr:nvSpPr>
            <xdr:cNvPr id="1219587" name="Check Box 3" hidden="1">
              <a:extLst>
                <a:ext uri="{63B3BB69-23CF-44E3-9099-C40C66FF867C}">
                  <a14:compatExt spid="_x0000_s1219587"/>
                </a:ext>
                <a:ext uri="{FF2B5EF4-FFF2-40B4-BE49-F238E27FC236}">
                  <a16:creationId xmlns:a16="http://schemas.microsoft.com/office/drawing/2014/main" id="{00000000-0008-0000-0500-000003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Ignore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23</xdr:row>
          <xdr:rowOff>7620</xdr:rowOff>
        </xdr:from>
        <xdr:to>
          <xdr:col>12</xdr:col>
          <xdr:colOff>160020</xdr:colOff>
          <xdr:row>24</xdr:row>
          <xdr:rowOff>0</xdr:rowOff>
        </xdr:to>
        <xdr:sp macro="" textlink="">
          <xdr:nvSpPr>
            <xdr:cNvPr id="1219588" name="Option Button 4" hidden="1">
              <a:extLst>
                <a:ext uri="{63B3BB69-23CF-44E3-9099-C40C66FF867C}">
                  <a14:compatExt spid="_x0000_s1219588"/>
                </a:ext>
                <a:ext uri="{FF2B5EF4-FFF2-40B4-BE49-F238E27FC236}">
                  <a16:creationId xmlns:a16="http://schemas.microsoft.com/office/drawing/2014/main" id="{00000000-0008-0000-0500-000004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24</xdr:row>
          <xdr:rowOff>7620</xdr:rowOff>
        </xdr:from>
        <xdr:to>
          <xdr:col>12</xdr:col>
          <xdr:colOff>160020</xdr:colOff>
          <xdr:row>25</xdr:row>
          <xdr:rowOff>0</xdr:rowOff>
        </xdr:to>
        <xdr:sp macro="" textlink="">
          <xdr:nvSpPr>
            <xdr:cNvPr id="1219589" name="Option Button 5" hidden="1">
              <a:extLst>
                <a:ext uri="{63B3BB69-23CF-44E3-9099-C40C66FF867C}">
                  <a14:compatExt spid="_x0000_s1219589"/>
                </a:ext>
                <a:ext uri="{FF2B5EF4-FFF2-40B4-BE49-F238E27FC236}">
                  <a16:creationId xmlns:a16="http://schemas.microsoft.com/office/drawing/2014/main" id="{00000000-0008-0000-0500-000005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25</xdr:row>
          <xdr:rowOff>7620</xdr:rowOff>
        </xdr:from>
        <xdr:to>
          <xdr:col>12</xdr:col>
          <xdr:colOff>160020</xdr:colOff>
          <xdr:row>26</xdr:row>
          <xdr:rowOff>0</xdr:rowOff>
        </xdr:to>
        <xdr:sp macro="" textlink="">
          <xdr:nvSpPr>
            <xdr:cNvPr id="1219590" name="Option Button 6" hidden="1">
              <a:extLst>
                <a:ext uri="{63B3BB69-23CF-44E3-9099-C40C66FF867C}">
                  <a14:compatExt spid="_x0000_s1219590"/>
                </a:ext>
                <a:ext uri="{FF2B5EF4-FFF2-40B4-BE49-F238E27FC236}">
                  <a16:creationId xmlns:a16="http://schemas.microsoft.com/office/drawing/2014/main" id="{00000000-0008-0000-0500-000006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27</xdr:row>
          <xdr:rowOff>7620</xdr:rowOff>
        </xdr:from>
        <xdr:to>
          <xdr:col>12</xdr:col>
          <xdr:colOff>160020</xdr:colOff>
          <xdr:row>28</xdr:row>
          <xdr:rowOff>0</xdr:rowOff>
        </xdr:to>
        <xdr:sp macro="" textlink="">
          <xdr:nvSpPr>
            <xdr:cNvPr id="1219591" name="Option Button 7" hidden="1">
              <a:extLst>
                <a:ext uri="{63B3BB69-23CF-44E3-9099-C40C66FF867C}">
                  <a14:compatExt spid="_x0000_s1219591"/>
                </a:ext>
                <a:ext uri="{FF2B5EF4-FFF2-40B4-BE49-F238E27FC236}">
                  <a16:creationId xmlns:a16="http://schemas.microsoft.com/office/drawing/2014/main" id="{00000000-0008-0000-0500-000007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29</xdr:row>
          <xdr:rowOff>7620</xdr:rowOff>
        </xdr:from>
        <xdr:to>
          <xdr:col>12</xdr:col>
          <xdr:colOff>160020</xdr:colOff>
          <xdr:row>30</xdr:row>
          <xdr:rowOff>0</xdr:rowOff>
        </xdr:to>
        <xdr:sp macro="" textlink="">
          <xdr:nvSpPr>
            <xdr:cNvPr id="1219592" name="Option Button 8" hidden="1">
              <a:extLst>
                <a:ext uri="{63B3BB69-23CF-44E3-9099-C40C66FF867C}">
                  <a14:compatExt spid="_x0000_s1219592"/>
                </a:ext>
                <a:ext uri="{FF2B5EF4-FFF2-40B4-BE49-F238E27FC236}">
                  <a16:creationId xmlns:a16="http://schemas.microsoft.com/office/drawing/2014/main" id="{00000000-0008-0000-0500-000008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31</xdr:row>
          <xdr:rowOff>7620</xdr:rowOff>
        </xdr:from>
        <xdr:to>
          <xdr:col>12</xdr:col>
          <xdr:colOff>160020</xdr:colOff>
          <xdr:row>32</xdr:row>
          <xdr:rowOff>0</xdr:rowOff>
        </xdr:to>
        <xdr:sp macro="" textlink="">
          <xdr:nvSpPr>
            <xdr:cNvPr id="1219593" name="Option Button 9" hidden="1">
              <a:extLst>
                <a:ext uri="{63B3BB69-23CF-44E3-9099-C40C66FF867C}">
                  <a14:compatExt spid="_x0000_s1219593"/>
                </a:ext>
                <a:ext uri="{FF2B5EF4-FFF2-40B4-BE49-F238E27FC236}">
                  <a16:creationId xmlns:a16="http://schemas.microsoft.com/office/drawing/2014/main" id="{00000000-0008-0000-0500-000009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33</xdr:row>
          <xdr:rowOff>7620</xdr:rowOff>
        </xdr:from>
        <xdr:to>
          <xdr:col>12</xdr:col>
          <xdr:colOff>160020</xdr:colOff>
          <xdr:row>34</xdr:row>
          <xdr:rowOff>0</xdr:rowOff>
        </xdr:to>
        <xdr:sp macro="" textlink="">
          <xdr:nvSpPr>
            <xdr:cNvPr id="1219594" name="Option Button 10" hidden="1">
              <a:extLst>
                <a:ext uri="{63B3BB69-23CF-44E3-9099-C40C66FF867C}">
                  <a14:compatExt spid="_x0000_s1219594"/>
                </a:ext>
                <a:ext uri="{FF2B5EF4-FFF2-40B4-BE49-F238E27FC236}">
                  <a16:creationId xmlns:a16="http://schemas.microsoft.com/office/drawing/2014/main" id="{00000000-0008-0000-0500-00000A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35</xdr:row>
          <xdr:rowOff>7620</xdr:rowOff>
        </xdr:from>
        <xdr:to>
          <xdr:col>12</xdr:col>
          <xdr:colOff>160020</xdr:colOff>
          <xdr:row>36</xdr:row>
          <xdr:rowOff>0</xdr:rowOff>
        </xdr:to>
        <xdr:sp macro="" textlink="">
          <xdr:nvSpPr>
            <xdr:cNvPr id="1219595" name="Option Button 11" hidden="1">
              <a:extLst>
                <a:ext uri="{63B3BB69-23CF-44E3-9099-C40C66FF867C}">
                  <a14:compatExt spid="_x0000_s1219595"/>
                </a:ext>
                <a:ext uri="{FF2B5EF4-FFF2-40B4-BE49-F238E27FC236}">
                  <a16:creationId xmlns:a16="http://schemas.microsoft.com/office/drawing/2014/main" id="{00000000-0008-0000-0500-00000B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37</xdr:row>
          <xdr:rowOff>7620</xdr:rowOff>
        </xdr:from>
        <xdr:to>
          <xdr:col>12</xdr:col>
          <xdr:colOff>160020</xdr:colOff>
          <xdr:row>38</xdr:row>
          <xdr:rowOff>0</xdr:rowOff>
        </xdr:to>
        <xdr:sp macro="" textlink="">
          <xdr:nvSpPr>
            <xdr:cNvPr id="1219596" name="Option Button 12" hidden="1">
              <a:extLst>
                <a:ext uri="{63B3BB69-23CF-44E3-9099-C40C66FF867C}">
                  <a14:compatExt spid="_x0000_s1219596"/>
                </a:ext>
                <a:ext uri="{FF2B5EF4-FFF2-40B4-BE49-F238E27FC236}">
                  <a16:creationId xmlns:a16="http://schemas.microsoft.com/office/drawing/2014/main" id="{00000000-0008-0000-0500-00000C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312420</xdr:colOff>
          <xdr:row>50</xdr:row>
          <xdr:rowOff>0</xdr:rowOff>
        </xdr:from>
        <xdr:to>
          <xdr:col>2</xdr:col>
          <xdr:colOff>312420</xdr:colOff>
          <xdr:row>50</xdr:row>
          <xdr:rowOff>160020</xdr:rowOff>
        </xdr:to>
        <xdr:sp macro="" textlink="">
          <xdr:nvSpPr>
            <xdr:cNvPr id="1219597" name="Check Box 13" hidden="1">
              <a:extLst>
                <a:ext uri="{63B3BB69-23CF-44E3-9099-C40C66FF867C}">
                  <a14:compatExt spid="_x0000_s1219597"/>
                </a:ext>
                <a:ext uri="{FF2B5EF4-FFF2-40B4-BE49-F238E27FC236}">
                  <a16:creationId xmlns:a16="http://schemas.microsoft.com/office/drawing/2014/main" id="{00000000-0008-0000-0500-00000D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Ignore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40</xdr:row>
          <xdr:rowOff>7620</xdr:rowOff>
        </xdr:from>
        <xdr:to>
          <xdr:col>12</xdr:col>
          <xdr:colOff>160020</xdr:colOff>
          <xdr:row>41</xdr:row>
          <xdr:rowOff>0</xdr:rowOff>
        </xdr:to>
        <xdr:sp macro="" textlink="">
          <xdr:nvSpPr>
            <xdr:cNvPr id="1219598" name="Option Button 14" hidden="1">
              <a:extLst>
                <a:ext uri="{63B3BB69-23CF-44E3-9099-C40C66FF867C}">
                  <a14:compatExt spid="_x0000_s1219598"/>
                </a:ext>
                <a:ext uri="{FF2B5EF4-FFF2-40B4-BE49-F238E27FC236}">
                  <a16:creationId xmlns:a16="http://schemas.microsoft.com/office/drawing/2014/main" id="{00000000-0008-0000-0500-00000E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41</xdr:row>
          <xdr:rowOff>7620</xdr:rowOff>
        </xdr:from>
        <xdr:to>
          <xdr:col>12</xdr:col>
          <xdr:colOff>160020</xdr:colOff>
          <xdr:row>42</xdr:row>
          <xdr:rowOff>0</xdr:rowOff>
        </xdr:to>
        <xdr:sp macro="" textlink="">
          <xdr:nvSpPr>
            <xdr:cNvPr id="1219599" name="Option Button 15" hidden="1">
              <a:extLst>
                <a:ext uri="{63B3BB69-23CF-44E3-9099-C40C66FF867C}">
                  <a14:compatExt spid="_x0000_s1219599"/>
                </a:ext>
                <a:ext uri="{FF2B5EF4-FFF2-40B4-BE49-F238E27FC236}">
                  <a16:creationId xmlns:a16="http://schemas.microsoft.com/office/drawing/2014/main" id="{00000000-0008-0000-0500-00000F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41</xdr:row>
          <xdr:rowOff>106680</xdr:rowOff>
        </xdr:from>
        <xdr:to>
          <xdr:col>13</xdr:col>
          <xdr:colOff>251460</xdr:colOff>
          <xdr:row>44</xdr:row>
          <xdr:rowOff>99060</xdr:rowOff>
        </xdr:to>
        <xdr:sp macro="" textlink="">
          <xdr:nvSpPr>
            <xdr:cNvPr id="1219600" name="Option Button 16" hidden="1">
              <a:extLst>
                <a:ext uri="{63B3BB69-23CF-44E3-9099-C40C66FF867C}">
                  <a14:compatExt spid="_x0000_s1219600"/>
                </a:ext>
                <a:ext uri="{FF2B5EF4-FFF2-40B4-BE49-F238E27FC236}">
                  <a16:creationId xmlns:a16="http://schemas.microsoft.com/office/drawing/2014/main" id="{00000000-0008-0000-0500-000010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42</xdr:row>
          <xdr:rowOff>7620</xdr:rowOff>
        </xdr:from>
        <xdr:to>
          <xdr:col>12</xdr:col>
          <xdr:colOff>160020</xdr:colOff>
          <xdr:row>45</xdr:row>
          <xdr:rowOff>0</xdr:rowOff>
        </xdr:to>
        <xdr:sp macro="" textlink="">
          <xdr:nvSpPr>
            <xdr:cNvPr id="1219601" name="Option Button 17" hidden="1">
              <a:extLst>
                <a:ext uri="{63B3BB69-23CF-44E3-9099-C40C66FF867C}">
                  <a14:compatExt spid="_x0000_s1219601"/>
                </a:ext>
                <a:ext uri="{FF2B5EF4-FFF2-40B4-BE49-F238E27FC236}">
                  <a16:creationId xmlns:a16="http://schemas.microsoft.com/office/drawing/2014/main" id="{00000000-0008-0000-0500-000011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46</xdr:row>
          <xdr:rowOff>7620</xdr:rowOff>
        </xdr:from>
        <xdr:to>
          <xdr:col>12</xdr:col>
          <xdr:colOff>160020</xdr:colOff>
          <xdr:row>47</xdr:row>
          <xdr:rowOff>0</xdr:rowOff>
        </xdr:to>
        <xdr:sp macro="" textlink="">
          <xdr:nvSpPr>
            <xdr:cNvPr id="1219602" name="Option Button 18" hidden="1">
              <a:extLst>
                <a:ext uri="{63B3BB69-23CF-44E3-9099-C40C66FF867C}">
                  <a14:compatExt spid="_x0000_s1219602"/>
                </a:ext>
                <a:ext uri="{FF2B5EF4-FFF2-40B4-BE49-F238E27FC236}">
                  <a16:creationId xmlns:a16="http://schemas.microsoft.com/office/drawing/2014/main" id="{00000000-0008-0000-0500-000012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48</xdr:row>
          <xdr:rowOff>7620</xdr:rowOff>
        </xdr:from>
        <xdr:to>
          <xdr:col>12</xdr:col>
          <xdr:colOff>160020</xdr:colOff>
          <xdr:row>49</xdr:row>
          <xdr:rowOff>0</xdr:rowOff>
        </xdr:to>
        <xdr:sp macro="" textlink="">
          <xdr:nvSpPr>
            <xdr:cNvPr id="1219603" name="Option Button 19" hidden="1">
              <a:extLst>
                <a:ext uri="{63B3BB69-23CF-44E3-9099-C40C66FF867C}">
                  <a14:compatExt spid="_x0000_s1219603"/>
                </a:ext>
                <a:ext uri="{FF2B5EF4-FFF2-40B4-BE49-F238E27FC236}">
                  <a16:creationId xmlns:a16="http://schemas.microsoft.com/office/drawing/2014/main" id="{00000000-0008-0000-0500-000013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50</xdr:row>
          <xdr:rowOff>7620</xdr:rowOff>
        </xdr:from>
        <xdr:to>
          <xdr:col>12</xdr:col>
          <xdr:colOff>160020</xdr:colOff>
          <xdr:row>51</xdr:row>
          <xdr:rowOff>0</xdr:rowOff>
        </xdr:to>
        <xdr:sp macro="" textlink="">
          <xdr:nvSpPr>
            <xdr:cNvPr id="1219604" name="Option Button 20" hidden="1">
              <a:extLst>
                <a:ext uri="{63B3BB69-23CF-44E3-9099-C40C66FF867C}">
                  <a14:compatExt spid="_x0000_s1219604"/>
                </a:ext>
                <a:ext uri="{FF2B5EF4-FFF2-40B4-BE49-F238E27FC236}">
                  <a16:creationId xmlns:a16="http://schemas.microsoft.com/office/drawing/2014/main" id="{00000000-0008-0000-0500-000014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52</xdr:row>
          <xdr:rowOff>7620</xdr:rowOff>
        </xdr:from>
        <xdr:to>
          <xdr:col>12</xdr:col>
          <xdr:colOff>160020</xdr:colOff>
          <xdr:row>53</xdr:row>
          <xdr:rowOff>0</xdr:rowOff>
        </xdr:to>
        <xdr:sp macro="" textlink="">
          <xdr:nvSpPr>
            <xdr:cNvPr id="1219605" name="Option Button 21" hidden="1">
              <a:extLst>
                <a:ext uri="{63B3BB69-23CF-44E3-9099-C40C66FF867C}">
                  <a14:compatExt spid="_x0000_s1219605"/>
                </a:ext>
                <a:ext uri="{FF2B5EF4-FFF2-40B4-BE49-F238E27FC236}">
                  <a16:creationId xmlns:a16="http://schemas.microsoft.com/office/drawing/2014/main" id="{00000000-0008-0000-0500-000015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54</xdr:row>
          <xdr:rowOff>7620</xdr:rowOff>
        </xdr:from>
        <xdr:to>
          <xdr:col>12</xdr:col>
          <xdr:colOff>160020</xdr:colOff>
          <xdr:row>55</xdr:row>
          <xdr:rowOff>0</xdr:rowOff>
        </xdr:to>
        <xdr:sp macro="" textlink="">
          <xdr:nvSpPr>
            <xdr:cNvPr id="1219606" name="Option Button 22" hidden="1">
              <a:extLst>
                <a:ext uri="{63B3BB69-23CF-44E3-9099-C40C66FF867C}">
                  <a14:compatExt spid="_x0000_s1219606"/>
                </a:ext>
                <a:ext uri="{FF2B5EF4-FFF2-40B4-BE49-F238E27FC236}">
                  <a16:creationId xmlns:a16="http://schemas.microsoft.com/office/drawing/2014/main" id="{00000000-0008-0000-0500-000016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312420</xdr:colOff>
          <xdr:row>67</xdr:row>
          <xdr:rowOff>0</xdr:rowOff>
        </xdr:from>
        <xdr:to>
          <xdr:col>2</xdr:col>
          <xdr:colOff>312420</xdr:colOff>
          <xdr:row>67</xdr:row>
          <xdr:rowOff>160020</xdr:rowOff>
        </xdr:to>
        <xdr:sp macro="" textlink="">
          <xdr:nvSpPr>
            <xdr:cNvPr id="1219607" name="Check Box 23" hidden="1">
              <a:extLst>
                <a:ext uri="{63B3BB69-23CF-44E3-9099-C40C66FF867C}">
                  <a14:compatExt spid="_x0000_s1219607"/>
                </a:ext>
                <a:ext uri="{FF2B5EF4-FFF2-40B4-BE49-F238E27FC236}">
                  <a16:creationId xmlns:a16="http://schemas.microsoft.com/office/drawing/2014/main" id="{00000000-0008-0000-0500-000017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Ignore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57</xdr:row>
          <xdr:rowOff>7620</xdr:rowOff>
        </xdr:from>
        <xdr:to>
          <xdr:col>12</xdr:col>
          <xdr:colOff>160020</xdr:colOff>
          <xdr:row>58</xdr:row>
          <xdr:rowOff>0</xdr:rowOff>
        </xdr:to>
        <xdr:sp macro="" textlink="">
          <xdr:nvSpPr>
            <xdr:cNvPr id="1219608" name="Option Button 24" hidden="1">
              <a:extLst>
                <a:ext uri="{63B3BB69-23CF-44E3-9099-C40C66FF867C}">
                  <a14:compatExt spid="_x0000_s1219608"/>
                </a:ext>
                <a:ext uri="{FF2B5EF4-FFF2-40B4-BE49-F238E27FC236}">
                  <a16:creationId xmlns:a16="http://schemas.microsoft.com/office/drawing/2014/main" id="{00000000-0008-0000-0500-000018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58</xdr:row>
          <xdr:rowOff>7620</xdr:rowOff>
        </xdr:from>
        <xdr:to>
          <xdr:col>12</xdr:col>
          <xdr:colOff>160020</xdr:colOff>
          <xdr:row>59</xdr:row>
          <xdr:rowOff>0</xdr:rowOff>
        </xdr:to>
        <xdr:sp macro="" textlink="">
          <xdr:nvSpPr>
            <xdr:cNvPr id="1219609" name="Option Button 25" hidden="1">
              <a:extLst>
                <a:ext uri="{63B3BB69-23CF-44E3-9099-C40C66FF867C}">
                  <a14:compatExt spid="_x0000_s1219609"/>
                </a:ext>
                <a:ext uri="{FF2B5EF4-FFF2-40B4-BE49-F238E27FC236}">
                  <a16:creationId xmlns:a16="http://schemas.microsoft.com/office/drawing/2014/main" id="{00000000-0008-0000-0500-000019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xdr:colOff>
          <xdr:row>58</xdr:row>
          <xdr:rowOff>83820</xdr:rowOff>
        </xdr:from>
        <xdr:to>
          <xdr:col>13</xdr:col>
          <xdr:colOff>213360</xdr:colOff>
          <xdr:row>61</xdr:row>
          <xdr:rowOff>76200</xdr:rowOff>
        </xdr:to>
        <xdr:sp macro="" textlink="">
          <xdr:nvSpPr>
            <xdr:cNvPr id="1219610" name="Option Button 26" hidden="1">
              <a:extLst>
                <a:ext uri="{63B3BB69-23CF-44E3-9099-C40C66FF867C}">
                  <a14:compatExt spid="_x0000_s1219610"/>
                </a:ext>
                <a:ext uri="{FF2B5EF4-FFF2-40B4-BE49-F238E27FC236}">
                  <a16:creationId xmlns:a16="http://schemas.microsoft.com/office/drawing/2014/main" id="{00000000-0008-0000-0500-00001A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59</xdr:row>
          <xdr:rowOff>7620</xdr:rowOff>
        </xdr:from>
        <xdr:to>
          <xdr:col>12</xdr:col>
          <xdr:colOff>160020</xdr:colOff>
          <xdr:row>62</xdr:row>
          <xdr:rowOff>0</xdr:rowOff>
        </xdr:to>
        <xdr:sp macro="" textlink="">
          <xdr:nvSpPr>
            <xdr:cNvPr id="1219611" name="Option Button 27" hidden="1">
              <a:extLst>
                <a:ext uri="{63B3BB69-23CF-44E3-9099-C40C66FF867C}">
                  <a14:compatExt spid="_x0000_s1219611"/>
                </a:ext>
                <a:ext uri="{FF2B5EF4-FFF2-40B4-BE49-F238E27FC236}">
                  <a16:creationId xmlns:a16="http://schemas.microsoft.com/office/drawing/2014/main" id="{00000000-0008-0000-0500-00001B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63</xdr:row>
          <xdr:rowOff>7620</xdr:rowOff>
        </xdr:from>
        <xdr:to>
          <xdr:col>12</xdr:col>
          <xdr:colOff>160020</xdr:colOff>
          <xdr:row>64</xdr:row>
          <xdr:rowOff>0</xdr:rowOff>
        </xdr:to>
        <xdr:sp macro="" textlink="">
          <xdr:nvSpPr>
            <xdr:cNvPr id="1219612" name="Option Button 28" hidden="1">
              <a:extLst>
                <a:ext uri="{63B3BB69-23CF-44E3-9099-C40C66FF867C}">
                  <a14:compatExt spid="_x0000_s1219612"/>
                </a:ext>
                <a:ext uri="{FF2B5EF4-FFF2-40B4-BE49-F238E27FC236}">
                  <a16:creationId xmlns:a16="http://schemas.microsoft.com/office/drawing/2014/main" id="{00000000-0008-0000-0500-00001C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65</xdr:row>
          <xdr:rowOff>7620</xdr:rowOff>
        </xdr:from>
        <xdr:to>
          <xdr:col>12</xdr:col>
          <xdr:colOff>160020</xdr:colOff>
          <xdr:row>66</xdr:row>
          <xdr:rowOff>0</xdr:rowOff>
        </xdr:to>
        <xdr:sp macro="" textlink="">
          <xdr:nvSpPr>
            <xdr:cNvPr id="1219613" name="Option Button 29" hidden="1">
              <a:extLst>
                <a:ext uri="{63B3BB69-23CF-44E3-9099-C40C66FF867C}">
                  <a14:compatExt spid="_x0000_s1219613"/>
                </a:ext>
                <a:ext uri="{FF2B5EF4-FFF2-40B4-BE49-F238E27FC236}">
                  <a16:creationId xmlns:a16="http://schemas.microsoft.com/office/drawing/2014/main" id="{00000000-0008-0000-0500-00001D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67</xdr:row>
          <xdr:rowOff>7620</xdr:rowOff>
        </xdr:from>
        <xdr:to>
          <xdr:col>12</xdr:col>
          <xdr:colOff>160020</xdr:colOff>
          <xdr:row>68</xdr:row>
          <xdr:rowOff>0</xdr:rowOff>
        </xdr:to>
        <xdr:sp macro="" textlink="">
          <xdr:nvSpPr>
            <xdr:cNvPr id="1219614" name="Option Button 30" hidden="1">
              <a:extLst>
                <a:ext uri="{63B3BB69-23CF-44E3-9099-C40C66FF867C}">
                  <a14:compatExt spid="_x0000_s1219614"/>
                </a:ext>
                <a:ext uri="{FF2B5EF4-FFF2-40B4-BE49-F238E27FC236}">
                  <a16:creationId xmlns:a16="http://schemas.microsoft.com/office/drawing/2014/main" id="{00000000-0008-0000-0500-00001E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69</xdr:row>
          <xdr:rowOff>7620</xdr:rowOff>
        </xdr:from>
        <xdr:to>
          <xdr:col>12</xdr:col>
          <xdr:colOff>160020</xdr:colOff>
          <xdr:row>70</xdr:row>
          <xdr:rowOff>0</xdr:rowOff>
        </xdr:to>
        <xdr:sp macro="" textlink="">
          <xdr:nvSpPr>
            <xdr:cNvPr id="1219615" name="Option Button 31" hidden="1">
              <a:extLst>
                <a:ext uri="{63B3BB69-23CF-44E3-9099-C40C66FF867C}">
                  <a14:compatExt spid="_x0000_s1219615"/>
                </a:ext>
                <a:ext uri="{FF2B5EF4-FFF2-40B4-BE49-F238E27FC236}">
                  <a16:creationId xmlns:a16="http://schemas.microsoft.com/office/drawing/2014/main" id="{00000000-0008-0000-0500-00001F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71</xdr:row>
          <xdr:rowOff>7620</xdr:rowOff>
        </xdr:from>
        <xdr:to>
          <xdr:col>12</xdr:col>
          <xdr:colOff>160020</xdr:colOff>
          <xdr:row>72</xdr:row>
          <xdr:rowOff>0</xdr:rowOff>
        </xdr:to>
        <xdr:sp macro="" textlink="">
          <xdr:nvSpPr>
            <xdr:cNvPr id="1219616" name="Option Button 32" hidden="1">
              <a:extLst>
                <a:ext uri="{63B3BB69-23CF-44E3-9099-C40C66FF867C}">
                  <a14:compatExt spid="_x0000_s1219616"/>
                </a:ext>
                <a:ext uri="{FF2B5EF4-FFF2-40B4-BE49-F238E27FC236}">
                  <a16:creationId xmlns:a16="http://schemas.microsoft.com/office/drawing/2014/main" id="{00000000-0008-0000-0500-000020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312420</xdr:colOff>
          <xdr:row>84</xdr:row>
          <xdr:rowOff>0</xdr:rowOff>
        </xdr:from>
        <xdr:to>
          <xdr:col>2</xdr:col>
          <xdr:colOff>312420</xdr:colOff>
          <xdr:row>84</xdr:row>
          <xdr:rowOff>160020</xdr:rowOff>
        </xdr:to>
        <xdr:sp macro="" textlink="">
          <xdr:nvSpPr>
            <xdr:cNvPr id="1219617" name="Check Box 33" hidden="1">
              <a:extLst>
                <a:ext uri="{63B3BB69-23CF-44E3-9099-C40C66FF867C}">
                  <a14:compatExt spid="_x0000_s1219617"/>
                </a:ext>
                <a:ext uri="{FF2B5EF4-FFF2-40B4-BE49-F238E27FC236}">
                  <a16:creationId xmlns:a16="http://schemas.microsoft.com/office/drawing/2014/main" id="{00000000-0008-0000-0500-000021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Ignore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74</xdr:row>
          <xdr:rowOff>7620</xdr:rowOff>
        </xdr:from>
        <xdr:to>
          <xdr:col>12</xdr:col>
          <xdr:colOff>160020</xdr:colOff>
          <xdr:row>75</xdr:row>
          <xdr:rowOff>0</xdr:rowOff>
        </xdr:to>
        <xdr:sp macro="" textlink="">
          <xdr:nvSpPr>
            <xdr:cNvPr id="1219618" name="Option Button 34" hidden="1">
              <a:extLst>
                <a:ext uri="{63B3BB69-23CF-44E3-9099-C40C66FF867C}">
                  <a14:compatExt spid="_x0000_s1219618"/>
                </a:ext>
                <a:ext uri="{FF2B5EF4-FFF2-40B4-BE49-F238E27FC236}">
                  <a16:creationId xmlns:a16="http://schemas.microsoft.com/office/drawing/2014/main" id="{00000000-0008-0000-0500-000022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75</xdr:row>
          <xdr:rowOff>7620</xdr:rowOff>
        </xdr:from>
        <xdr:to>
          <xdr:col>12</xdr:col>
          <xdr:colOff>160020</xdr:colOff>
          <xdr:row>76</xdr:row>
          <xdr:rowOff>0</xdr:rowOff>
        </xdr:to>
        <xdr:sp macro="" textlink="">
          <xdr:nvSpPr>
            <xdr:cNvPr id="1219619" name="Option Button 35" hidden="1">
              <a:extLst>
                <a:ext uri="{63B3BB69-23CF-44E3-9099-C40C66FF867C}">
                  <a14:compatExt spid="_x0000_s1219619"/>
                </a:ext>
                <a:ext uri="{FF2B5EF4-FFF2-40B4-BE49-F238E27FC236}">
                  <a16:creationId xmlns:a16="http://schemas.microsoft.com/office/drawing/2014/main" id="{00000000-0008-0000-0500-000023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xdr:colOff>
          <xdr:row>75</xdr:row>
          <xdr:rowOff>106680</xdr:rowOff>
        </xdr:from>
        <xdr:to>
          <xdr:col>13</xdr:col>
          <xdr:colOff>228600</xdr:colOff>
          <xdr:row>78</xdr:row>
          <xdr:rowOff>99060</xdr:rowOff>
        </xdr:to>
        <xdr:sp macro="" textlink="">
          <xdr:nvSpPr>
            <xdr:cNvPr id="1219620" name="Option Button 36" hidden="1">
              <a:extLst>
                <a:ext uri="{63B3BB69-23CF-44E3-9099-C40C66FF867C}">
                  <a14:compatExt spid="_x0000_s1219620"/>
                </a:ext>
                <a:ext uri="{FF2B5EF4-FFF2-40B4-BE49-F238E27FC236}">
                  <a16:creationId xmlns:a16="http://schemas.microsoft.com/office/drawing/2014/main" id="{00000000-0008-0000-0500-000024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76</xdr:row>
          <xdr:rowOff>7620</xdr:rowOff>
        </xdr:from>
        <xdr:to>
          <xdr:col>12</xdr:col>
          <xdr:colOff>160020</xdr:colOff>
          <xdr:row>79</xdr:row>
          <xdr:rowOff>0</xdr:rowOff>
        </xdr:to>
        <xdr:sp macro="" textlink="">
          <xdr:nvSpPr>
            <xdr:cNvPr id="1219621" name="Option Button 37" hidden="1">
              <a:extLst>
                <a:ext uri="{63B3BB69-23CF-44E3-9099-C40C66FF867C}">
                  <a14:compatExt spid="_x0000_s1219621"/>
                </a:ext>
                <a:ext uri="{FF2B5EF4-FFF2-40B4-BE49-F238E27FC236}">
                  <a16:creationId xmlns:a16="http://schemas.microsoft.com/office/drawing/2014/main" id="{00000000-0008-0000-0500-000025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80</xdr:row>
          <xdr:rowOff>7620</xdr:rowOff>
        </xdr:from>
        <xdr:to>
          <xdr:col>12</xdr:col>
          <xdr:colOff>160020</xdr:colOff>
          <xdr:row>81</xdr:row>
          <xdr:rowOff>0</xdr:rowOff>
        </xdr:to>
        <xdr:sp macro="" textlink="">
          <xdr:nvSpPr>
            <xdr:cNvPr id="1219622" name="Option Button 38" hidden="1">
              <a:extLst>
                <a:ext uri="{63B3BB69-23CF-44E3-9099-C40C66FF867C}">
                  <a14:compatExt spid="_x0000_s1219622"/>
                </a:ext>
                <a:ext uri="{FF2B5EF4-FFF2-40B4-BE49-F238E27FC236}">
                  <a16:creationId xmlns:a16="http://schemas.microsoft.com/office/drawing/2014/main" id="{00000000-0008-0000-0500-000026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82</xdr:row>
          <xdr:rowOff>7620</xdr:rowOff>
        </xdr:from>
        <xdr:to>
          <xdr:col>12</xdr:col>
          <xdr:colOff>160020</xdr:colOff>
          <xdr:row>83</xdr:row>
          <xdr:rowOff>0</xdr:rowOff>
        </xdr:to>
        <xdr:sp macro="" textlink="">
          <xdr:nvSpPr>
            <xdr:cNvPr id="1219623" name="Option Button 39" hidden="1">
              <a:extLst>
                <a:ext uri="{63B3BB69-23CF-44E3-9099-C40C66FF867C}">
                  <a14:compatExt spid="_x0000_s1219623"/>
                </a:ext>
                <a:ext uri="{FF2B5EF4-FFF2-40B4-BE49-F238E27FC236}">
                  <a16:creationId xmlns:a16="http://schemas.microsoft.com/office/drawing/2014/main" id="{00000000-0008-0000-0500-000027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84</xdr:row>
          <xdr:rowOff>7620</xdr:rowOff>
        </xdr:from>
        <xdr:to>
          <xdr:col>12</xdr:col>
          <xdr:colOff>160020</xdr:colOff>
          <xdr:row>85</xdr:row>
          <xdr:rowOff>0</xdr:rowOff>
        </xdr:to>
        <xdr:sp macro="" textlink="">
          <xdr:nvSpPr>
            <xdr:cNvPr id="1219624" name="Option Button 40" hidden="1">
              <a:extLst>
                <a:ext uri="{63B3BB69-23CF-44E3-9099-C40C66FF867C}">
                  <a14:compatExt spid="_x0000_s1219624"/>
                </a:ext>
                <a:ext uri="{FF2B5EF4-FFF2-40B4-BE49-F238E27FC236}">
                  <a16:creationId xmlns:a16="http://schemas.microsoft.com/office/drawing/2014/main" id="{00000000-0008-0000-0500-000028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86</xdr:row>
          <xdr:rowOff>7620</xdr:rowOff>
        </xdr:from>
        <xdr:to>
          <xdr:col>12</xdr:col>
          <xdr:colOff>160020</xdr:colOff>
          <xdr:row>87</xdr:row>
          <xdr:rowOff>0</xdr:rowOff>
        </xdr:to>
        <xdr:sp macro="" textlink="">
          <xdr:nvSpPr>
            <xdr:cNvPr id="1219625" name="Option Button 41" hidden="1">
              <a:extLst>
                <a:ext uri="{63B3BB69-23CF-44E3-9099-C40C66FF867C}">
                  <a14:compatExt spid="_x0000_s1219625"/>
                </a:ext>
                <a:ext uri="{FF2B5EF4-FFF2-40B4-BE49-F238E27FC236}">
                  <a16:creationId xmlns:a16="http://schemas.microsoft.com/office/drawing/2014/main" id="{00000000-0008-0000-0500-000029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769620</xdr:colOff>
          <xdr:row>88</xdr:row>
          <xdr:rowOff>7620</xdr:rowOff>
        </xdr:from>
        <xdr:to>
          <xdr:col>12</xdr:col>
          <xdr:colOff>160020</xdr:colOff>
          <xdr:row>89</xdr:row>
          <xdr:rowOff>0</xdr:rowOff>
        </xdr:to>
        <xdr:sp macro="" textlink="">
          <xdr:nvSpPr>
            <xdr:cNvPr id="1219626" name="Option Button 42" hidden="1">
              <a:extLst>
                <a:ext uri="{63B3BB69-23CF-44E3-9099-C40C66FF867C}">
                  <a14:compatExt spid="_x0000_s1219626"/>
                </a:ext>
                <a:ext uri="{FF2B5EF4-FFF2-40B4-BE49-F238E27FC236}">
                  <a16:creationId xmlns:a16="http://schemas.microsoft.com/office/drawing/2014/main" id="{00000000-0008-0000-0500-00002A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10</xdr:col>
      <xdr:colOff>291552</xdr:colOff>
      <xdr:row>115</xdr:row>
      <xdr:rowOff>122767</xdr:rowOff>
    </xdr:from>
    <xdr:ext cx="1033881" cy="487053"/>
    <xdr:pic>
      <xdr:nvPicPr>
        <xdr:cNvPr id="2" name="Picture 1" descr="C:\Users\lbasham\Desktop\1-MM-Standard-logo-small.jpg">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15827" y="14638867"/>
          <a:ext cx="1033881" cy="487053"/>
        </a:xfrm>
        <a:prstGeom prst="rect">
          <a:avLst/>
        </a:prstGeom>
        <a:noFill/>
        <a:ln>
          <a:noFill/>
        </a:ln>
      </xdr:spPr>
    </xdr:pic>
    <xdr:clientData/>
  </xdr:oneCellAnchor>
  <mc:AlternateContent xmlns:mc="http://schemas.openxmlformats.org/markup-compatibility/2006">
    <mc:Choice xmlns:a14="http://schemas.microsoft.com/office/drawing/2010/main" Requires="a14">
      <xdr:twoCellAnchor editAs="oneCell">
        <xdr:from>
          <xdr:col>11</xdr:col>
          <xdr:colOff>647700</xdr:colOff>
          <xdr:row>22</xdr:row>
          <xdr:rowOff>213360</xdr:rowOff>
        </xdr:from>
        <xdr:to>
          <xdr:col>13</xdr:col>
          <xdr:colOff>304800</xdr:colOff>
          <xdr:row>38</xdr:row>
          <xdr:rowOff>182880</xdr:rowOff>
        </xdr:to>
        <xdr:sp macro="" textlink="">
          <xdr:nvSpPr>
            <xdr:cNvPr id="1219627" name="Group Box 43" hidden="1">
              <a:extLst>
                <a:ext uri="{63B3BB69-23CF-44E3-9099-C40C66FF867C}">
                  <a14:compatExt spid="_x0000_s1219627"/>
                </a:ext>
                <a:ext uri="{FF2B5EF4-FFF2-40B4-BE49-F238E27FC236}">
                  <a16:creationId xmlns:a16="http://schemas.microsoft.com/office/drawing/2014/main" id="{00000000-0008-0000-0500-00002B9C1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670560</xdr:colOff>
          <xdr:row>55</xdr:row>
          <xdr:rowOff>220980</xdr:rowOff>
        </xdr:from>
        <xdr:to>
          <xdr:col>16</xdr:col>
          <xdr:colOff>99060</xdr:colOff>
          <xdr:row>72</xdr:row>
          <xdr:rowOff>137160</xdr:rowOff>
        </xdr:to>
        <xdr:sp macro="" textlink="">
          <xdr:nvSpPr>
            <xdr:cNvPr id="1219629" name="Group Box 45" hidden="1">
              <a:extLst>
                <a:ext uri="{63B3BB69-23CF-44E3-9099-C40C66FF867C}">
                  <a14:compatExt spid="_x0000_s1219629"/>
                </a:ext>
                <a:ext uri="{FF2B5EF4-FFF2-40B4-BE49-F238E27FC236}">
                  <a16:creationId xmlns:a16="http://schemas.microsoft.com/office/drawing/2014/main" id="{00000000-0008-0000-0500-00002D9C1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Group Box 77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670560</xdr:colOff>
          <xdr:row>72</xdr:row>
          <xdr:rowOff>220980</xdr:rowOff>
        </xdr:from>
        <xdr:to>
          <xdr:col>16</xdr:col>
          <xdr:colOff>144780</xdr:colOff>
          <xdr:row>90</xdr:row>
          <xdr:rowOff>7620</xdr:rowOff>
        </xdr:to>
        <xdr:sp macro="" textlink="">
          <xdr:nvSpPr>
            <xdr:cNvPr id="1219630" name="Group Box 46" hidden="1">
              <a:extLst>
                <a:ext uri="{63B3BB69-23CF-44E3-9099-C40C66FF867C}">
                  <a14:compatExt spid="_x0000_s1219630"/>
                </a:ext>
                <a:ext uri="{FF2B5EF4-FFF2-40B4-BE49-F238E27FC236}">
                  <a16:creationId xmlns:a16="http://schemas.microsoft.com/office/drawing/2014/main" id="{00000000-0008-0000-0500-00002E9C1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Group Box 78</a:t>
              </a:r>
            </a:p>
          </xdr:txBody>
        </xdr:sp>
        <xdr:clientData/>
      </xdr:twoCellAnchor>
    </mc:Choice>
    <mc:Fallback/>
  </mc:AlternateContent>
  <xdr:oneCellAnchor>
    <xdr:from>
      <xdr:col>13</xdr:col>
      <xdr:colOff>59266</xdr:colOff>
      <xdr:row>3</xdr:row>
      <xdr:rowOff>67734</xdr:rowOff>
    </xdr:from>
    <xdr:ext cx="3217335" cy="1062681"/>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0306" y="616374"/>
          <a:ext cx="3217335" cy="1062681"/>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11</xdr:col>
          <xdr:colOff>769620</xdr:colOff>
          <xdr:row>16</xdr:row>
          <xdr:rowOff>76200</xdr:rowOff>
        </xdr:from>
        <xdr:to>
          <xdr:col>13</xdr:col>
          <xdr:colOff>15240</xdr:colOff>
          <xdr:row>18</xdr:row>
          <xdr:rowOff>30480</xdr:rowOff>
        </xdr:to>
        <xdr:sp macro="" textlink="">
          <xdr:nvSpPr>
            <xdr:cNvPr id="1219635" name="Check Box 51" hidden="1">
              <a:extLst>
                <a:ext uri="{63B3BB69-23CF-44E3-9099-C40C66FF867C}">
                  <a14:compatExt spid="_x0000_s1219635"/>
                </a:ext>
                <a:ext uri="{FF2B5EF4-FFF2-40B4-BE49-F238E27FC236}">
                  <a16:creationId xmlns:a16="http://schemas.microsoft.com/office/drawing/2014/main" id="{00000000-0008-0000-0500-000033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312420</xdr:colOff>
          <xdr:row>34</xdr:row>
          <xdr:rowOff>30480</xdr:rowOff>
        </xdr:from>
        <xdr:to>
          <xdr:col>3</xdr:col>
          <xdr:colOff>60960</xdr:colOff>
          <xdr:row>36</xdr:row>
          <xdr:rowOff>15240</xdr:rowOff>
        </xdr:to>
        <xdr:sp macro="" textlink="">
          <xdr:nvSpPr>
            <xdr:cNvPr id="1219638" name="Check Box 54" hidden="1">
              <a:extLst>
                <a:ext uri="{63B3BB69-23CF-44E3-9099-C40C66FF867C}">
                  <a14:compatExt spid="_x0000_s1219638"/>
                </a:ext>
                <a:ext uri="{FF2B5EF4-FFF2-40B4-BE49-F238E27FC236}">
                  <a16:creationId xmlns:a16="http://schemas.microsoft.com/office/drawing/2014/main" id="{00000000-0008-0000-0500-0000369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Verified Fixed Income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38</xdr:row>
          <xdr:rowOff>266700</xdr:rowOff>
        </xdr:from>
        <xdr:to>
          <xdr:col>15</xdr:col>
          <xdr:colOff>7620</xdr:colOff>
          <xdr:row>55</xdr:row>
          <xdr:rowOff>99060</xdr:rowOff>
        </xdr:to>
        <xdr:sp macro="" textlink="">
          <xdr:nvSpPr>
            <xdr:cNvPr id="1219639" name="Group Box 55" hidden="1">
              <a:extLst>
                <a:ext uri="{63B3BB69-23CF-44E3-9099-C40C66FF867C}">
                  <a14:compatExt spid="_x0000_s1219639"/>
                </a:ext>
                <a:ext uri="{FF2B5EF4-FFF2-40B4-BE49-F238E27FC236}">
                  <a16:creationId xmlns:a16="http://schemas.microsoft.com/office/drawing/2014/main" id="{00000000-0008-0000-0500-0000379C1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55</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487680</xdr:colOff>
          <xdr:row>0</xdr:row>
          <xdr:rowOff>7620</xdr:rowOff>
        </xdr:from>
        <xdr:to>
          <xdr:col>1</xdr:col>
          <xdr:colOff>91440</xdr:colOff>
          <xdr:row>1</xdr:row>
          <xdr:rowOff>106680</xdr:rowOff>
        </xdr:to>
        <xdr:sp macro="" textlink="">
          <xdr:nvSpPr>
            <xdr:cNvPr id="1219640" name="Button 56" hidden="1">
              <a:extLst>
                <a:ext uri="{63B3BB69-23CF-44E3-9099-C40C66FF867C}">
                  <a14:compatExt spid="_x0000_s1219640"/>
                </a:ext>
                <a:ext uri="{FF2B5EF4-FFF2-40B4-BE49-F238E27FC236}">
                  <a16:creationId xmlns:a16="http://schemas.microsoft.com/office/drawing/2014/main" id="{00000000-0008-0000-0500-0000389C1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0</xdr:col>
          <xdr:colOff>434340</xdr:colOff>
          <xdr:row>1</xdr:row>
          <xdr:rowOff>106680</xdr:rowOff>
        </xdr:to>
        <xdr:sp macro="" textlink="">
          <xdr:nvSpPr>
            <xdr:cNvPr id="1219641" name="Button 57" hidden="1">
              <a:extLst>
                <a:ext uri="{63B3BB69-23CF-44E3-9099-C40C66FF867C}">
                  <a14:compatExt spid="_x0000_s1219641"/>
                </a:ext>
                <a:ext uri="{FF2B5EF4-FFF2-40B4-BE49-F238E27FC236}">
                  <a16:creationId xmlns:a16="http://schemas.microsoft.com/office/drawing/2014/main" id="{00000000-0008-0000-0500-0000399C12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0</xdr:row>
          <xdr:rowOff>0</xdr:rowOff>
        </xdr:from>
        <xdr:to>
          <xdr:col>2</xdr:col>
          <xdr:colOff>281940</xdr:colOff>
          <xdr:row>1</xdr:row>
          <xdr:rowOff>99060</xdr:rowOff>
        </xdr:to>
        <xdr:sp macro="" textlink="">
          <xdr:nvSpPr>
            <xdr:cNvPr id="1219642" name="Button 58" hidden="1">
              <a:extLst>
                <a:ext uri="{63B3BB69-23CF-44E3-9099-C40C66FF867C}">
                  <a14:compatExt spid="_x0000_s1219642"/>
                </a:ext>
                <a:ext uri="{FF2B5EF4-FFF2-40B4-BE49-F238E27FC236}">
                  <a16:creationId xmlns:a16="http://schemas.microsoft.com/office/drawing/2014/main" id="{00000000-0008-0000-0500-00003A9C1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167640</xdr:rowOff>
        </xdr:from>
        <xdr:to>
          <xdr:col>0</xdr:col>
          <xdr:colOff>830580</xdr:colOff>
          <xdr:row>2</xdr:row>
          <xdr:rowOff>0</xdr:rowOff>
        </xdr:to>
        <xdr:sp macro="" textlink="">
          <xdr:nvSpPr>
            <xdr:cNvPr id="1219643" name="Button 59" hidden="1">
              <a:extLst>
                <a:ext uri="{63B3BB69-23CF-44E3-9099-C40C66FF867C}">
                  <a14:compatExt spid="_x0000_s1219643"/>
                </a:ext>
                <a:ext uri="{FF2B5EF4-FFF2-40B4-BE49-F238E27FC236}">
                  <a16:creationId xmlns:a16="http://schemas.microsoft.com/office/drawing/2014/main" id="{00000000-0008-0000-0500-00003B9C1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5</xdr:col>
      <xdr:colOff>525460</xdr:colOff>
      <xdr:row>71</xdr:row>
      <xdr:rowOff>0</xdr:rowOff>
    </xdr:from>
    <xdr:to>
      <xdr:col>7</xdr:col>
      <xdr:colOff>456116</xdr:colOff>
      <xdr:row>73</xdr:row>
      <xdr:rowOff>136738</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10993" y="13577146"/>
          <a:ext cx="1132923" cy="509271"/>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22860</xdr:colOff>
          <xdr:row>36</xdr:row>
          <xdr:rowOff>182880</xdr:rowOff>
        </xdr:from>
        <xdr:to>
          <xdr:col>9</xdr:col>
          <xdr:colOff>480060</xdr:colOff>
          <xdr:row>36</xdr:row>
          <xdr:rowOff>190500</xdr:rowOff>
        </xdr:to>
        <xdr:sp macro="" textlink="">
          <xdr:nvSpPr>
            <xdr:cNvPr id="20488" name="Label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14</xdr:row>
          <xdr:rowOff>0</xdr:rowOff>
        </xdr:from>
        <xdr:to>
          <xdr:col>6</xdr:col>
          <xdr:colOff>7620</xdr:colOff>
          <xdr:row>15</xdr:row>
          <xdr:rowOff>7620</xdr:rowOff>
        </xdr:to>
        <xdr:sp macro="" textlink="">
          <xdr:nvSpPr>
            <xdr:cNvPr id="20493" name="Drop Down 13" hidden="1">
              <a:extLst>
                <a:ext uri="{63B3BB69-23CF-44E3-9099-C40C66FF867C}">
                  <a14:compatExt spid="_x0000_s20493"/>
                </a:ext>
                <a:ext uri="{FF2B5EF4-FFF2-40B4-BE49-F238E27FC236}">
                  <a16:creationId xmlns:a16="http://schemas.microsoft.com/office/drawing/2014/main" id="{00000000-0008-0000-0600-00000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15</xdr:row>
          <xdr:rowOff>68580</xdr:rowOff>
        </xdr:from>
        <xdr:to>
          <xdr:col>6</xdr:col>
          <xdr:colOff>7620</xdr:colOff>
          <xdr:row>16</xdr:row>
          <xdr:rowOff>190500</xdr:rowOff>
        </xdr:to>
        <xdr:sp macro="" textlink="">
          <xdr:nvSpPr>
            <xdr:cNvPr id="20494" name="Drop Down 14" hidden="1">
              <a:extLst>
                <a:ext uri="{63B3BB69-23CF-44E3-9099-C40C66FF867C}">
                  <a14:compatExt spid="_x0000_s20494"/>
                </a:ext>
                <a:ext uri="{FF2B5EF4-FFF2-40B4-BE49-F238E27FC236}">
                  <a16:creationId xmlns:a16="http://schemas.microsoft.com/office/drawing/2014/main" id="{00000000-0008-0000-0600-00000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18</xdr:row>
          <xdr:rowOff>0</xdr:rowOff>
        </xdr:from>
        <xdr:to>
          <xdr:col>6</xdr:col>
          <xdr:colOff>7620</xdr:colOff>
          <xdr:row>19</xdr:row>
          <xdr:rowOff>7620</xdr:rowOff>
        </xdr:to>
        <xdr:sp macro="" textlink="">
          <xdr:nvSpPr>
            <xdr:cNvPr id="20495" name="Drop Down 15" hidden="1">
              <a:extLst>
                <a:ext uri="{63B3BB69-23CF-44E3-9099-C40C66FF867C}">
                  <a14:compatExt spid="_x0000_s20495"/>
                </a:ext>
                <a:ext uri="{FF2B5EF4-FFF2-40B4-BE49-F238E27FC236}">
                  <a16:creationId xmlns:a16="http://schemas.microsoft.com/office/drawing/2014/main" id="{00000000-0008-0000-0600-00000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19</xdr:row>
          <xdr:rowOff>68580</xdr:rowOff>
        </xdr:from>
        <xdr:to>
          <xdr:col>6</xdr:col>
          <xdr:colOff>7620</xdr:colOff>
          <xdr:row>20</xdr:row>
          <xdr:rowOff>190500</xdr:rowOff>
        </xdr:to>
        <xdr:sp macro="" textlink="">
          <xdr:nvSpPr>
            <xdr:cNvPr id="20496" name="Drop Down 16" hidden="1">
              <a:extLst>
                <a:ext uri="{63B3BB69-23CF-44E3-9099-C40C66FF867C}">
                  <a14:compatExt spid="_x0000_s20496"/>
                </a:ext>
                <a:ext uri="{FF2B5EF4-FFF2-40B4-BE49-F238E27FC236}">
                  <a16:creationId xmlns:a16="http://schemas.microsoft.com/office/drawing/2014/main" id="{00000000-0008-0000-06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11</xdr:row>
          <xdr:rowOff>342900</xdr:rowOff>
        </xdr:from>
        <xdr:to>
          <xdr:col>6</xdr:col>
          <xdr:colOff>7620</xdr:colOff>
          <xdr:row>12</xdr:row>
          <xdr:rowOff>190500</xdr:rowOff>
        </xdr:to>
        <xdr:sp macro="" textlink="">
          <xdr:nvSpPr>
            <xdr:cNvPr id="20491" name="Drop Down 11" hidden="1">
              <a:extLst>
                <a:ext uri="{63B3BB69-23CF-44E3-9099-C40C66FF867C}">
                  <a14:compatExt spid="_x0000_s20491"/>
                </a:ext>
                <a:ext uri="{FF2B5EF4-FFF2-40B4-BE49-F238E27FC236}">
                  <a16:creationId xmlns:a16="http://schemas.microsoft.com/office/drawing/2014/main" id="{00000000-0008-0000-0600-00000B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42</xdr:row>
          <xdr:rowOff>68580</xdr:rowOff>
        </xdr:from>
        <xdr:to>
          <xdr:col>6</xdr:col>
          <xdr:colOff>7620</xdr:colOff>
          <xdr:row>43</xdr:row>
          <xdr:rowOff>182880</xdr:rowOff>
        </xdr:to>
        <xdr:sp macro="" textlink="">
          <xdr:nvSpPr>
            <xdr:cNvPr id="20498" name="Drop Down 18" hidden="1">
              <a:extLst>
                <a:ext uri="{63B3BB69-23CF-44E3-9099-C40C66FF867C}">
                  <a14:compatExt spid="_x0000_s20498"/>
                </a:ext>
                <a:ext uri="{FF2B5EF4-FFF2-40B4-BE49-F238E27FC236}">
                  <a16:creationId xmlns:a16="http://schemas.microsoft.com/office/drawing/2014/main" id="{00000000-0008-0000-0600-00001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44</xdr:row>
          <xdr:rowOff>60960</xdr:rowOff>
        </xdr:from>
        <xdr:to>
          <xdr:col>6</xdr:col>
          <xdr:colOff>7620</xdr:colOff>
          <xdr:row>45</xdr:row>
          <xdr:rowOff>182880</xdr:rowOff>
        </xdr:to>
        <xdr:sp macro="" textlink="">
          <xdr:nvSpPr>
            <xdr:cNvPr id="20499" name="Drop Down 19" hidden="1">
              <a:extLst>
                <a:ext uri="{63B3BB69-23CF-44E3-9099-C40C66FF867C}">
                  <a14:compatExt spid="_x0000_s20499"/>
                </a:ext>
                <a:ext uri="{FF2B5EF4-FFF2-40B4-BE49-F238E27FC236}">
                  <a16:creationId xmlns:a16="http://schemas.microsoft.com/office/drawing/2014/main" id="{00000000-0008-0000-06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46</xdr:row>
          <xdr:rowOff>53340</xdr:rowOff>
        </xdr:from>
        <xdr:to>
          <xdr:col>6</xdr:col>
          <xdr:colOff>7620</xdr:colOff>
          <xdr:row>47</xdr:row>
          <xdr:rowOff>182880</xdr:rowOff>
        </xdr:to>
        <xdr:sp macro="" textlink="">
          <xdr:nvSpPr>
            <xdr:cNvPr id="20500" name="Drop Down 20" hidden="1">
              <a:extLst>
                <a:ext uri="{63B3BB69-23CF-44E3-9099-C40C66FF867C}">
                  <a14:compatExt spid="_x0000_s20500"/>
                </a:ext>
                <a:ext uri="{FF2B5EF4-FFF2-40B4-BE49-F238E27FC236}">
                  <a16:creationId xmlns:a16="http://schemas.microsoft.com/office/drawing/2014/main" id="{00000000-0008-0000-06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48</xdr:row>
          <xdr:rowOff>60960</xdr:rowOff>
        </xdr:from>
        <xdr:to>
          <xdr:col>6</xdr:col>
          <xdr:colOff>7620</xdr:colOff>
          <xdr:row>49</xdr:row>
          <xdr:rowOff>182880</xdr:rowOff>
        </xdr:to>
        <xdr:sp macro="" textlink="">
          <xdr:nvSpPr>
            <xdr:cNvPr id="20501" name="Drop Down 21" hidden="1">
              <a:extLst>
                <a:ext uri="{63B3BB69-23CF-44E3-9099-C40C66FF867C}">
                  <a14:compatExt spid="_x0000_s20501"/>
                </a:ext>
                <a:ext uri="{FF2B5EF4-FFF2-40B4-BE49-F238E27FC236}">
                  <a16:creationId xmlns:a16="http://schemas.microsoft.com/office/drawing/2014/main" id="{00000000-0008-0000-0600-00001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41</xdr:row>
          <xdr:rowOff>7620</xdr:rowOff>
        </xdr:from>
        <xdr:to>
          <xdr:col>6</xdr:col>
          <xdr:colOff>7620</xdr:colOff>
          <xdr:row>41</xdr:row>
          <xdr:rowOff>182880</xdr:rowOff>
        </xdr:to>
        <xdr:sp macro="" textlink="">
          <xdr:nvSpPr>
            <xdr:cNvPr id="20502" name="Drop Down 22" hidden="1">
              <a:extLst>
                <a:ext uri="{63B3BB69-23CF-44E3-9099-C40C66FF867C}">
                  <a14:compatExt spid="_x0000_s20502"/>
                </a:ext>
                <a:ext uri="{FF2B5EF4-FFF2-40B4-BE49-F238E27FC236}">
                  <a16:creationId xmlns:a16="http://schemas.microsoft.com/office/drawing/2014/main" id="{00000000-0008-0000-06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23</xdr:row>
          <xdr:rowOff>0</xdr:rowOff>
        </xdr:from>
        <xdr:to>
          <xdr:col>11</xdr:col>
          <xdr:colOff>518160</xdr:colOff>
          <xdr:row>24</xdr:row>
          <xdr:rowOff>22860</xdr:rowOff>
        </xdr:to>
        <xdr:sp macro="" textlink="">
          <xdr:nvSpPr>
            <xdr:cNvPr id="20504" name="Check Box 24" hidden="1">
              <a:extLst>
                <a:ext uri="{63B3BB69-23CF-44E3-9099-C40C66FF867C}">
                  <a14:compatExt spid="_x0000_s20504"/>
                </a:ext>
                <a:ext uri="{FF2B5EF4-FFF2-40B4-BE49-F238E27FC236}">
                  <a16:creationId xmlns:a16="http://schemas.microsoft.com/office/drawing/2014/main" id="{00000000-0008-0000-0600-00001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xdr:colOff>
          <xdr:row>52</xdr:row>
          <xdr:rowOff>0</xdr:rowOff>
        </xdr:from>
        <xdr:to>
          <xdr:col>11</xdr:col>
          <xdr:colOff>525780</xdr:colOff>
          <xdr:row>53</xdr:row>
          <xdr:rowOff>30480</xdr:rowOff>
        </xdr:to>
        <xdr:sp macro="" textlink="">
          <xdr:nvSpPr>
            <xdr:cNvPr id="20505" name="Check Box 25" hidden="1">
              <a:extLst>
                <a:ext uri="{63B3BB69-23CF-44E3-9099-C40C66FF867C}">
                  <a14:compatExt spid="_x0000_s20505"/>
                </a:ext>
                <a:ext uri="{FF2B5EF4-FFF2-40B4-BE49-F238E27FC236}">
                  <a16:creationId xmlns:a16="http://schemas.microsoft.com/office/drawing/2014/main" id="{00000000-0008-0000-0600-00001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a:t>
              </a:r>
            </a:p>
          </xdr:txBody>
        </xdr:sp>
        <xdr:clientData/>
      </xdr:twoCellAnchor>
    </mc:Choice>
    <mc:Fallback/>
  </mc:AlternateContent>
  <xdr:twoCellAnchor editAs="oneCell">
    <xdr:from>
      <xdr:col>7</xdr:col>
      <xdr:colOff>84669</xdr:colOff>
      <xdr:row>3</xdr:row>
      <xdr:rowOff>84668</xdr:rowOff>
    </xdr:from>
    <xdr:to>
      <xdr:col>11</xdr:col>
      <xdr:colOff>1015296</xdr:colOff>
      <xdr:row>10</xdr:row>
      <xdr:rowOff>16934</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72469" y="1024468"/>
          <a:ext cx="3419827" cy="110913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137160</xdr:colOff>
          <xdr:row>0</xdr:row>
          <xdr:rowOff>7620</xdr:rowOff>
        </xdr:from>
        <xdr:to>
          <xdr:col>1</xdr:col>
          <xdr:colOff>571500</xdr:colOff>
          <xdr:row>1</xdr:row>
          <xdr:rowOff>114300</xdr:rowOff>
        </xdr:to>
        <xdr:sp macro="" textlink="">
          <xdr:nvSpPr>
            <xdr:cNvPr id="20514" name="Button 34" hidden="1">
              <a:extLst>
                <a:ext uri="{63B3BB69-23CF-44E3-9099-C40C66FF867C}">
                  <a14:compatExt spid="_x0000_s20514"/>
                </a:ext>
                <a:ext uri="{FF2B5EF4-FFF2-40B4-BE49-F238E27FC236}">
                  <a16:creationId xmlns:a16="http://schemas.microsoft.com/office/drawing/2014/main" id="{00000000-0008-0000-0600-00002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1</xdr:col>
          <xdr:colOff>83820</xdr:colOff>
          <xdr:row>1</xdr:row>
          <xdr:rowOff>114300</xdr:rowOff>
        </xdr:to>
        <xdr:sp macro="" textlink="">
          <xdr:nvSpPr>
            <xdr:cNvPr id="20515" name="Button 35" hidden="1">
              <a:extLst>
                <a:ext uri="{63B3BB69-23CF-44E3-9099-C40C66FF867C}">
                  <a14:compatExt spid="_x0000_s20515"/>
                </a:ext>
                <a:ext uri="{FF2B5EF4-FFF2-40B4-BE49-F238E27FC236}">
                  <a16:creationId xmlns:a16="http://schemas.microsoft.com/office/drawing/2014/main" id="{00000000-0008-0000-0600-00002350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624840</xdr:colOff>
          <xdr:row>0</xdr:row>
          <xdr:rowOff>7620</xdr:rowOff>
        </xdr:from>
        <xdr:to>
          <xdr:col>2</xdr:col>
          <xdr:colOff>403860</xdr:colOff>
          <xdr:row>1</xdr:row>
          <xdr:rowOff>114300</xdr:rowOff>
        </xdr:to>
        <xdr:sp macro="" textlink="">
          <xdr:nvSpPr>
            <xdr:cNvPr id="20516" name="Button 36" hidden="1">
              <a:extLst>
                <a:ext uri="{63B3BB69-23CF-44E3-9099-C40C66FF867C}">
                  <a14:compatExt spid="_x0000_s20516"/>
                </a:ext>
                <a:ext uri="{FF2B5EF4-FFF2-40B4-BE49-F238E27FC236}">
                  <a16:creationId xmlns:a16="http://schemas.microsoft.com/office/drawing/2014/main" id="{00000000-0008-0000-0600-000024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167640</xdr:rowOff>
        </xdr:from>
        <xdr:to>
          <xdr:col>1</xdr:col>
          <xdr:colOff>480060</xdr:colOff>
          <xdr:row>2</xdr:row>
          <xdr:rowOff>7620</xdr:rowOff>
        </xdr:to>
        <xdr:sp macro="" textlink="">
          <xdr:nvSpPr>
            <xdr:cNvPr id="20517" name="Button 37" hidden="1">
              <a:extLst>
                <a:ext uri="{63B3BB69-23CF-44E3-9099-C40C66FF867C}">
                  <a14:compatExt spid="_x0000_s20517"/>
                </a:ext>
                <a:ext uri="{FF2B5EF4-FFF2-40B4-BE49-F238E27FC236}">
                  <a16:creationId xmlns:a16="http://schemas.microsoft.com/office/drawing/2014/main" id="{00000000-0008-0000-0600-000025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6</xdr:col>
      <xdr:colOff>155044</xdr:colOff>
      <xdr:row>63</xdr:row>
      <xdr:rowOff>154512</xdr:rowOff>
    </xdr:from>
    <xdr:to>
      <xdr:col>8</xdr:col>
      <xdr:colOff>251223</xdr:colOff>
      <xdr:row>66</xdr:row>
      <xdr:rowOff>97786</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50644" y="12278779"/>
          <a:ext cx="1141389" cy="50588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8</xdr:col>
          <xdr:colOff>0</xdr:colOff>
          <xdr:row>12</xdr:row>
          <xdr:rowOff>7620</xdr:rowOff>
        </xdr:from>
        <xdr:to>
          <xdr:col>9</xdr:col>
          <xdr:colOff>0</xdr:colOff>
          <xdr:row>12</xdr:row>
          <xdr:rowOff>190500</xdr:rowOff>
        </xdr:to>
        <xdr:sp macro="" textlink="">
          <xdr:nvSpPr>
            <xdr:cNvPr id="43010" name="Drop Down 2" hidden="1">
              <a:extLst>
                <a:ext uri="{63B3BB69-23CF-44E3-9099-C40C66FF867C}">
                  <a14:compatExt spid="_x0000_s43010"/>
                </a:ext>
                <a:ext uri="{FF2B5EF4-FFF2-40B4-BE49-F238E27FC236}">
                  <a16:creationId xmlns:a16="http://schemas.microsoft.com/office/drawing/2014/main" id="{00000000-0008-0000-07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7620</xdr:rowOff>
        </xdr:from>
        <xdr:to>
          <xdr:col>5</xdr:col>
          <xdr:colOff>0</xdr:colOff>
          <xdr:row>13</xdr:row>
          <xdr:rowOff>0</xdr:rowOff>
        </xdr:to>
        <xdr:sp macro="" textlink="">
          <xdr:nvSpPr>
            <xdr:cNvPr id="43014" name="Drop Down 6" hidden="1">
              <a:extLst>
                <a:ext uri="{63B3BB69-23CF-44E3-9099-C40C66FF867C}">
                  <a14:compatExt spid="_x0000_s43014"/>
                </a:ext>
                <a:ext uri="{FF2B5EF4-FFF2-40B4-BE49-F238E27FC236}">
                  <a16:creationId xmlns:a16="http://schemas.microsoft.com/office/drawing/2014/main" id="{00000000-0008-0000-07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0</xdr:colOff>
          <xdr:row>38</xdr:row>
          <xdr:rowOff>0</xdr:rowOff>
        </xdr:to>
        <xdr:sp macro="" textlink="">
          <xdr:nvSpPr>
            <xdr:cNvPr id="43021" name="Drop Down 13" hidden="1">
              <a:extLst>
                <a:ext uri="{63B3BB69-23CF-44E3-9099-C40C66FF867C}">
                  <a14:compatExt spid="_x0000_s43021"/>
                </a:ext>
                <a:ext uri="{FF2B5EF4-FFF2-40B4-BE49-F238E27FC236}">
                  <a16:creationId xmlns:a16="http://schemas.microsoft.com/office/drawing/2014/main" id="{00000000-0008-0000-0700-00000D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0</xdr:rowOff>
        </xdr:to>
        <xdr:sp macro="" textlink="">
          <xdr:nvSpPr>
            <xdr:cNvPr id="43022" name="Drop Down 14" hidden="1">
              <a:extLst>
                <a:ext uri="{63B3BB69-23CF-44E3-9099-C40C66FF867C}">
                  <a14:compatExt spid="_x0000_s43022"/>
                </a:ext>
                <a:ext uri="{FF2B5EF4-FFF2-40B4-BE49-F238E27FC236}">
                  <a16:creationId xmlns:a16="http://schemas.microsoft.com/office/drawing/2014/main" id="{00000000-0008-0000-0700-00000E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xdr:row>
          <xdr:rowOff>7620</xdr:rowOff>
        </xdr:from>
        <xdr:to>
          <xdr:col>11</xdr:col>
          <xdr:colOff>30480</xdr:colOff>
          <xdr:row>13</xdr:row>
          <xdr:rowOff>236220</xdr:rowOff>
        </xdr:to>
        <xdr:sp macro="" textlink="">
          <xdr:nvSpPr>
            <xdr:cNvPr id="43023" name="Check Box 15" hidden="1">
              <a:extLst>
                <a:ext uri="{63B3BB69-23CF-44E3-9099-C40C66FF867C}">
                  <a14:compatExt spid="_x0000_s43023"/>
                </a:ext>
                <a:ext uri="{FF2B5EF4-FFF2-40B4-BE49-F238E27FC236}">
                  <a16:creationId xmlns:a16="http://schemas.microsoft.com/office/drawing/2014/main" id="{00000000-0008-0000-0700-00000F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 (explain/justify)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38</xdr:row>
          <xdr:rowOff>7620</xdr:rowOff>
        </xdr:from>
        <xdr:to>
          <xdr:col>11</xdr:col>
          <xdr:colOff>30480</xdr:colOff>
          <xdr:row>39</xdr:row>
          <xdr:rowOff>0</xdr:rowOff>
        </xdr:to>
        <xdr:sp macro="" textlink="">
          <xdr:nvSpPr>
            <xdr:cNvPr id="43024" name="Check Box 16" hidden="1">
              <a:extLst>
                <a:ext uri="{63B3BB69-23CF-44E3-9099-C40C66FF867C}">
                  <a14:compatExt spid="_x0000_s43024"/>
                </a:ext>
                <a:ext uri="{FF2B5EF4-FFF2-40B4-BE49-F238E27FC236}">
                  <a16:creationId xmlns:a16="http://schemas.microsoft.com/office/drawing/2014/main" id="{00000000-0008-0000-0700-000010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 (explain/justify)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137160</xdr:colOff>
          <xdr:row>0</xdr:row>
          <xdr:rowOff>7620</xdr:rowOff>
        </xdr:from>
        <xdr:to>
          <xdr:col>1</xdr:col>
          <xdr:colOff>571500</xdr:colOff>
          <xdr:row>1</xdr:row>
          <xdr:rowOff>114300</xdr:rowOff>
        </xdr:to>
        <xdr:sp macro="" textlink="">
          <xdr:nvSpPr>
            <xdr:cNvPr id="43033" name="Button 25" hidden="1">
              <a:extLst>
                <a:ext uri="{63B3BB69-23CF-44E3-9099-C40C66FF867C}">
                  <a14:compatExt spid="_x0000_s43033"/>
                </a:ext>
                <a:ext uri="{FF2B5EF4-FFF2-40B4-BE49-F238E27FC236}">
                  <a16:creationId xmlns:a16="http://schemas.microsoft.com/office/drawing/2014/main" id="{00000000-0008-0000-0700-00001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1</xdr:col>
          <xdr:colOff>83820</xdr:colOff>
          <xdr:row>1</xdr:row>
          <xdr:rowOff>114300</xdr:rowOff>
        </xdr:to>
        <xdr:sp macro="" textlink="">
          <xdr:nvSpPr>
            <xdr:cNvPr id="43034" name="Button 26" hidden="1">
              <a:extLst>
                <a:ext uri="{63B3BB69-23CF-44E3-9099-C40C66FF867C}">
                  <a14:compatExt spid="_x0000_s43034"/>
                </a:ext>
                <a:ext uri="{FF2B5EF4-FFF2-40B4-BE49-F238E27FC236}">
                  <a16:creationId xmlns:a16="http://schemas.microsoft.com/office/drawing/2014/main" id="{00000000-0008-0000-0700-00001AA8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632460</xdr:colOff>
          <xdr:row>0</xdr:row>
          <xdr:rowOff>7620</xdr:rowOff>
        </xdr:from>
        <xdr:to>
          <xdr:col>2</xdr:col>
          <xdr:colOff>411480</xdr:colOff>
          <xdr:row>1</xdr:row>
          <xdr:rowOff>114300</xdr:rowOff>
        </xdr:to>
        <xdr:sp macro="" textlink="">
          <xdr:nvSpPr>
            <xdr:cNvPr id="43035" name="Button 27" hidden="1">
              <a:extLst>
                <a:ext uri="{63B3BB69-23CF-44E3-9099-C40C66FF867C}">
                  <a14:compatExt spid="_x0000_s43035"/>
                </a:ext>
                <a:ext uri="{FF2B5EF4-FFF2-40B4-BE49-F238E27FC236}">
                  <a16:creationId xmlns:a16="http://schemas.microsoft.com/office/drawing/2014/main" id="{00000000-0008-0000-0700-00001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167640</xdr:rowOff>
        </xdr:from>
        <xdr:to>
          <xdr:col>1</xdr:col>
          <xdr:colOff>480060</xdr:colOff>
          <xdr:row>2</xdr:row>
          <xdr:rowOff>7620</xdr:rowOff>
        </xdr:to>
        <xdr:sp macro="" textlink="">
          <xdr:nvSpPr>
            <xdr:cNvPr id="43036" name="Button 28" hidden="1">
              <a:extLst>
                <a:ext uri="{63B3BB69-23CF-44E3-9099-C40C66FF867C}">
                  <a14:compatExt spid="_x0000_s43036"/>
                </a:ext>
                <a:ext uri="{FF2B5EF4-FFF2-40B4-BE49-F238E27FC236}">
                  <a16:creationId xmlns:a16="http://schemas.microsoft.com/office/drawing/2014/main" id="{00000000-0008-0000-0700-00001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88079</xdr:colOff>
      <xdr:row>87</xdr:row>
      <xdr:rowOff>157480</xdr:rowOff>
    </xdr:from>
    <xdr:ext cx="1159594" cy="517737"/>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E188C090-A2B0-4620-8505-6444134F4FA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85959" y="16068040"/>
          <a:ext cx="1159594" cy="517737"/>
        </a:xfrm>
        <a:prstGeom prst="rect">
          <a:avLst/>
        </a:prstGeom>
        <a:noFill/>
        <a:ln>
          <a:noFill/>
        </a:ln>
      </xdr:spPr>
    </xdr:pic>
    <xdr:clientData/>
  </xdr:oneCellAnchor>
  <mc:AlternateContent xmlns:mc="http://schemas.openxmlformats.org/markup-compatibility/2006">
    <mc:Choice xmlns:a14="http://schemas.microsoft.com/office/drawing/2010/main" Requires="a14">
      <xdr:twoCellAnchor>
        <xdr:from>
          <xdr:col>11</xdr:col>
          <xdr:colOff>99060</xdr:colOff>
          <xdr:row>59</xdr:row>
          <xdr:rowOff>91440</xdr:rowOff>
        </xdr:from>
        <xdr:to>
          <xdr:col>13</xdr:col>
          <xdr:colOff>38100</xdr:colOff>
          <xdr:row>62</xdr:row>
          <xdr:rowOff>30480</xdr:rowOff>
        </xdr:to>
        <xdr:sp macro="" textlink="">
          <xdr:nvSpPr>
            <xdr:cNvPr id="1448962" name="Check Box 2" hidden="1">
              <a:extLst>
                <a:ext uri="{63B3BB69-23CF-44E3-9099-C40C66FF867C}">
                  <a14:compatExt spid="_x0000_s1448962"/>
                </a:ext>
                <a:ext uri="{FF2B5EF4-FFF2-40B4-BE49-F238E27FC236}">
                  <a16:creationId xmlns:a16="http://schemas.microsoft.com/office/drawing/2014/main" id="{00000000-0008-0000-0800-0000021C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121920</xdr:colOff>
          <xdr:row>60</xdr:row>
          <xdr:rowOff>0</xdr:rowOff>
        </xdr:from>
        <xdr:to>
          <xdr:col>17</xdr:col>
          <xdr:colOff>68580</xdr:colOff>
          <xdr:row>62</xdr:row>
          <xdr:rowOff>7620</xdr:rowOff>
        </xdr:to>
        <xdr:sp macro="" textlink="">
          <xdr:nvSpPr>
            <xdr:cNvPr id="1448963" name="Check Box 3" hidden="1">
              <a:extLst>
                <a:ext uri="{63B3BB69-23CF-44E3-9099-C40C66FF867C}">
                  <a14:compatExt spid="_x0000_s1448963"/>
                </a:ext>
                <a:ext uri="{FF2B5EF4-FFF2-40B4-BE49-F238E27FC236}">
                  <a16:creationId xmlns:a16="http://schemas.microsoft.com/office/drawing/2014/main" id="{00000000-0008-0000-0800-0000031C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114300</xdr:colOff>
          <xdr:row>59</xdr:row>
          <xdr:rowOff>83820</xdr:rowOff>
        </xdr:from>
        <xdr:to>
          <xdr:col>21</xdr:col>
          <xdr:colOff>518160</xdr:colOff>
          <xdr:row>62</xdr:row>
          <xdr:rowOff>30480</xdr:rowOff>
        </xdr:to>
        <xdr:sp macro="" textlink="">
          <xdr:nvSpPr>
            <xdr:cNvPr id="1448964" name="Check Box 4" hidden="1">
              <a:extLst>
                <a:ext uri="{63B3BB69-23CF-44E3-9099-C40C66FF867C}">
                  <a14:compatExt spid="_x0000_s1448964"/>
                </a:ext>
                <a:ext uri="{FF2B5EF4-FFF2-40B4-BE49-F238E27FC236}">
                  <a16:creationId xmlns:a16="http://schemas.microsoft.com/office/drawing/2014/main" id="{00000000-0008-0000-0800-0000041C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53340</xdr:colOff>
          <xdr:row>64</xdr:row>
          <xdr:rowOff>53340</xdr:rowOff>
        </xdr:from>
        <xdr:to>
          <xdr:col>18</xdr:col>
          <xdr:colOff>22860</xdr:colOff>
          <xdr:row>64</xdr:row>
          <xdr:rowOff>259080</xdr:rowOff>
        </xdr:to>
        <xdr:sp macro="" textlink="">
          <xdr:nvSpPr>
            <xdr:cNvPr id="1448967" name="Check Box 7" hidden="1">
              <a:extLst>
                <a:ext uri="{63B3BB69-23CF-44E3-9099-C40C66FF867C}">
                  <a14:compatExt spid="_x0000_s1448967"/>
                </a:ext>
                <a:ext uri="{FF2B5EF4-FFF2-40B4-BE49-F238E27FC236}">
                  <a16:creationId xmlns:a16="http://schemas.microsoft.com/office/drawing/2014/main" id="{00000000-0008-0000-0800-0000071C1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Omit (explain/justify)</a:t>
              </a:r>
            </a:p>
          </xdr:txBody>
        </xdr:sp>
        <xdr:clientData/>
      </xdr:twoCellAnchor>
    </mc:Choice>
    <mc:Fallback/>
  </mc:AlternateContent>
  <xdr:oneCellAnchor>
    <xdr:from>
      <xdr:col>11</xdr:col>
      <xdr:colOff>321733</xdr:colOff>
      <xdr:row>3</xdr:row>
      <xdr:rowOff>76200</xdr:rowOff>
    </xdr:from>
    <xdr:ext cx="3351391" cy="1100667"/>
    <xdr:pic>
      <xdr:nvPicPr>
        <xdr:cNvPr id="3" name="Picture 2">
          <a:extLst>
            <a:ext uri="{FF2B5EF4-FFF2-40B4-BE49-F238E27FC236}">
              <a16:creationId xmlns:a16="http://schemas.microsoft.com/office/drawing/2014/main" id="{C64D20C9-762D-460D-8829-498A9B3022E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530253" y="624840"/>
          <a:ext cx="3351391" cy="1100667"/>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312420</xdr:colOff>
          <xdr:row>0</xdr:row>
          <xdr:rowOff>7620</xdr:rowOff>
        </xdr:from>
        <xdr:to>
          <xdr:col>3</xdr:col>
          <xdr:colOff>45720</xdr:colOff>
          <xdr:row>1</xdr:row>
          <xdr:rowOff>114300</xdr:rowOff>
        </xdr:to>
        <xdr:sp macro="" textlink="">
          <xdr:nvSpPr>
            <xdr:cNvPr id="1448972" name="Button 12" hidden="1">
              <a:extLst>
                <a:ext uri="{63B3BB69-23CF-44E3-9099-C40C66FF867C}">
                  <a14:compatExt spid="_x0000_s1448972"/>
                </a:ext>
                <a:ext uri="{FF2B5EF4-FFF2-40B4-BE49-F238E27FC236}">
                  <a16:creationId xmlns:a16="http://schemas.microsoft.com/office/drawing/2014/main" id="{00000000-0008-0000-0800-00000C1C1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1</xdr:col>
          <xdr:colOff>259080</xdr:colOff>
          <xdr:row>1</xdr:row>
          <xdr:rowOff>114300</xdr:rowOff>
        </xdr:to>
        <xdr:sp macro="" textlink="">
          <xdr:nvSpPr>
            <xdr:cNvPr id="1448973" name="Button 13" hidden="1">
              <a:extLst>
                <a:ext uri="{63B3BB69-23CF-44E3-9099-C40C66FF867C}">
                  <a14:compatExt spid="_x0000_s1448973"/>
                </a:ext>
                <a:ext uri="{FF2B5EF4-FFF2-40B4-BE49-F238E27FC236}">
                  <a16:creationId xmlns:a16="http://schemas.microsoft.com/office/drawing/2014/main" id="{00000000-0008-0000-0800-00000D1C16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106680</xdr:colOff>
          <xdr:row>0</xdr:row>
          <xdr:rowOff>7620</xdr:rowOff>
        </xdr:from>
        <xdr:to>
          <xdr:col>3</xdr:col>
          <xdr:colOff>541020</xdr:colOff>
          <xdr:row>1</xdr:row>
          <xdr:rowOff>114300</xdr:rowOff>
        </xdr:to>
        <xdr:sp macro="" textlink="">
          <xdr:nvSpPr>
            <xdr:cNvPr id="1448974" name="Button 14" hidden="1">
              <a:extLst>
                <a:ext uri="{63B3BB69-23CF-44E3-9099-C40C66FF867C}">
                  <a14:compatExt spid="_x0000_s1448974"/>
                </a:ext>
                <a:ext uri="{FF2B5EF4-FFF2-40B4-BE49-F238E27FC236}">
                  <a16:creationId xmlns:a16="http://schemas.microsoft.com/office/drawing/2014/main" id="{00000000-0008-0000-0800-00000E1C1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167640</xdr:rowOff>
        </xdr:from>
        <xdr:to>
          <xdr:col>2</xdr:col>
          <xdr:colOff>0</xdr:colOff>
          <xdr:row>2</xdr:row>
          <xdr:rowOff>7620</xdr:rowOff>
        </xdr:to>
        <xdr:sp macro="" textlink="">
          <xdr:nvSpPr>
            <xdr:cNvPr id="1448975" name="Button 15" hidden="1">
              <a:extLst>
                <a:ext uri="{63B3BB69-23CF-44E3-9099-C40C66FF867C}">
                  <a14:compatExt spid="_x0000_s1448975"/>
                </a:ext>
                <a:ext uri="{FF2B5EF4-FFF2-40B4-BE49-F238E27FC236}">
                  <a16:creationId xmlns:a16="http://schemas.microsoft.com/office/drawing/2014/main" id="{00000000-0008-0000-0800-00000F1C1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12</xdr:col>
      <xdr:colOff>70303</xdr:colOff>
      <xdr:row>287</xdr:row>
      <xdr:rowOff>169337</xdr:rowOff>
    </xdr:from>
    <xdr:ext cx="1211436" cy="496819"/>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01370" y="12937070"/>
          <a:ext cx="1211436" cy="496819"/>
        </a:xfrm>
        <a:prstGeom prst="rect">
          <a:avLst/>
        </a:prstGeom>
        <a:noFill/>
        <a:ln>
          <a:noFill/>
        </a:ln>
      </xdr:spPr>
    </xdr:pic>
    <xdr:clientData/>
  </xdr:oneCellAnchor>
  <mc:AlternateContent xmlns:mc="http://schemas.openxmlformats.org/markup-compatibility/2006">
    <mc:Choice xmlns:a14="http://schemas.microsoft.com/office/drawing/2010/main" Requires="a14">
      <xdr:twoCellAnchor editAs="oneCell">
        <xdr:from>
          <xdr:col>19</xdr:col>
          <xdr:colOff>289560</xdr:colOff>
          <xdr:row>35</xdr:row>
          <xdr:rowOff>7620</xdr:rowOff>
        </xdr:from>
        <xdr:to>
          <xdr:col>21</xdr:col>
          <xdr:colOff>274320</xdr:colOff>
          <xdr:row>35</xdr:row>
          <xdr:rowOff>182880</xdr:rowOff>
        </xdr:to>
        <xdr:sp macro="" textlink="">
          <xdr:nvSpPr>
            <xdr:cNvPr id="1131526" name="Check Box 6" hidden="1">
              <a:extLst>
                <a:ext uri="{63B3BB69-23CF-44E3-9099-C40C66FF867C}">
                  <a14:compatExt spid="_x0000_s1131526"/>
                </a:ext>
                <a:ext uri="{FF2B5EF4-FFF2-40B4-BE49-F238E27FC236}">
                  <a16:creationId xmlns:a16="http://schemas.microsoft.com/office/drawing/2014/main" id="{00000000-0008-0000-0900-00000644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251460</xdr:colOff>
          <xdr:row>37</xdr:row>
          <xdr:rowOff>22860</xdr:rowOff>
        </xdr:from>
        <xdr:to>
          <xdr:col>21</xdr:col>
          <xdr:colOff>685800</xdr:colOff>
          <xdr:row>37</xdr:row>
          <xdr:rowOff>167640</xdr:rowOff>
        </xdr:to>
        <xdr:sp macro="" textlink="">
          <xdr:nvSpPr>
            <xdr:cNvPr id="1131528" name="Check Box 8" hidden="1">
              <a:extLst>
                <a:ext uri="{63B3BB69-23CF-44E3-9099-C40C66FF867C}">
                  <a14:compatExt spid="_x0000_s1131528"/>
                </a:ext>
                <a:ext uri="{FF2B5EF4-FFF2-40B4-BE49-F238E27FC236}">
                  <a16:creationId xmlns:a16="http://schemas.microsoft.com/office/drawing/2014/main" id="{00000000-0008-0000-0900-00000844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Click to see amounts based on limited Data, won't carry forward</a:t>
              </a:r>
            </a:p>
          </xdr:txBody>
        </xdr:sp>
        <xdr:clientData/>
      </xdr:twoCellAnchor>
    </mc:Choice>
    <mc:Fallback/>
  </mc:AlternateContent>
  <xdr:oneCellAnchor>
    <xdr:from>
      <xdr:col>14</xdr:col>
      <xdr:colOff>0</xdr:colOff>
      <xdr:row>3</xdr:row>
      <xdr:rowOff>84667</xdr:rowOff>
    </xdr:from>
    <xdr:ext cx="3431989" cy="1149758"/>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067800" y="633307"/>
          <a:ext cx="3431989" cy="114975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11</xdr:col>
          <xdr:colOff>30480</xdr:colOff>
          <xdr:row>13</xdr:row>
          <xdr:rowOff>83820</xdr:rowOff>
        </xdr:from>
        <xdr:to>
          <xdr:col>11</xdr:col>
          <xdr:colOff>472440</xdr:colOff>
          <xdr:row>15</xdr:row>
          <xdr:rowOff>30480</xdr:rowOff>
        </xdr:to>
        <xdr:sp macro="" textlink="">
          <xdr:nvSpPr>
            <xdr:cNvPr id="1131529" name="Option Button 9" hidden="1">
              <a:extLst>
                <a:ext uri="{63B3BB69-23CF-44E3-9099-C40C66FF867C}">
                  <a14:compatExt spid="_x0000_s1131529"/>
                </a:ext>
                <a:ext uri="{FF2B5EF4-FFF2-40B4-BE49-F238E27FC236}">
                  <a16:creationId xmlns:a16="http://schemas.microsoft.com/office/drawing/2014/main" id="{00000000-0008-0000-0900-00000944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13</xdr:row>
          <xdr:rowOff>83820</xdr:rowOff>
        </xdr:from>
        <xdr:to>
          <xdr:col>12</xdr:col>
          <xdr:colOff>480060</xdr:colOff>
          <xdr:row>15</xdr:row>
          <xdr:rowOff>30480</xdr:rowOff>
        </xdr:to>
        <xdr:sp macro="" textlink="">
          <xdr:nvSpPr>
            <xdr:cNvPr id="1131530" name="Option Button 10" hidden="1">
              <a:extLst>
                <a:ext uri="{63B3BB69-23CF-44E3-9099-C40C66FF867C}">
                  <a14:compatExt spid="_x0000_s1131530"/>
                </a:ext>
                <a:ext uri="{FF2B5EF4-FFF2-40B4-BE49-F238E27FC236}">
                  <a16:creationId xmlns:a16="http://schemas.microsoft.com/office/drawing/2014/main" id="{00000000-0008-0000-0900-00000A44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xdr:colOff>
          <xdr:row>0</xdr:row>
          <xdr:rowOff>7620</xdr:rowOff>
        </xdr:from>
        <xdr:to>
          <xdr:col>4</xdr:col>
          <xdr:colOff>129540</xdr:colOff>
          <xdr:row>1</xdr:row>
          <xdr:rowOff>114300</xdr:rowOff>
        </xdr:to>
        <xdr:sp macro="" textlink="">
          <xdr:nvSpPr>
            <xdr:cNvPr id="1131531" name="Button 11" hidden="1">
              <a:extLst>
                <a:ext uri="{63B3BB69-23CF-44E3-9099-C40C66FF867C}">
                  <a14:compatExt spid="_x0000_s1131531"/>
                </a:ext>
                <a:ext uri="{FF2B5EF4-FFF2-40B4-BE49-F238E27FC236}">
                  <a16:creationId xmlns:a16="http://schemas.microsoft.com/office/drawing/2014/main" id="{00000000-0008-0000-0900-00000B441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2</xdr:col>
          <xdr:colOff>45720</xdr:colOff>
          <xdr:row>1</xdr:row>
          <xdr:rowOff>114300</xdr:rowOff>
        </xdr:to>
        <xdr:sp macro="" textlink="">
          <xdr:nvSpPr>
            <xdr:cNvPr id="1131532" name="Button 12" hidden="1">
              <a:extLst>
                <a:ext uri="{63B3BB69-23CF-44E3-9099-C40C66FF867C}">
                  <a14:compatExt spid="_x0000_s1131532"/>
                </a:ext>
                <a:ext uri="{FF2B5EF4-FFF2-40B4-BE49-F238E27FC236}">
                  <a16:creationId xmlns:a16="http://schemas.microsoft.com/office/drawing/2014/main" id="{00000000-0008-0000-0900-00000C4411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7620</xdr:rowOff>
        </xdr:from>
        <xdr:to>
          <xdr:col>4</xdr:col>
          <xdr:colOff>624840</xdr:colOff>
          <xdr:row>1</xdr:row>
          <xdr:rowOff>114300</xdr:rowOff>
        </xdr:to>
        <xdr:sp macro="" textlink="">
          <xdr:nvSpPr>
            <xdr:cNvPr id="1131533" name="Button 13" hidden="1">
              <a:extLst>
                <a:ext uri="{63B3BB69-23CF-44E3-9099-C40C66FF867C}">
                  <a14:compatExt spid="_x0000_s1131533"/>
                </a:ext>
                <a:ext uri="{FF2B5EF4-FFF2-40B4-BE49-F238E27FC236}">
                  <a16:creationId xmlns:a16="http://schemas.microsoft.com/office/drawing/2014/main" id="{00000000-0008-0000-0900-00000D441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167640</xdr:rowOff>
        </xdr:from>
        <xdr:to>
          <xdr:col>4</xdr:col>
          <xdr:colOff>38100</xdr:colOff>
          <xdr:row>2</xdr:row>
          <xdr:rowOff>7620</xdr:rowOff>
        </xdr:to>
        <xdr:sp macro="" textlink="">
          <xdr:nvSpPr>
            <xdr:cNvPr id="1131534" name="Button 14" hidden="1">
              <a:extLst>
                <a:ext uri="{63B3BB69-23CF-44E3-9099-C40C66FF867C}">
                  <a14:compatExt spid="_x0000_s1131534"/>
                </a:ext>
                <a:ext uri="{FF2B5EF4-FFF2-40B4-BE49-F238E27FC236}">
                  <a16:creationId xmlns:a16="http://schemas.microsoft.com/office/drawing/2014/main" id="{00000000-0008-0000-0900-00000E441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312420</xdr:colOff>
          <xdr:row>16</xdr:row>
          <xdr:rowOff>91440</xdr:rowOff>
        </xdr:from>
        <xdr:to>
          <xdr:col>16</xdr:col>
          <xdr:colOff>487680</xdr:colOff>
          <xdr:row>17</xdr:row>
          <xdr:rowOff>175260</xdr:rowOff>
        </xdr:to>
        <xdr:sp macro="" textlink="">
          <xdr:nvSpPr>
            <xdr:cNvPr id="1131535" name="Check Box 15" hidden="1">
              <a:extLst>
                <a:ext uri="{63B3BB69-23CF-44E3-9099-C40C66FF867C}">
                  <a14:compatExt spid="_x0000_s1131535"/>
                </a:ext>
                <a:ext uri="{FF2B5EF4-FFF2-40B4-BE49-F238E27FC236}">
                  <a16:creationId xmlns:a16="http://schemas.microsoft.com/office/drawing/2014/main" id="{00000000-0008-0000-0900-00000F44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11</xdr:col>
      <xdr:colOff>429174</xdr:colOff>
      <xdr:row>83</xdr:row>
      <xdr:rowOff>59269</xdr:rowOff>
    </xdr:from>
    <xdr:to>
      <xdr:col>14</xdr:col>
      <xdr:colOff>363606</xdr:colOff>
      <xdr:row>85</xdr:row>
      <xdr:rowOff>188810</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22707" y="14520336"/>
          <a:ext cx="1148976" cy="502074"/>
        </a:xfrm>
        <a:prstGeom prst="rect">
          <a:avLst/>
        </a:prstGeom>
        <a:noFill/>
        <a:ln>
          <a:noFill/>
        </a:ln>
      </xdr:spPr>
    </xdr:pic>
    <xdr:clientData/>
  </xdr:twoCellAnchor>
  <xdr:oneCellAnchor>
    <xdr:from>
      <xdr:col>15</xdr:col>
      <xdr:colOff>423333</xdr:colOff>
      <xdr:row>75</xdr:row>
      <xdr:rowOff>0</xdr:rowOff>
    </xdr:from>
    <xdr:ext cx="65" cy="172227"/>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5437293" y="1343406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2</xdr:col>
          <xdr:colOff>7620</xdr:colOff>
          <xdr:row>31</xdr:row>
          <xdr:rowOff>30480</xdr:rowOff>
        </xdr:from>
        <xdr:to>
          <xdr:col>2</xdr:col>
          <xdr:colOff>289560</xdr:colOff>
          <xdr:row>31</xdr:row>
          <xdr:rowOff>160020</xdr:rowOff>
        </xdr:to>
        <xdr:sp macro="" textlink="">
          <xdr:nvSpPr>
            <xdr:cNvPr id="678917" name="Check Box 5" hidden="1">
              <a:extLst>
                <a:ext uri="{63B3BB69-23CF-44E3-9099-C40C66FF867C}">
                  <a14:compatExt spid="_x0000_s678917"/>
                </a:ext>
                <a:ext uri="{FF2B5EF4-FFF2-40B4-BE49-F238E27FC236}">
                  <a16:creationId xmlns:a16="http://schemas.microsoft.com/office/drawing/2014/main" id="{00000000-0008-0000-0A00-000005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49</xdr:row>
          <xdr:rowOff>15240</xdr:rowOff>
        </xdr:from>
        <xdr:to>
          <xdr:col>4</xdr:col>
          <xdr:colOff>228600</xdr:colOff>
          <xdr:row>50</xdr:row>
          <xdr:rowOff>137160</xdr:rowOff>
        </xdr:to>
        <xdr:sp macro="" textlink="">
          <xdr:nvSpPr>
            <xdr:cNvPr id="678918" name="Option Button 6" hidden="1">
              <a:extLst>
                <a:ext uri="{63B3BB69-23CF-44E3-9099-C40C66FF867C}">
                  <a14:compatExt spid="_x0000_s678918"/>
                </a:ext>
                <a:ext uri="{FF2B5EF4-FFF2-40B4-BE49-F238E27FC236}">
                  <a16:creationId xmlns:a16="http://schemas.microsoft.com/office/drawing/2014/main" id="{00000000-0008-0000-0A00-000006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91440</xdr:colOff>
          <xdr:row>28</xdr:row>
          <xdr:rowOff>0</xdr:rowOff>
        </xdr:from>
        <xdr:to>
          <xdr:col>15</xdr:col>
          <xdr:colOff>312420</xdr:colOff>
          <xdr:row>29</xdr:row>
          <xdr:rowOff>0</xdr:rowOff>
        </xdr:to>
        <xdr:sp macro="" textlink="">
          <xdr:nvSpPr>
            <xdr:cNvPr id="678919" name="Drop Down 7" hidden="1">
              <a:extLst>
                <a:ext uri="{63B3BB69-23CF-44E3-9099-C40C66FF867C}">
                  <a14:compatExt spid="_x0000_s678919"/>
                </a:ext>
                <a:ext uri="{FF2B5EF4-FFF2-40B4-BE49-F238E27FC236}">
                  <a16:creationId xmlns:a16="http://schemas.microsoft.com/office/drawing/2014/main" id="{00000000-0008-0000-0A00-0000075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137160</xdr:colOff>
          <xdr:row>22</xdr:row>
          <xdr:rowOff>45720</xdr:rowOff>
        </xdr:from>
        <xdr:to>
          <xdr:col>15</xdr:col>
          <xdr:colOff>22860</xdr:colOff>
          <xdr:row>23</xdr:row>
          <xdr:rowOff>7620</xdr:rowOff>
        </xdr:to>
        <xdr:sp macro="" textlink="">
          <xdr:nvSpPr>
            <xdr:cNvPr id="678920" name="Option Button 8" hidden="1">
              <a:extLst>
                <a:ext uri="{63B3BB69-23CF-44E3-9099-C40C66FF867C}">
                  <a14:compatExt spid="_x0000_s678920"/>
                </a:ext>
                <a:ext uri="{FF2B5EF4-FFF2-40B4-BE49-F238E27FC236}">
                  <a16:creationId xmlns:a16="http://schemas.microsoft.com/office/drawing/2014/main" id="{00000000-0008-0000-0A00-000008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205740</xdr:colOff>
          <xdr:row>22</xdr:row>
          <xdr:rowOff>38100</xdr:rowOff>
        </xdr:from>
        <xdr:to>
          <xdr:col>16</xdr:col>
          <xdr:colOff>182880</xdr:colOff>
          <xdr:row>23</xdr:row>
          <xdr:rowOff>7620</xdr:rowOff>
        </xdr:to>
        <xdr:sp macro="" textlink="">
          <xdr:nvSpPr>
            <xdr:cNvPr id="678921" name="Option Button 9" hidden="1">
              <a:extLst>
                <a:ext uri="{63B3BB69-23CF-44E3-9099-C40C66FF867C}">
                  <a14:compatExt spid="_x0000_s678921"/>
                </a:ext>
                <a:ext uri="{FF2B5EF4-FFF2-40B4-BE49-F238E27FC236}">
                  <a16:creationId xmlns:a16="http://schemas.microsoft.com/office/drawing/2014/main" id="{00000000-0008-0000-0A00-000009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22</xdr:row>
          <xdr:rowOff>22860</xdr:rowOff>
        </xdr:from>
        <xdr:to>
          <xdr:col>16</xdr:col>
          <xdr:colOff>449580</xdr:colOff>
          <xdr:row>23</xdr:row>
          <xdr:rowOff>106680</xdr:rowOff>
        </xdr:to>
        <xdr:sp macro="" textlink="">
          <xdr:nvSpPr>
            <xdr:cNvPr id="678922" name="Group Box 10" descr="46" hidden="1">
              <a:extLst>
                <a:ext uri="{63B3BB69-23CF-44E3-9099-C40C66FF867C}">
                  <a14:compatExt spid="_x0000_s678922"/>
                </a:ext>
                <a:ext uri="{FF2B5EF4-FFF2-40B4-BE49-F238E27FC236}">
                  <a16:creationId xmlns:a16="http://schemas.microsoft.com/office/drawing/2014/main" id="{00000000-0008-0000-0A00-00000A5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46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33</xdr:row>
          <xdr:rowOff>30480</xdr:rowOff>
        </xdr:from>
        <xdr:to>
          <xdr:col>2</xdr:col>
          <xdr:colOff>289560</xdr:colOff>
          <xdr:row>33</xdr:row>
          <xdr:rowOff>160020</xdr:rowOff>
        </xdr:to>
        <xdr:sp macro="" textlink="">
          <xdr:nvSpPr>
            <xdr:cNvPr id="678923" name="Check Box 11" hidden="1">
              <a:extLst>
                <a:ext uri="{63B3BB69-23CF-44E3-9099-C40C66FF867C}">
                  <a14:compatExt spid="_x0000_s678923"/>
                </a:ext>
                <a:ext uri="{FF2B5EF4-FFF2-40B4-BE49-F238E27FC236}">
                  <a16:creationId xmlns:a16="http://schemas.microsoft.com/office/drawing/2014/main" id="{00000000-0008-0000-0A00-00000B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32</xdr:row>
          <xdr:rowOff>30480</xdr:rowOff>
        </xdr:from>
        <xdr:to>
          <xdr:col>2</xdr:col>
          <xdr:colOff>289560</xdr:colOff>
          <xdr:row>32</xdr:row>
          <xdr:rowOff>160020</xdr:rowOff>
        </xdr:to>
        <xdr:sp macro="" textlink="">
          <xdr:nvSpPr>
            <xdr:cNvPr id="678924" name="Check Box 12" hidden="1">
              <a:extLst>
                <a:ext uri="{63B3BB69-23CF-44E3-9099-C40C66FF867C}">
                  <a14:compatExt spid="_x0000_s678924"/>
                </a:ext>
                <a:ext uri="{FF2B5EF4-FFF2-40B4-BE49-F238E27FC236}">
                  <a16:creationId xmlns:a16="http://schemas.microsoft.com/office/drawing/2014/main" id="{00000000-0008-0000-0A00-00000C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35</xdr:row>
          <xdr:rowOff>30480</xdr:rowOff>
        </xdr:from>
        <xdr:to>
          <xdr:col>2</xdr:col>
          <xdr:colOff>289560</xdr:colOff>
          <xdr:row>35</xdr:row>
          <xdr:rowOff>160020</xdr:rowOff>
        </xdr:to>
        <xdr:sp macro="" textlink="">
          <xdr:nvSpPr>
            <xdr:cNvPr id="678925" name="Check Box 13" hidden="1">
              <a:extLst>
                <a:ext uri="{63B3BB69-23CF-44E3-9099-C40C66FF867C}">
                  <a14:compatExt spid="_x0000_s678925"/>
                </a:ext>
                <a:ext uri="{FF2B5EF4-FFF2-40B4-BE49-F238E27FC236}">
                  <a16:creationId xmlns:a16="http://schemas.microsoft.com/office/drawing/2014/main" id="{00000000-0008-0000-0A00-00000D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36</xdr:row>
          <xdr:rowOff>30480</xdr:rowOff>
        </xdr:from>
        <xdr:to>
          <xdr:col>2</xdr:col>
          <xdr:colOff>289560</xdr:colOff>
          <xdr:row>36</xdr:row>
          <xdr:rowOff>160020</xdr:rowOff>
        </xdr:to>
        <xdr:sp macro="" textlink="">
          <xdr:nvSpPr>
            <xdr:cNvPr id="678926" name="Check Box 14" hidden="1">
              <a:extLst>
                <a:ext uri="{63B3BB69-23CF-44E3-9099-C40C66FF867C}">
                  <a14:compatExt spid="_x0000_s678926"/>
                </a:ext>
                <a:ext uri="{FF2B5EF4-FFF2-40B4-BE49-F238E27FC236}">
                  <a16:creationId xmlns:a16="http://schemas.microsoft.com/office/drawing/2014/main" id="{00000000-0008-0000-0A00-00000E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37</xdr:row>
          <xdr:rowOff>30480</xdr:rowOff>
        </xdr:from>
        <xdr:to>
          <xdr:col>2</xdr:col>
          <xdr:colOff>289560</xdr:colOff>
          <xdr:row>37</xdr:row>
          <xdr:rowOff>160020</xdr:rowOff>
        </xdr:to>
        <xdr:sp macro="" textlink="">
          <xdr:nvSpPr>
            <xdr:cNvPr id="678927" name="Check Box 15" hidden="1">
              <a:extLst>
                <a:ext uri="{63B3BB69-23CF-44E3-9099-C40C66FF867C}">
                  <a14:compatExt spid="_x0000_s678927"/>
                </a:ext>
                <a:ext uri="{FF2B5EF4-FFF2-40B4-BE49-F238E27FC236}">
                  <a16:creationId xmlns:a16="http://schemas.microsoft.com/office/drawing/2014/main" id="{00000000-0008-0000-0A00-00000F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38</xdr:row>
          <xdr:rowOff>30480</xdr:rowOff>
        </xdr:from>
        <xdr:to>
          <xdr:col>2</xdr:col>
          <xdr:colOff>289560</xdr:colOff>
          <xdr:row>38</xdr:row>
          <xdr:rowOff>160020</xdr:rowOff>
        </xdr:to>
        <xdr:sp macro="" textlink="">
          <xdr:nvSpPr>
            <xdr:cNvPr id="678928" name="Check Box 16" hidden="1">
              <a:extLst>
                <a:ext uri="{63B3BB69-23CF-44E3-9099-C40C66FF867C}">
                  <a14:compatExt spid="_x0000_s678928"/>
                </a:ext>
                <a:ext uri="{FF2B5EF4-FFF2-40B4-BE49-F238E27FC236}">
                  <a16:creationId xmlns:a16="http://schemas.microsoft.com/office/drawing/2014/main" id="{00000000-0008-0000-0A00-000010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39</xdr:row>
          <xdr:rowOff>30480</xdr:rowOff>
        </xdr:from>
        <xdr:to>
          <xdr:col>2</xdr:col>
          <xdr:colOff>289560</xdr:colOff>
          <xdr:row>39</xdr:row>
          <xdr:rowOff>160020</xdr:rowOff>
        </xdr:to>
        <xdr:sp macro="" textlink="">
          <xdr:nvSpPr>
            <xdr:cNvPr id="678929" name="Check Box 17" hidden="1">
              <a:extLst>
                <a:ext uri="{63B3BB69-23CF-44E3-9099-C40C66FF867C}">
                  <a14:compatExt spid="_x0000_s678929"/>
                </a:ext>
                <a:ext uri="{FF2B5EF4-FFF2-40B4-BE49-F238E27FC236}">
                  <a16:creationId xmlns:a16="http://schemas.microsoft.com/office/drawing/2014/main" id="{00000000-0008-0000-0A00-000011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40</xdr:row>
          <xdr:rowOff>30480</xdr:rowOff>
        </xdr:from>
        <xdr:to>
          <xdr:col>2</xdr:col>
          <xdr:colOff>289560</xdr:colOff>
          <xdr:row>40</xdr:row>
          <xdr:rowOff>160020</xdr:rowOff>
        </xdr:to>
        <xdr:sp macro="" textlink="">
          <xdr:nvSpPr>
            <xdr:cNvPr id="678930" name="Check Box 18" hidden="1">
              <a:extLst>
                <a:ext uri="{63B3BB69-23CF-44E3-9099-C40C66FF867C}">
                  <a14:compatExt spid="_x0000_s678930"/>
                </a:ext>
                <a:ext uri="{FF2B5EF4-FFF2-40B4-BE49-F238E27FC236}">
                  <a16:creationId xmlns:a16="http://schemas.microsoft.com/office/drawing/2014/main" id="{00000000-0008-0000-0A00-000012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41</xdr:row>
          <xdr:rowOff>22860</xdr:rowOff>
        </xdr:from>
        <xdr:to>
          <xdr:col>2</xdr:col>
          <xdr:colOff>236220</xdr:colOff>
          <xdr:row>41</xdr:row>
          <xdr:rowOff>160020</xdr:rowOff>
        </xdr:to>
        <xdr:sp macro="" textlink="">
          <xdr:nvSpPr>
            <xdr:cNvPr id="678931" name="Check Box 19" hidden="1">
              <a:extLst>
                <a:ext uri="{63B3BB69-23CF-44E3-9099-C40C66FF867C}">
                  <a14:compatExt spid="_x0000_s678931"/>
                </a:ext>
                <a:ext uri="{FF2B5EF4-FFF2-40B4-BE49-F238E27FC236}">
                  <a16:creationId xmlns:a16="http://schemas.microsoft.com/office/drawing/2014/main" id="{00000000-0008-0000-0A00-000013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198120</xdr:colOff>
          <xdr:row>44</xdr:row>
          <xdr:rowOff>7620</xdr:rowOff>
        </xdr:from>
        <xdr:to>
          <xdr:col>15</xdr:col>
          <xdr:colOff>243840</xdr:colOff>
          <xdr:row>44</xdr:row>
          <xdr:rowOff>236220</xdr:rowOff>
        </xdr:to>
        <xdr:sp macro="" textlink="">
          <xdr:nvSpPr>
            <xdr:cNvPr id="678932" name="Check Box 20" hidden="1">
              <a:extLst>
                <a:ext uri="{63B3BB69-23CF-44E3-9099-C40C66FF867C}">
                  <a14:compatExt spid="_x0000_s678932"/>
                </a:ext>
                <a:ext uri="{FF2B5EF4-FFF2-40B4-BE49-F238E27FC236}">
                  <a16:creationId xmlns:a16="http://schemas.microsoft.com/office/drawing/2014/main" id="{00000000-0008-0000-0A00-000014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xdr:colOff>
          <xdr:row>30</xdr:row>
          <xdr:rowOff>60960</xdr:rowOff>
        </xdr:from>
        <xdr:to>
          <xdr:col>3</xdr:col>
          <xdr:colOff>22860</xdr:colOff>
          <xdr:row>41</xdr:row>
          <xdr:rowOff>129540</xdr:rowOff>
        </xdr:to>
        <xdr:sp macro="" textlink="">
          <xdr:nvSpPr>
            <xdr:cNvPr id="678933" name="Group Box 21" hidden="1">
              <a:extLst>
                <a:ext uri="{63B3BB69-23CF-44E3-9099-C40C66FF867C}">
                  <a14:compatExt spid="_x0000_s678933"/>
                </a:ext>
                <a:ext uri="{FF2B5EF4-FFF2-40B4-BE49-F238E27FC236}">
                  <a16:creationId xmlns:a16="http://schemas.microsoft.com/office/drawing/2014/main" id="{00000000-0008-0000-0A00-0000155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67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106680</xdr:colOff>
          <xdr:row>40</xdr:row>
          <xdr:rowOff>182880</xdr:rowOff>
        </xdr:from>
        <xdr:to>
          <xdr:col>19</xdr:col>
          <xdr:colOff>251460</xdr:colOff>
          <xdr:row>42</xdr:row>
          <xdr:rowOff>45720</xdr:rowOff>
        </xdr:to>
        <xdr:sp macro="" textlink="">
          <xdr:nvSpPr>
            <xdr:cNvPr id="678934" name="Check Box 22" hidden="1">
              <a:extLst>
                <a:ext uri="{63B3BB69-23CF-44E3-9099-C40C66FF867C}">
                  <a14:compatExt spid="_x0000_s678934"/>
                </a:ext>
                <a:ext uri="{FF2B5EF4-FFF2-40B4-BE49-F238E27FC236}">
                  <a16:creationId xmlns:a16="http://schemas.microsoft.com/office/drawing/2014/main" id="{00000000-0008-0000-0A00-000016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xdr:colOff>
          <xdr:row>43</xdr:row>
          <xdr:rowOff>137160</xdr:rowOff>
        </xdr:from>
        <xdr:to>
          <xdr:col>15</xdr:col>
          <xdr:colOff>388620</xdr:colOff>
          <xdr:row>46</xdr:row>
          <xdr:rowOff>30480</xdr:rowOff>
        </xdr:to>
        <xdr:sp macro="" textlink="">
          <xdr:nvSpPr>
            <xdr:cNvPr id="678935" name="Group Box 23" hidden="1">
              <a:extLst>
                <a:ext uri="{63B3BB69-23CF-44E3-9099-C40C66FF867C}">
                  <a14:compatExt spid="_x0000_s678935"/>
                </a:ext>
                <a:ext uri="{FF2B5EF4-FFF2-40B4-BE49-F238E27FC236}">
                  <a16:creationId xmlns:a16="http://schemas.microsoft.com/office/drawing/2014/main" id="{00000000-0008-0000-0A00-0000175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70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42</xdr:row>
          <xdr:rowOff>0</xdr:rowOff>
        </xdr:from>
        <xdr:to>
          <xdr:col>20</xdr:col>
          <xdr:colOff>53340</xdr:colOff>
          <xdr:row>44</xdr:row>
          <xdr:rowOff>121920</xdr:rowOff>
        </xdr:to>
        <xdr:sp macro="" textlink="">
          <xdr:nvSpPr>
            <xdr:cNvPr id="678936" name="Group Box 24" hidden="1">
              <a:extLst>
                <a:ext uri="{63B3BB69-23CF-44E3-9099-C40C66FF867C}">
                  <a14:compatExt spid="_x0000_s678936"/>
                </a:ext>
                <a:ext uri="{FF2B5EF4-FFF2-40B4-BE49-F238E27FC236}">
                  <a16:creationId xmlns:a16="http://schemas.microsoft.com/office/drawing/2014/main" id="{00000000-0008-0000-0A00-0000185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71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51</xdr:row>
          <xdr:rowOff>45720</xdr:rowOff>
        </xdr:from>
        <xdr:to>
          <xdr:col>4</xdr:col>
          <xdr:colOff>228600</xdr:colOff>
          <xdr:row>52</xdr:row>
          <xdr:rowOff>137160</xdr:rowOff>
        </xdr:to>
        <xdr:sp macro="" textlink="">
          <xdr:nvSpPr>
            <xdr:cNvPr id="678937" name="Option Button 25" hidden="1">
              <a:extLst>
                <a:ext uri="{63B3BB69-23CF-44E3-9099-C40C66FF867C}">
                  <a14:compatExt spid="_x0000_s678937"/>
                </a:ext>
                <a:ext uri="{FF2B5EF4-FFF2-40B4-BE49-F238E27FC236}">
                  <a16:creationId xmlns:a16="http://schemas.microsoft.com/office/drawing/2014/main" id="{00000000-0008-0000-0A00-000019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182880</xdr:colOff>
          <xdr:row>48</xdr:row>
          <xdr:rowOff>160020</xdr:rowOff>
        </xdr:from>
        <xdr:to>
          <xdr:col>5</xdr:col>
          <xdr:colOff>0</xdr:colOff>
          <xdr:row>52</xdr:row>
          <xdr:rowOff>137160</xdr:rowOff>
        </xdr:to>
        <xdr:sp macro="" textlink="">
          <xdr:nvSpPr>
            <xdr:cNvPr id="678938" name="Group Box 26" hidden="1">
              <a:extLst>
                <a:ext uri="{63B3BB69-23CF-44E3-9099-C40C66FF867C}">
                  <a14:compatExt spid="_x0000_s678938"/>
                </a:ext>
                <a:ext uri="{FF2B5EF4-FFF2-40B4-BE49-F238E27FC236}">
                  <a16:creationId xmlns:a16="http://schemas.microsoft.com/office/drawing/2014/main" id="{00000000-0008-0000-0A00-00001A5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73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xdr:row>
          <xdr:rowOff>30480</xdr:rowOff>
        </xdr:from>
        <xdr:to>
          <xdr:col>2</xdr:col>
          <xdr:colOff>289560</xdr:colOff>
          <xdr:row>34</xdr:row>
          <xdr:rowOff>160020</xdr:rowOff>
        </xdr:to>
        <xdr:sp macro="" textlink="">
          <xdr:nvSpPr>
            <xdr:cNvPr id="678939" name="Check Box 27" hidden="1">
              <a:extLst>
                <a:ext uri="{63B3BB69-23CF-44E3-9099-C40C66FF867C}">
                  <a14:compatExt spid="_x0000_s678939"/>
                </a:ext>
                <a:ext uri="{FF2B5EF4-FFF2-40B4-BE49-F238E27FC236}">
                  <a16:creationId xmlns:a16="http://schemas.microsoft.com/office/drawing/2014/main" id="{00000000-0008-0000-0A00-00001B5C0A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60960</xdr:colOff>
          <xdr:row>72</xdr:row>
          <xdr:rowOff>114300</xdr:rowOff>
        </xdr:from>
        <xdr:to>
          <xdr:col>24</xdr:col>
          <xdr:colOff>83820</xdr:colOff>
          <xdr:row>73</xdr:row>
          <xdr:rowOff>175260</xdr:rowOff>
        </xdr:to>
        <xdr:sp macro="" textlink="">
          <xdr:nvSpPr>
            <xdr:cNvPr id="678940" name="Check Box 28" hidden="1">
              <a:extLst>
                <a:ext uri="{63B3BB69-23CF-44E3-9099-C40C66FF867C}">
                  <a14:compatExt spid="_x0000_s678940"/>
                </a:ext>
                <a:ext uri="{FF2B5EF4-FFF2-40B4-BE49-F238E27FC236}">
                  <a16:creationId xmlns:a16="http://schemas.microsoft.com/office/drawing/2014/main" id="{00000000-0008-0000-0A00-00001C5C0A00}"/>
                </a:ext>
              </a:extLst>
            </xdr:cNvPr>
            <xdr:cNvSpPr/>
          </xdr:nvSpPr>
          <xdr:spPr bwMode="auto">
            <a:xfrm>
              <a:off x="0" y="0"/>
              <a:ext cx="0" cy="0"/>
            </a:xfrm>
            <a:prstGeom prst="rect">
              <a:avLst/>
            </a:prstGeom>
            <a:noFill/>
            <a:ln w="9525">
              <a:solidFill>
                <a:srgbClr val="FFFFFF" mc:Ignorable="a14" a14:legacySpreadsheetColorIndex="9"/>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Omit (explain/justify)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121920</xdr:colOff>
          <xdr:row>0</xdr:row>
          <xdr:rowOff>7620</xdr:rowOff>
        </xdr:from>
        <xdr:to>
          <xdr:col>2</xdr:col>
          <xdr:colOff>365760</xdr:colOff>
          <xdr:row>1</xdr:row>
          <xdr:rowOff>106680</xdr:rowOff>
        </xdr:to>
        <xdr:sp macro="" textlink="">
          <xdr:nvSpPr>
            <xdr:cNvPr id="678941" name="Button 29" hidden="1">
              <a:extLst>
                <a:ext uri="{63B3BB69-23CF-44E3-9099-C40C66FF867C}">
                  <a14:compatExt spid="_x0000_s678941"/>
                </a:ext>
                <a:ext uri="{FF2B5EF4-FFF2-40B4-BE49-F238E27FC236}">
                  <a16:creationId xmlns:a16="http://schemas.microsoft.com/office/drawing/2014/main" id="{00000000-0008-0000-0A00-00001D5C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1</xdr:col>
          <xdr:colOff>68580</xdr:colOff>
          <xdr:row>1</xdr:row>
          <xdr:rowOff>106680</xdr:rowOff>
        </xdr:to>
        <xdr:sp macro="" textlink="">
          <xdr:nvSpPr>
            <xdr:cNvPr id="678942" name="Button 30" hidden="1">
              <a:extLst>
                <a:ext uri="{63B3BB69-23CF-44E3-9099-C40C66FF867C}">
                  <a14:compatExt spid="_x0000_s678942"/>
                </a:ext>
                <a:ext uri="{FF2B5EF4-FFF2-40B4-BE49-F238E27FC236}">
                  <a16:creationId xmlns:a16="http://schemas.microsoft.com/office/drawing/2014/main" id="{00000000-0008-0000-0A00-00001E5C0A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0</xdr:row>
          <xdr:rowOff>7620</xdr:rowOff>
        </xdr:from>
        <xdr:to>
          <xdr:col>4</xdr:col>
          <xdr:colOff>137160</xdr:colOff>
          <xdr:row>1</xdr:row>
          <xdr:rowOff>106680</xdr:rowOff>
        </xdr:to>
        <xdr:sp macro="" textlink="">
          <xdr:nvSpPr>
            <xdr:cNvPr id="678943" name="Button 31" hidden="1">
              <a:extLst>
                <a:ext uri="{63B3BB69-23CF-44E3-9099-C40C66FF867C}">
                  <a14:compatExt spid="_x0000_s678943"/>
                </a:ext>
                <a:ext uri="{FF2B5EF4-FFF2-40B4-BE49-F238E27FC236}">
                  <a16:creationId xmlns:a16="http://schemas.microsoft.com/office/drawing/2014/main" id="{00000000-0008-0000-0A00-00001F5C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160020</xdr:rowOff>
        </xdr:from>
        <xdr:to>
          <xdr:col>2</xdr:col>
          <xdr:colOff>274320</xdr:colOff>
          <xdr:row>1</xdr:row>
          <xdr:rowOff>457200</xdr:rowOff>
        </xdr:to>
        <xdr:sp macro="" textlink="">
          <xdr:nvSpPr>
            <xdr:cNvPr id="678944" name="Button 32" hidden="1">
              <a:extLst>
                <a:ext uri="{63B3BB69-23CF-44E3-9099-C40C66FF867C}">
                  <a14:compatExt spid="_x0000_s678944"/>
                </a:ext>
                <a:ext uri="{FF2B5EF4-FFF2-40B4-BE49-F238E27FC236}">
                  <a16:creationId xmlns:a16="http://schemas.microsoft.com/office/drawing/2014/main" id="{00000000-0008-0000-0A00-0000205C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9</xdr:col>
      <xdr:colOff>198140</xdr:colOff>
      <xdr:row>68</xdr:row>
      <xdr:rowOff>132077</xdr:rowOff>
    </xdr:from>
    <xdr:to>
      <xdr:col>12</xdr:col>
      <xdr:colOff>528000</xdr:colOff>
      <xdr:row>71</xdr:row>
      <xdr:rowOff>91014</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12273" y="13103010"/>
          <a:ext cx="1184994" cy="517737"/>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12</xdr:col>
          <xdr:colOff>99060</xdr:colOff>
          <xdr:row>20</xdr:row>
          <xdr:rowOff>45720</xdr:rowOff>
        </xdr:from>
        <xdr:to>
          <xdr:col>14</xdr:col>
          <xdr:colOff>38100</xdr:colOff>
          <xdr:row>23</xdr:row>
          <xdr:rowOff>53340</xdr:rowOff>
        </xdr:to>
        <xdr:sp macro="" textlink="">
          <xdr:nvSpPr>
            <xdr:cNvPr id="728065" name="Check Box 1" hidden="1">
              <a:extLst>
                <a:ext uri="{63B3BB69-23CF-44E3-9099-C40C66FF867C}">
                  <a14:compatExt spid="_x0000_s728065"/>
                </a:ext>
                <a:ext uri="{FF2B5EF4-FFF2-40B4-BE49-F238E27FC236}">
                  <a16:creationId xmlns:a16="http://schemas.microsoft.com/office/drawing/2014/main" id="{00000000-0008-0000-0B00-0000011C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121920</xdr:colOff>
          <xdr:row>20</xdr:row>
          <xdr:rowOff>76200</xdr:rowOff>
        </xdr:from>
        <xdr:to>
          <xdr:col>18</xdr:col>
          <xdr:colOff>68580</xdr:colOff>
          <xdr:row>23</xdr:row>
          <xdr:rowOff>30480</xdr:rowOff>
        </xdr:to>
        <xdr:sp macro="" textlink="">
          <xdr:nvSpPr>
            <xdr:cNvPr id="728066" name="Check Box 2" hidden="1">
              <a:extLst>
                <a:ext uri="{63B3BB69-23CF-44E3-9099-C40C66FF867C}">
                  <a14:compatExt spid="_x0000_s728066"/>
                </a:ext>
                <a:ext uri="{FF2B5EF4-FFF2-40B4-BE49-F238E27FC236}">
                  <a16:creationId xmlns:a16="http://schemas.microsoft.com/office/drawing/2014/main" id="{00000000-0008-0000-0B00-0000021C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114300</xdr:colOff>
          <xdr:row>20</xdr:row>
          <xdr:rowOff>38100</xdr:rowOff>
        </xdr:from>
        <xdr:to>
          <xdr:col>22</xdr:col>
          <xdr:colOff>518160</xdr:colOff>
          <xdr:row>23</xdr:row>
          <xdr:rowOff>53340</xdr:rowOff>
        </xdr:to>
        <xdr:sp macro="" textlink="">
          <xdr:nvSpPr>
            <xdr:cNvPr id="728067" name="Check Box 3" hidden="1">
              <a:extLst>
                <a:ext uri="{63B3BB69-23CF-44E3-9099-C40C66FF867C}">
                  <a14:compatExt spid="_x0000_s728067"/>
                </a:ext>
                <a:ext uri="{FF2B5EF4-FFF2-40B4-BE49-F238E27FC236}">
                  <a16:creationId xmlns:a16="http://schemas.microsoft.com/office/drawing/2014/main" id="{00000000-0008-0000-0B00-0000031C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49</xdr:row>
          <xdr:rowOff>91440</xdr:rowOff>
        </xdr:from>
        <xdr:to>
          <xdr:col>21</xdr:col>
          <xdr:colOff>45720</xdr:colOff>
          <xdr:row>50</xdr:row>
          <xdr:rowOff>106680</xdr:rowOff>
        </xdr:to>
        <xdr:sp macro="" textlink="">
          <xdr:nvSpPr>
            <xdr:cNvPr id="728072" name="Check Box 8" hidden="1">
              <a:extLst>
                <a:ext uri="{63B3BB69-23CF-44E3-9099-C40C66FF867C}">
                  <a14:compatExt spid="_x0000_s728072"/>
                </a:ext>
                <a:ext uri="{FF2B5EF4-FFF2-40B4-BE49-F238E27FC236}">
                  <a16:creationId xmlns:a16="http://schemas.microsoft.com/office/drawing/2014/main" id="{00000000-0008-0000-0B00-0000081C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Omit (explain/justify)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480060</xdr:colOff>
          <xdr:row>41</xdr:row>
          <xdr:rowOff>274320</xdr:rowOff>
        </xdr:from>
        <xdr:to>
          <xdr:col>18</xdr:col>
          <xdr:colOff>541020</xdr:colOff>
          <xdr:row>42</xdr:row>
          <xdr:rowOff>243840</xdr:rowOff>
        </xdr:to>
        <xdr:sp macro="" textlink="">
          <xdr:nvSpPr>
            <xdr:cNvPr id="728074" name="Option Button 10" hidden="1">
              <a:extLst>
                <a:ext uri="{63B3BB69-23CF-44E3-9099-C40C66FF867C}">
                  <a14:compatExt spid="_x0000_s728074"/>
                </a:ext>
                <a:ext uri="{FF2B5EF4-FFF2-40B4-BE49-F238E27FC236}">
                  <a16:creationId xmlns:a16="http://schemas.microsoft.com/office/drawing/2014/main" id="{00000000-0008-0000-0B00-00000A1C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68580</xdr:colOff>
          <xdr:row>41</xdr:row>
          <xdr:rowOff>274320</xdr:rowOff>
        </xdr:from>
        <xdr:to>
          <xdr:col>22</xdr:col>
          <xdr:colOff>7620</xdr:colOff>
          <xdr:row>42</xdr:row>
          <xdr:rowOff>251460</xdr:rowOff>
        </xdr:to>
        <xdr:sp macro="" textlink="">
          <xdr:nvSpPr>
            <xdr:cNvPr id="728075" name="Option Button 11" hidden="1">
              <a:extLst>
                <a:ext uri="{63B3BB69-23CF-44E3-9099-C40C66FF867C}">
                  <a14:compatExt spid="_x0000_s728075"/>
                </a:ext>
                <a:ext uri="{FF2B5EF4-FFF2-40B4-BE49-F238E27FC236}">
                  <a16:creationId xmlns:a16="http://schemas.microsoft.com/office/drawing/2014/main" id="{00000000-0008-0000-0B00-00000B1C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480060</xdr:colOff>
          <xdr:row>42</xdr:row>
          <xdr:rowOff>434340</xdr:rowOff>
        </xdr:from>
        <xdr:to>
          <xdr:col>19</xdr:col>
          <xdr:colOff>0</xdr:colOff>
          <xdr:row>43</xdr:row>
          <xdr:rowOff>213360</xdr:rowOff>
        </xdr:to>
        <xdr:sp macro="" textlink="">
          <xdr:nvSpPr>
            <xdr:cNvPr id="728076" name="Option Button 12" hidden="1">
              <a:extLst>
                <a:ext uri="{63B3BB69-23CF-44E3-9099-C40C66FF867C}">
                  <a14:compatExt spid="_x0000_s728076"/>
                </a:ext>
                <a:ext uri="{FF2B5EF4-FFF2-40B4-BE49-F238E27FC236}">
                  <a16:creationId xmlns:a16="http://schemas.microsoft.com/office/drawing/2014/main" id="{00000000-0008-0000-0B00-00000C1C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68580</xdr:colOff>
          <xdr:row>42</xdr:row>
          <xdr:rowOff>426720</xdr:rowOff>
        </xdr:from>
        <xdr:to>
          <xdr:col>22</xdr:col>
          <xdr:colOff>15240</xdr:colOff>
          <xdr:row>43</xdr:row>
          <xdr:rowOff>213360</xdr:rowOff>
        </xdr:to>
        <xdr:sp macro="" textlink="">
          <xdr:nvSpPr>
            <xdr:cNvPr id="728077" name="Option Button 13" hidden="1">
              <a:extLst>
                <a:ext uri="{63B3BB69-23CF-44E3-9099-C40C66FF867C}">
                  <a14:compatExt spid="_x0000_s728077"/>
                </a:ext>
                <a:ext uri="{FF2B5EF4-FFF2-40B4-BE49-F238E27FC236}">
                  <a16:creationId xmlns:a16="http://schemas.microsoft.com/office/drawing/2014/main" id="{00000000-0008-0000-0B00-00000D1C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297180</xdr:colOff>
          <xdr:row>41</xdr:row>
          <xdr:rowOff>144780</xdr:rowOff>
        </xdr:from>
        <xdr:to>
          <xdr:col>22</xdr:col>
          <xdr:colOff>175260</xdr:colOff>
          <xdr:row>42</xdr:row>
          <xdr:rowOff>281940</xdr:rowOff>
        </xdr:to>
        <xdr:sp macro="" textlink="">
          <xdr:nvSpPr>
            <xdr:cNvPr id="728080" name="Group Box 16" hidden="1">
              <a:extLst>
                <a:ext uri="{63B3BB69-23CF-44E3-9099-C40C66FF867C}">
                  <a14:compatExt spid="_x0000_s728080"/>
                </a:ext>
                <a:ext uri="{FF2B5EF4-FFF2-40B4-BE49-F238E27FC236}">
                  <a16:creationId xmlns:a16="http://schemas.microsoft.com/office/drawing/2014/main" id="{00000000-0008-0000-0B00-0000101C0B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297180</xdr:colOff>
          <xdr:row>42</xdr:row>
          <xdr:rowOff>335280</xdr:rowOff>
        </xdr:from>
        <xdr:to>
          <xdr:col>22</xdr:col>
          <xdr:colOff>175260</xdr:colOff>
          <xdr:row>43</xdr:row>
          <xdr:rowOff>251460</xdr:rowOff>
        </xdr:to>
        <xdr:sp macro="" textlink="">
          <xdr:nvSpPr>
            <xdr:cNvPr id="728081" name="Group Box 17" hidden="1">
              <a:extLst>
                <a:ext uri="{63B3BB69-23CF-44E3-9099-C40C66FF867C}">
                  <a14:compatExt spid="_x0000_s728081"/>
                </a:ext>
                <a:ext uri="{FF2B5EF4-FFF2-40B4-BE49-F238E27FC236}">
                  <a16:creationId xmlns:a16="http://schemas.microsoft.com/office/drawing/2014/main" id="{00000000-0008-0000-0B00-0000111C0B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17</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312420</xdr:colOff>
          <xdr:row>0</xdr:row>
          <xdr:rowOff>7620</xdr:rowOff>
        </xdr:from>
        <xdr:to>
          <xdr:col>4</xdr:col>
          <xdr:colOff>45720</xdr:colOff>
          <xdr:row>1</xdr:row>
          <xdr:rowOff>114300</xdr:rowOff>
        </xdr:to>
        <xdr:sp macro="" textlink="">
          <xdr:nvSpPr>
            <xdr:cNvPr id="728082" name="Button 18" hidden="1">
              <a:extLst>
                <a:ext uri="{63B3BB69-23CF-44E3-9099-C40C66FF867C}">
                  <a14:compatExt spid="_x0000_s728082"/>
                </a:ext>
                <a:ext uri="{FF2B5EF4-FFF2-40B4-BE49-F238E27FC236}">
                  <a16:creationId xmlns:a16="http://schemas.microsoft.com/office/drawing/2014/main" id="{00000000-0008-0000-0B00-0000121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1</xdr:col>
          <xdr:colOff>259080</xdr:colOff>
          <xdr:row>1</xdr:row>
          <xdr:rowOff>114300</xdr:rowOff>
        </xdr:to>
        <xdr:sp macro="" textlink="">
          <xdr:nvSpPr>
            <xdr:cNvPr id="728083" name="Button 19" hidden="1">
              <a:extLst>
                <a:ext uri="{63B3BB69-23CF-44E3-9099-C40C66FF867C}">
                  <a14:compatExt spid="_x0000_s728083"/>
                </a:ext>
                <a:ext uri="{FF2B5EF4-FFF2-40B4-BE49-F238E27FC236}">
                  <a16:creationId xmlns:a16="http://schemas.microsoft.com/office/drawing/2014/main" id="{00000000-0008-0000-0B00-0000131C0B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106680</xdr:colOff>
          <xdr:row>0</xdr:row>
          <xdr:rowOff>7620</xdr:rowOff>
        </xdr:from>
        <xdr:to>
          <xdr:col>4</xdr:col>
          <xdr:colOff>541020</xdr:colOff>
          <xdr:row>1</xdr:row>
          <xdr:rowOff>114300</xdr:rowOff>
        </xdr:to>
        <xdr:sp macro="" textlink="">
          <xdr:nvSpPr>
            <xdr:cNvPr id="728084" name="Button 20" hidden="1">
              <a:extLst>
                <a:ext uri="{63B3BB69-23CF-44E3-9099-C40C66FF867C}">
                  <a14:compatExt spid="_x0000_s728084"/>
                </a:ext>
                <a:ext uri="{FF2B5EF4-FFF2-40B4-BE49-F238E27FC236}">
                  <a16:creationId xmlns:a16="http://schemas.microsoft.com/office/drawing/2014/main" id="{00000000-0008-0000-0B00-0000141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167640</xdr:rowOff>
        </xdr:from>
        <xdr:to>
          <xdr:col>3</xdr:col>
          <xdr:colOff>0</xdr:colOff>
          <xdr:row>2</xdr:row>
          <xdr:rowOff>7620</xdr:rowOff>
        </xdr:to>
        <xdr:sp macro="" textlink="">
          <xdr:nvSpPr>
            <xdr:cNvPr id="728085" name="Button 21" hidden="1">
              <a:extLst>
                <a:ext uri="{63B3BB69-23CF-44E3-9099-C40C66FF867C}">
                  <a14:compatExt spid="_x0000_s728085"/>
                </a:ext>
                <a:ext uri="{FF2B5EF4-FFF2-40B4-BE49-F238E27FC236}">
                  <a16:creationId xmlns:a16="http://schemas.microsoft.com/office/drawing/2014/main" id="{00000000-0008-0000-0B00-0000151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205740</xdr:colOff>
          <xdr:row>10</xdr:row>
          <xdr:rowOff>45720</xdr:rowOff>
        </xdr:from>
        <xdr:to>
          <xdr:col>9</xdr:col>
          <xdr:colOff>15240</xdr:colOff>
          <xdr:row>12</xdr:row>
          <xdr:rowOff>0</xdr:rowOff>
        </xdr:to>
        <xdr:sp macro="" textlink="">
          <xdr:nvSpPr>
            <xdr:cNvPr id="955395" name="Group Box 3" hidden="1">
              <a:extLst>
                <a:ext uri="{63B3BB69-23CF-44E3-9099-C40C66FF867C}">
                  <a14:compatExt spid="_x0000_s955395"/>
                </a:ext>
                <a:ext uri="{FF2B5EF4-FFF2-40B4-BE49-F238E27FC236}">
                  <a16:creationId xmlns:a16="http://schemas.microsoft.com/office/drawing/2014/main" id="{00000000-0008-0000-0C00-000003940E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38</a:t>
              </a:r>
            </a:p>
          </xdr:txBody>
        </xdr:sp>
        <xdr:clientData/>
      </xdr:twoCellAnchor>
    </mc:Choice>
    <mc:Fallback/>
  </mc:AlternateContent>
  <xdr:twoCellAnchor>
    <xdr:from>
      <xdr:col>7</xdr:col>
      <xdr:colOff>135476</xdr:colOff>
      <xdr:row>55</xdr:row>
      <xdr:rowOff>110064</xdr:rowOff>
    </xdr:from>
    <xdr:to>
      <xdr:col>9</xdr:col>
      <xdr:colOff>22919</xdr:colOff>
      <xdr:row>58</xdr:row>
      <xdr:rowOff>76200</xdr:rowOff>
    </xdr:to>
    <xdr:pic>
      <xdr:nvPicPr>
        <xdr:cNvPr id="5" name="Picture 4" descr="C:\Users\lbasham\AppData\Local\Microsoft\Windows\Temporary Internet Files\Content.Outlook\AMGT183Z\1-MM-Standard-logo-small.jpg">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32676" y="12420597"/>
          <a:ext cx="1242110" cy="550336"/>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14</xdr:col>
          <xdr:colOff>53340</xdr:colOff>
          <xdr:row>19</xdr:row>
          <xdr:rowOff>0</xdr:rowOff>
        </xdr:from>
        <xdr:to>
          <xdr:col>15</xdr:col>
          <xdr:colOff>99060</xdr:colOff>
          <xdr:row>21</xdr:row>
          <xdr:rowOff>45720</xdr:rowOff>
        </xdr:to>
        <xdr:sp macro="" textlink="">
          <xdr:nvSpPr>
            <xdr:cNvPr id="955399" name="Check Box 7" hidden="1">
              <a:extLst>
                <a:ext uri="{63B3BB69-23CF-44E3-9099-C40C66FF867C}">
                  <a14:compatExt spid="_x0000_s955399"/>
                </a:ext>
                <a:ext uri="{FF2B5EF4-FFF2-40B4-BE49-F238E27FC236}">
                  <a16:creationId xmlns:a16="http://schemas.microsoft.com/office/drawing/2014/main" id="{00000000-0008-0000-0C00-0000079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Omit (explain)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358140</xdr:colOff>
          <xdr:row>7</xdr:row>
          <xdr:rowOff>106680</xdr:rowOff>
        </xdr:from>
        <xdr:to>
          <xdr:col>7</xdr:col>
          <xdr:colOff>502920</xdr:colOff>
          <xdr:row>9</xdr:row>
          <xdr:rowOff>15240</xdr:rowOff>
        </xdr:to>
        <xdr:sp macro="" textlink="">
          <xdr:nvSpPr>
            <xdr:cNvPr id="955401" name="Drop Down 9" hidden="1">
              <a:extLst>
                <a:ext uri="{63B3BB69-23CF-44E3-9099-C40C66FF867C}">
                  <a14:compatExt spid="_x0000_s955401"/>
                </a:ext>
                <a:ext uri="{FF2B5EF4-FFF2-40B4-BE49-F238E27FC236}">
                  <a16:creationId xmlns:a16="http://schemas.microsoft.com/office/drawing/2014/main" id="{00000000-0008-0000-0C00-00000994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182880</xdr:colOff>
          <xdr:row>0</xdr:row>
          <xdr:rowOff>15240</xdr:rowOff>
        </xdr:from>
        <xdr:to>
          <xdr:col>3</xdr:col>
          <xdr:colOff>114300</xdr:colOff>
          <xdr:row>1</xdr:row>
          <xdr:rowOff>121920</xdr:rowOff>
        </xdr:to>
        <xdr:sp macro="" textlink="">
          <xdr:nvSpPr>
            <xdr:cNvPr id="955402" name="Button 10" hidden="1">
              <a:extLst>
                <a:ext uri="{63B3BB69-23CF-44E3-9099-C40C66FF867C}">
                  <a14:compatExt spid="_x0000_s955402"/>
                </a:ext>
                <a:ext uri="{FF2B5EF4-FFF2-40B4-BE49-F238E27FC236}">
                  <a16:creationId xmlns:a16="http://schemas.microsoft.com/office/drawing/2014/main" id="{00000000-0008-0000-0C00-00000A9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15240</xdr:rowOff>
        </xdr:from>
        <xdr:to>
          <xdr:col>2</xdr:col>
          <xdr:colOff>129540</xdr:colOff>
          <xdr:row>1</xdr:row>
          <xdr:rowOff>121920</xdr:rowOff>
        </xdr:to>
        <xdr:sp macro="" textlink="">
          <xdr:nvSpPr>
            <xdr:cNvPr id="955403" name="Button 11" hidden="1">
              <a:extLst>
                <a:ext uri="{63B3BB69-23CF-44E3-9099-C40C66FF867C}">
                  <a14:compatExt spid="_x0000_s955403"/>
                </a:ext>
                <a:ext uri="{FF2B5EF4-FFF2-40B4-BE49-F238E27FC236}">
                  <a16:creationId xmlns:a16="http://schemas.microsoft.com/office/drawing/2014/main" id="{00000000-0008-0000-0C00-00000B940E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175260</xdr:rowOff>
        </xdr:from>
        <xdr:to>
          <xdr:col>3</xdr:col>
          <xdr:colOff>22860</xdr:colOff>
          <xdr:row>2</xdr:row>
          <xdr:rowOff>7620</xdr:rowOff>
        </xdr:to>
        <xdr:sp macro="" textlink="">
          <xdr:nvSpPr>
            <xdr:cNvPr id="955405" name="Button 13" hidden="1">
              <a:extLst>
                <a:ext uri="{63B3BB69-23CF-44E3-9099-C40C66FF867C}">
                  <a14:compatExt spid="_x0000_s955405"/>
                </a:ext>
                <a:ext uri="{FF2B5EF4-FFF2-40B4-BE49-F238E27FC236}">
                  <a16:creationId xmlns:a16="http://schemas.microsoft.com/office/drawing/2014/main" id="{00000000-0008-0000-0C00-00000D9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4</xdr:col>
      <xdr:colOff>397934</xdr:colOff>
      <xdr:row>86</xdr:row>
      <xdr:rowOff>67734</xdr:rowOff>
    </xdr:from>
    <xdr:to>
      <xdr:col>7</xdr:col>
      <xdr:colOff>69963</xdr:colOff>
      <xdr:row>88</xdr:row>
      <xdr:rowOff>209553</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74534" y="14537267"/>
          <a:ext cx="1229896" cy="590553"/>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8</xdr:col>
          <xdr:colOff>7620</xdr:colOff>
          <xdr:row>52</xdr:row>
          <xdr:rowOff>53340</xdr:rowOff>
        </xdr:from>
        <xdr:to>
          <xdr:col>10</xdr:col>
          <xdr:colOff>60960</xdr:colOff>
          <xdr:row>53</xdr:row>
          <xdr:rowOff>99060</xdr:rowOff>
        </xdr:to>
        <xdr:sp macro="" textlink="">
          <xdr:nvSpPr>
            <xdr:cNvPr id="858120" name="Check Box 8" hidden="1">
              <a:extLst>
                <a:ext uri="{63B3BB69-23CF-44E3-9099-C40C66FF867C}">
                  <a14:compatExt spid="_x0000_s858120"/>
                </a:ext>
                <a:ext uri="{FF2B5EF4-FFF2-40B4-BE49-F238E27FC236}">
                  <a16:creationId xmlns:a16="http://schemas.microsoft.com/office/drawing/2014/main" id="{00000000-0008-0000-0D00-0000081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Omit (explain/justify)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441960</xdr:colOff>
          <xdr:row>12</xdr:row>
          <xdr:rowOff>30480</xdr:rowOff>
        </xdr:from>
        <xdr:to>
          <xdr:col>4</xdr:col>
          <xdr:colOff>190500</xdr:colOff>
          <xdr:row>13</xdr:row>
          <xdr:rowOff>160020</xdr:rowOff>
        </xdr:to>
        <xdr:sp macro="" textlink="">
          <xdr:nvSpPr>
            <xdr:cNvPr id="858126" name="Option Button 14" hidden="1">
              <a:extLst>
                <a:ext uri="{63B3BB69-23CF-44E3-9099-C40C66FF867C}">
                  <a14:compatExt spid="_x0000_s858126"/>
                </a:ext>
                <a:ext uri="{FF2B5EF4-FFF2-40B4-BE49-F238E27FC236}">
                  <a16:creationId xmlns:a16="http://schemas.microsoft.com/office/drawing/2014/main" id="{00000000-0008-0000-0D00-00000E1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441960</xdr:colOff>
          <xdr:row>12</xdr:row>
          <xdr:rowOff>22860</xdr:rowOff>
        </xdr:from>
        <xdr:to>
          <xdr:col>8</xdr:col>
          <xdr:colOff>289560</xdr:colOff>
          <xdr:row>13</xdr:row>
          <xdr:rowOff>175260</xdr:rowOff>
        </xdr:to>
        <xdr:sp macro="" textlink="">
          <xdr:nvSpPr>
            <xdr:cNvPr id="858127" name="Option Button 15" hidden="1">
              <a:extLst>
                <a:ext uri="{63B3BB69-23CF-44E3-9099-C40C66FF867C}">
                  <a14:compatExt spid="_x0000_s858127"/>
                </a:ext>
                <a:ext uri="{FF2B5EF4-FFF2-40B4-BE49-F238E27FC236}">
                  <a16:creationId xmlns:a16="http://schemas.microsoft.com/office/drawing/2014/main" id="{00000000-0008-0000-0D00-00000F1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441960</xdr:colOff>
          <xdr:row>16</xdr:row>
          <xdr:rowOff>30480</xdr:rowOff>
        </xdr:from>
        <xdr:to>
          <xdr:col>3</xdr:col>
          <xdr:colOff>929640</xdr:colOff>
          <xdr:row>17</xdr:row>
          <xdr:rowOff>167640</xdr:rowOff>
        </xdr:to>
        <xdr:sp macro="" textlink="">
          <xdr:nvSpPr>
            <xdr:cNvPr id="858128" name="Option Button 16" hidden="1">
              <a:extLst>
                <a:ext uri="{63B3BB69-23CF-44E3-9099-C40C66FF867C}">
                  <a14:compatExt spid="_x0000_s858128"/>
                </a:ext>
                <a:ext uri="{FF2B5EF4-FFF2-40B4-BE49-F238E27FC236}">
                  <a16:creationId xmlns:a16="http://schemas.microsoft.com/office/drawing/2014/main" id="{00000000-0008-0000-0D00-0000101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579120</xdr:colOff>
          <xdr:row>16</xdr:row>
          <xdr:rowOff>22860</xdr:rowOff>
        </xdr:from>
        <xdr:to>
          <xdr:col>7</xdr:col>
          <xdr:colOff>1767840</xdr:colOff>
          <xdr:row>17</xdr:row>
          <xdr:rowOff>167640</xdr:rowOff>
        </xdr:to>
        <xdr:sp macro="" textlink="">
          <xdr:nvSpPr>
            <xdr:cNvPr id="858129" name="Option Button 17" hidden="1">
              <a:extLst>
                <a:ext uri="{63B3BB69-23CF-44E3-9099-C40C66FF867C}">
                  <a14:compatExt spid="_x0000_s858129"/>
                </a:ext>
                <a:ext uri="{FF2B5EF4-FFF2-40B4-BE49-F238E27FC236}">
                  <a16:creationId xmlns:a16="http://schemas.microsoft.com/office/drawing/2014/main" id="{00000000-0008-0000-0D00-0000111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243840</xdr:colOff>
          <xdr:row>16</xdr:row>
          <xdr:rowOff>22860</xdr:rowOff>
        </xdr:from>
        <xdr:to>
          <xdr:col>8</xdr:col>
          <xdr:colOff>320040</xdr:colOff>
          <xdr:row>18</xdr:row>
          <xdr:rowOff>76200</xdr:rowOff>
        </xdr:to>
        <xdr:sp macro="" textlink="">
          <xdr:nvSpPr>
            <xdr:cNvPr id="858131" name="Group Box 19" hidden="1">
              <a:extLst>
                <a:ext uri="{63B3BB69-23CF-44E3-9099-C40C66FF867C}">
                  <a14:compatExt spid="_x0000_s858131"/>
                </a:ext>
                <a:ext uri="{FF2B5EF4-FFF2-40B4-BE49-F238E27FC236}">
                  <a16:creationId xmlns:a16="http://schemas.microsoft.com/office/drawing/2014/main" id="{00000000-0008-0000-0D00-000013180D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243840</xdr:colOff>
          <xdr:row>12</xdr:row>
          <xdr:rowOff>45720</xdr:rowOff>
        </xdr:from>
        <xdr:to>
          <xdr:col>9</xdr:col>
          <xdr:colOff>38100</xdr:colOff>
          <xdr:row>14</xdr:row>
          <xdr:rowOff>68580</xdr:rowOff>
        </xdr:to>
        <xdr:sp macro="" textlink="">
          <xdr:nvSpPr>
            <xdr:cNvPr id="858132" name="Group Box 20" hidden="1">
              <a:extLst>
                <a:ext uri="{63B3BB69-23CF-44E3-9099-C40C66FF867C}">
                  <a14:compatExt spid="_x0000_s858132"/>
                </a:ext>
                <a:ext uri="{FF2B5EF4-FFF2-40B4-BE49-F238E27FC236}">
                  <a16:creationId xmlns:a16="http://schemas.microsoft.com/office/drawing/2014/main" id="{00000000-0008-0000-0D00-000014180D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259080</xdr:colOff>
          <xdr:row>0</xdr:row>
          <xdr:rowOff>7620</xdr:rowOff>
        </xdr:from>
        <xdr:to>
          <xdr:col>2</xdr:col>
          <xdr:colOff>106680</xdr:colOff>
          <xdr:row>1</xdr:row>
          <xdr:rowOff>114300</xdr:rowOff>
        </xdr:to>
        <xdr:sp macro="" textlink="">
          <xdr:nvSpPr>
            <xdr:cNvPr id="858133" name="Button 21" hidden="1">
              <a:extLst>
                <a:ext uri="{63B3BB69-23CF-44E3-9099-C40C66FF867C}">
                  <a14:compatExt spid="_x0000_s858133"/>
                </a:ext>
                <a:ext uri="{FF2B5EF4-FFF2-40B4-BE49-F238E27FC236}">
                  <a16:creationId xmlns:a16="http://schemas.microsoft.com/office/drawing/2014/main" id="{00000000-0008-0000-0D00-0000151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1</xdr:col>
          <xdr:colOff>205740</xdr:colOff>
          <xdr:row>1</xdr:row>
          <xdr:rowOff>114300</xdr:rowOff>
        </xdr:to>
        <xdr:sp macro="" textlink="">
          <xdr:nvSpPr>
            <xdr:cNvPr id="858134" name="Button 22" hidden="1">
              <a:extLst>
                <a:ext uri="{63B3BB69-23CF-44E3-9099-C40C66FF867C}">
                  <a14:compatExt spid="_x0000_s858134"/>
                </a:ext>
                <a:ext uri="{FF2B5EF4-FFF2-40B4-BE49-F238E27FC236}">
                  <a16:creationId xmlns:a16="http://schemas.microsoft.com/office/drawing/2014/main" id="{00000000-0008-0000-0D00-000016180D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167640</xdr:colOff>
          <xdr:row>0</xdr:row>
          <xdr:rowOff>7620</xdr:rowOff>
        </xdr:from>
        <xdr:to>
          <xdr:col>2</xdr:col>
          <xdr:colOff>601980</xdr:colOff>
          <xdr:row>1</xdr:row>
          <xdr:rowOff>114300</xdr:rowOff>
        </xdr:to>
        <xdr:sp macro="" textlink="">
          <xdr:nvSpPr>
            <xdr:cNvPr id="858135" name="Button 23" hidden="1">
              <a:extLst>
                <a:ext uri="{63B3BB69-23CF-44E3-9099-C40C66FF867C}">
                  <a14:compatExt spid="_x0000_s858135"/>
                </a:ext>
                <a:ext uri="{FF2B5EF4-FFF2-40B4-BE49-F238E27FC236}">
                  <a16:creationId xmlns:a16="http://schemas.microsoft.com/office/drawing/2014/main" id="{00000000-0008-0000-0D00-0000171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175260</xdr:rowOff>
        </xdr:from>
        <xdr:to>
          <xdr:col>2</xdr:col>
          <xdr:colOff>15240</xdr:colOff>
          <xdr:row>2</xdr:row>
          <xdr:rowOff>7620</xdr:rowOff>
        </xdr:to>
        <xdr:sp macro="" textlink="">
          <xdr:nvSpPr>
            <xdr:cNvPr id="858136" name="Button 24" hidden="1">
              <a:extLst>
                <a:ext uri="{63B3BB69-23CF-44E3-9099-C40C66FF867C}">
                  <a14:compatExt spid="_x0000_s858136"/>
                </a:ext>
                <a:ext uri="{FF2B5EF4-FFF2-40B4-BE49-F238E27FC236}">
                  <a16:creationId xmlns:a16="http://schemas.microsoft.com/office/drawing/2014/main" id="{00000000-0008-0000-0D00-00001818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9</xdr:col>
      <xdr:colOff>257410</xdr:colOff>
      <xdr:row>68</xdr:row>
      <xdr:rowOff>13546</xdr:rowOff>
    </xdr:from>
    <xdr:to>
      <xdr:col>13</xdr:col>
      <xdr:colOff>11537</xdr:colOff>
      <xdr:row>70</xdr:row>
      <xdr:rowOff>150283</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0E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98730" y="12662746"/>
          <a:ext cx="1156207" cy="510117"/>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12</xdr:col>
          <xdr:colOff>99060</xdr:colOff>
          <xdr:row>22</xdr:row>
          <xdr:rowOff>15240</xdr:rowOff>
        </xdr:from>
        <xdr:to>
          <xdr:col>14</xdr:col>
          <xdr:colOff>411480</xdr:colOff>
          <xdr:row>25</xdr:row>
          <xdr:rowOff>22860</xdr:rowOff>
        </xdr:to>
        <xdr:sp macro="" textlink="">
          <xdr:nvSpPr>
            <xdr:cNvPr id="753665" name="Check Box 1" hidden="1">
              <a:extLst>
                <a:ext uri="{63B3BB69-23CF-44E3-9099-C40C66FF867C}">
                  <a14:compatExt spid="_x0000_s753665"/>
                </a:ext>
                <a:ext uri="{FF2B5EF4-FFF2-40B4-BE49-F238E27FC236}">
                  <a16:creationId xmlns:a16="http://schemas.microsoft.com/office/drawing/2014/main" id="{00000000-0008-0000-0E00-0000018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121920</xdr:colOff>
          <xdr:row>22</xdr:row>
          <xdr:rowOff>22860</xdr:rowOff>
        </xdr:from>
        <xdr:to>
          <xdr:col>18</xdr:col>
          <xdr:colOff>434340</xdr:colOff>
          <xdr:row>24</xdr:row>
          <xdr:rowOff>160020</xdr:rowOff>
        </xdr:to>
        <xdr:sp macro="" textlink="">
          <xdr:nvSpPr>
            <xdr:cNvPr id="753666" name="Check Box 2" hidden="1">
              <a:extLst>
                <a:ext uri="{63B3BB69-23CF-44E3-9099-C40C66FF867C}">
                  <a14:compatExt spid="_x0000_s753666"/>
                </a:ext>
                <a:ext uri="{FF2B5EF4-FFF2-40B4-BE49-F238E27FC236}">
                  <a16:creationId xmlns:a16="http://schemas.microsoft.com/office/drawing/2014/main" id="{00000000-0008-0000-0E00-0000028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114300</xdr:colOff>
          <xdr:row>22</xdr:row>
          <xdr:rowOff>7620</xdr:rowOff>
        </xdr:from>
        <xdr:to>
          <xdr:col>22</xdr:col>
          <xdr:colOff>350520</xdr:colOff>
          <xdr:row>25</xdr:row>
          <xdr:rowOff>22860</xdr:rowOff>
        </xdr:to>
        <xdr:sp macro="" textlink="">
          <xdr:nvSpPr>
            <xdr:cNvPr id="753667" name="Check Box 3" hidden="1">
              <a:extLst>
                <a:ext uri="{63B3BB69-23CF-44E3-9099-C40C66FF867C}">
                  <a14:compatExt spid="_x0000_s753667"/>
                </a:ext>
                <a:ext uri="{FF2B5EF4-FFF2-40B4-BE49-F238E27FC236}">
                  <a16:creationId xmlns:a16="http://schemas.microsoft.com/office/drawing/2014/main" id="{00000000-0008-0000-0E00-0000038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xdr:colOff>
          <xdr:row>52</xdr:row>
          <xdr:rowOff>91440</xdr:rowOff>
        </xdr:from>
        <xdr:to>
          <xdr:col>21</xdr:col>
          <xdr:colOff>45720</xdr:colOff>
          <xdr:row>53</xdr:row>
          <xdr:rowOff>106680</xdr:rowOff>
        </xdr:to>
        <xdr:sp macro="" textlink="">
          <xdr:nvSpPr>
            <xdr:cNvPr id="753672" name="Check Box 8" hidden="1">
              <a:extLst>
                <a:ext uri="{63B3BB69-23CF-44E3-9099-C40C66FF867C}">
                  <a14:compatExt spid="_x0000_s753672"/>
                </a:ext>
                <a:ext uri="{FF2B5EF4-FFF2-40B4-BE49-F238E27FC236}">
                  <a16:creationId xmlns:a16="http://schemas.microsoft.com/office/drawing/2014/main" id="{00000000-0008-0000-0E00-0000088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Omit (explain/justify)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480060</xdr:colOff>
          <xdr:row>44</xdr:row>
          <xdr:rowOff>304800</xdr:rowOff>
        </xdr:from>
        <xdr:to>
          <xdr:col>18</xdr:col>
          <xdr:colOff>541020</xdr:colOff>
          <xdr:row>45</xdr:row>
          <xdr:rowOff>274320</xdr:rowOff>
        </xdr:to>
        <xdr:sp macro="" textlink="">
          <xdr:nvSpPr>
            <xdr:cNvPr id="753673" name="Option Button 9" hidden="1">
              <a:extLst>
                <a:ext uri="{63B3BB69-23CF-44E3-9099-C40C66FF867C}">
                  <a14:compatExt spid="_x0000_s753673"/>
                </a:ext>
                <a:ext uri="{FF2B5EF4-FFF2-40B4-BE49-F238E27FC236}">
                  <a16:creationId xmlns:a16="http://schemas.microsoft.com/office/drawing/2014/main" id="{00000000-0008-0000-0E00-0000098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68580</xdr:colOff>
          <xdr:row>44</xdr:row>
          <xdr:rowOff>297180</xdr:rowOff>
        </xdr:from>
        <xdr:to>
          <xdr:col>22</xdr:col>
          <xdr:colOff>7620</xdr:colOff>
          <xdr:row>45</xdr:row>
          <xdr:rowOff>274320</xdr:rowOff>
        </xdr:to>
        <xdr:sp macro="" textlink="">
          <xdr:nvSpPr>
            <xdr:cNvPr id="753674" name="Option Button 10" hidden="1">
              <a:extLst>
                <a:ext uri="{63B3BB69-23CF-44E3-9099-C40C66FF867C}">
                  <a14:compatExt spid="_x0000_s753674"/>
                </a:ext>
                <a:ext uri="{FF2B5EF4-FFF2-40B4-BE49-F238E27FC236}">
                  <a16:creationId xmlns:a16="http://schemas.microsoft.com/office/drawing/2014/main" id="{00000000-0008-0000-0E00-00000A8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8</xdr:row>
          <xdr:rowOff>198120</xdr:rowOff>
        </xdr:from>
        <xdr:to>
          <xdr:col>7</xdr:col>
          <xdr:colOff>0</xdr:colOff>
          <xdr:row>10</xdr:row>
          <xdr:rowOff>0</xdr:rowOff>
        </xdr:to>
        <xdr:sp macro="" textlink="">
          <xdr:nvSpPr>
            <xdr:cNvPr id="753676" name="Drop Down 12" hidden="1">
              <a:extLst>
                <a:ext uri="{63B3BB69-23CF-44E3-9099-C40C66FF867C}">
                  <a14:compatExt spid="_x0000_s753676"/>
                </a:ext>
                <a:ext uri="{FF2B5EF4-FFF2-40B4-BE49-F238E27FC236}">
                  <a16:creationId xmlns:a16="http://schemas.microsoft.com/office/drawing/2014/main" id="{00000000-0008-0000-0E00-00000C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327660</xdr:colOff>
          <xdr:row>0</xdr:row>
          <xdr:rowOff>7620</xdr:rowOff>
        </xdr:from>
        <xdr:to>
          <xdr:col>4</xdr:col>
          <xdr:colOff>60960</xdr:colOff>
          <xdr:row>1</xdr:row>
          <xdr:rowOff>114300</xdr:rowOff>
        </xdr:to>
        <xdr:sp macro="" textlink="">
          <xdr:nvSpPr>
            <xdr:cNvPr id="753677" name="Button 13" hidden="1">
              <a:extLst>
                <a:ext uri="{63B3BB69-23CF-44E3-9099-C40C66FF867C}">
                  <a14:compatExt spid="_x0000_s753677"/>
                </a:ext>
                <a:ext uri="{FF2B5EF4-FFF2-40B4-BE49-F238E27FC236}">
                  <a16:creationId xmlns:a16="http://schemas.microsoft.com/office/drawing/2014/main" id="{00000000-0008-0000-0E00-00000D8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xdr:colOff>
          <xdr:row>0</xdr:row>
          <xdr:rowOff>7620</xdr:rowOff>
        </xdr:from>
        <xdr:to>
          <xdr:col>1</xdr:col>
          <xdr:colOff>274320</xdr:colOff>
          <xdr:row>1</xdr:row>
          <xdr:rowOff>114300</xdr:rowOff>
        </xdr:to>
        <xdr:sp macro="" textlink="">
          <xdr:nvSpPr>
            <xdr:cNvPr id="753678" name="Button 14" hidden="1">
              <a:extLst>
                <a:ext uri="{63B3BB69-23CF-44E3-9099-C40C66FF867C}">
                  <a14:compatExt spid="_x0000_s753678"/>
                </a:ext>
                <a:ext uri="{FF2B5EF4-FFF2-40B4-BE49-F238E27FC236}">
                  <a16:creationId xmlns:a16="http://schemas.microsoft.com/office/drawing/2014/main" id="{00000000-0008-0000-0E00-00000E800B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121920</xdr:colOff>
          <xdr:row>0</xdr:row>
          <xdr:rowOff>7620</xdr:rowOff>
        </xdr:from>
        <xdr:to>
          <xdr:col>4</xdr:col>
          <xdr:colOff>556260</xdr:colOff>
          <xdr:row>1</xdr:row>
          <xdr:rowOff>114300</xdr:rowOff>
        </xdr:to>
        <xdr:sp macro="" textlink="">
          <xdr:nvSpPr>
            <xdr:cNvPr id="753679" name="Button 15" hidden="1">
              <a:extLst>
                <a:ext uri="{63B3BB69-23CF-44E3-9099-C40C66FF867C}">
                  <a14:compatExt spid="_x0000_s753679"/>
                </a:ext>
                <a:ext uri="{FF2B5EF4-FFF2-40B4-BE49-F238E27FC236}">
                  <a16:creationId xmlns:a16="http://schemas.microsoft.com/office/drawing/2014/main" id="{00000000-0008-0000-0E00-00000F8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xdr:row>
          <xdr:rowOff>175260</xdr:rowOff>
        </xdr:from>
        <xdr:to>
          <xdr:col>3</xdr:col>
          <xdr:colOff>7620</xdr:colOff>
          <xdr:row>2</xdr:row>
          <xdr:rowOff>7620</xdr:rowOff>
        </xdr:to>
        <xdr:sp macro="" textlink="">
          <xdr:nvSpPr>
            <xdr:cNvPr id="753680" name="Button 16" hidden="1">
              <a:extLst>
                <a:ext uri="{63B3BB69-23CF-44E3-9099-C40C66FF867C}">
                  <a14:compatExt spid="_x0000_s753680"/>
                </a:ext>
                <a:ext uri="{FF2B5EF4-FFF2-40B4-BE49-F238E27FC236}">
                  <a16:creationId xmlns:a16="http://schemas.microsoft.com/office/drawing/2014/main" id="{00000000-0008-0000-0E00-0000108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716283</xdr:colOff>
      <xdr:row>51</xdr:row>
      <xdr:rowOff>82127</xdr:rowOff>
    </xdr:from>
    <xdr:ext cx="1142204" cy="497418"/>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0F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8816" y="10064327"/>
          <a:ext cx="1142204" cy="497418"/>
        </a:xfrm>
        <a:prstGeom prst="rect">
          <a:avLst/>
        </a:prstGeom>
        <a:noFill/>
        <a:ln>
          <a:noFill/>
        </a:ln>
      </xdr:spPr>
    </xdr:pic>
    <xdr:clientData/>
  </xdr:oneCellAnchor>
  <mc:AlternateContent xmlns:mc="http://schemas.openxmlformats.org/markup-compatibility/2006">
    <mc:Choice xmlns:a14="http://schemas.microsoft.com/office/drawing/2010/main" Requires="a14">
      <xdr:twoCellAnchor editAs="oneCell">
        <xdr:from>
          <xdr:col>10</xdr:col>
          <xdr:colOff>480060</xdr:colOff>
          <xdr:row>27</xdr:row>
          <xdr:rowOff>68580</xdr:rowOff>
        </xdr:from>
        <xdr:to>
          <xdr:col>11</xdr:col>
          <xdr:colOff>693420</xdr:colOff>
          <xdr:row>28</xdr:row>
          <xdr:rowOff>45720</xdr:rowOff>
        </xdr:to>
        <xdr:sp macro="" textlink="">
          <xdr:nvSpPr>
            <xdr:cNvPr id="985097" name="Check Box 9" hidden="1">
              <a:extLst>
                <a:ext uri="{63B3BB69-23CF-44E3-9099-C40C66FF867C}">
                  <a14:compatExt spid="_x0000_s985097"/>
                </a:ext>
                <a:ext uri="{FF2B5EF4-FFF2-40B4-BE49-F238E27FC236}">
                  <a16:creationId xmlns:a16="http://schemas.microsoft.com/office/drawing/2014/main" id="{00000000-0008-0000-0F00-00000908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Omit (explain)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53340</xdr:colOff>
          <xdr:row>0</xdr:row>
          <xdr:rowOff>7620</xdr:rowOff>
        </xdr:from>
        <xdr:to>
          <xdr:col>3</xdr:col>
          <xdr:colOff>213360</xdr:colOff>
          <xdr:row>1</xdr:row>
          <xdr:rowOff>121920</xdr:rowOff>
        </xdr:to>
        <xdr:sp macro="" textlink="">
          <xdr:nvSpPr>
            <xdr:cNvPr id="985098" name="Button 10" hidden="1">
              <a:extLst>
                <a:ext uri="{63B3BB69-23CF-44E3-9099-C40C66FF867C}">
                  <a14:compatExt spid="_x0000_s985098"/>
                </a:ext>
                <a:ext uri="{FF2B5EF4-FFF2-40B4-BE49-F238E27FC236}">
                  <a16:creationId xmlns:a16="http://schemas.microsoft.com/office/drawing/2014/main" id="{00000000-0008-0000-0F00-00000A0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2</xdr:col>
          <xdr:colOff>0</xdr:colOff>
          <xdr:row>1</xdr:row>
          <xdr:rowOff>121920</xdr:rowOff>
        </xdr:to>
        <xdr:sp macro="" textlink="">
          <xdr:nvSpPr>
            <xdr:cNvPr id="985099" name="Button 11" hidden="1">
              <a:extLst>
                <a:ext uri="{63B3BB69-23CF-44E3-9099-C40C66FF867C}">
                  <a14:compatExt spid="_x0000_s985099"/>
                </a:ext>
                <a:ext uri="{FF2B5EF4-FFF2-40B4-BE49-F238E27FC236}">
                  <a16:creationId xmlns:a16="http://schemas.microsoft.com/office/drawing/2014/main" id="{00000000-0008-0000-0F00-00000B080F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274320</xdr:colOff>
          <xdr:row>0</xdr:row>
          <xdr:rowOff>7620</xdr:rowOff>
        </xdr:from>
        <xdr:to>
          <xdr:col>4</xdr:col>
          <xdr:colOff>304800</xdr:colOff>
          <xdr:row>1</xdr:row>
          <xdr:rowOff>121920</xdr:rowOff>
        </xdr:to>
        <xdr:sp macro="" textlink="">
          <xdr:nvSpPr>
            <xdr:cNvPr id="985100" name="Button 12" hidden="1">
              <a:extLst>
                <a:ext uri="{63B3BB69-23CF-44E3-9099-C40C66FF867C}">
                  <a14:compatExt spid="_x0000_s985100"/>
                </a:ext>
                <a:ext uri="{FF2B5EF4-FFF2-40B4-BE49-F238E27FC236}">
                  <a16:creationId xmlns:a16="http://schemas.microsoft.com/office/drawing/2014/main" id="{00000000-0008-0000-0F00-00000C0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182880</xdr:rowOff>
        </xdr:from>
        <xdr:to>
          <xdr:col>3</xdr:col>
          <xdr:colOff>121920</xdr:colOff>
          <xdr:row>2</xdr:row>
          <xdr:rowOff>38100</xdr:rowOff>
        </xdr:to>
        <xdr:sp macro="" textlink="">
          <xdr:nvSpPr>
            <xdr:cNvPr id="985101" name="Button 13" hidden="1">
              <a:extLst>
                <a:ext uri="{63B3BB69-23CF-44E3-9099-C40C66FF867C}">
                  <a14:compatExt spid="_x0000_s985101"/>
                </a:ext>
                <a:ext uri="{FF2B5EF4-FFF2-40B4-BE49-F238E27FC236}">
                  <a16:creationId xmlns:a16="http://schemas.microsoft.com/office/drawing/2014/main" id="{00000000-0008-0000-0F00-00000D08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9</xdr:col>
      <xdr:colOff>528346</xdr:colOff>
      <xdr:row>105</xdr:row>
      <xdr:rowOff>98611</xdr:rowOff>
    </xdr:from>
    <xdr:to>
      <xdr:col>11</xdr:col>
      <xdr:colOff>395942</xdr:colOff>
      <xdr:row>108</xdr:row>
      <xdr:rowOff>118308</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1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45213" y="17175878"/>
          <a:ext cx="1103729" cy="510763"/>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12</xdr:col>
          <xdr:colOff>297180</xdr:colOff>
          <xdr:row>77</xdr:row>
          <xdr:rowOff>45720</xdr:rowOff>
        </xdr:from>
        <xdr:to>
          <xdr:col>14</xdr:col>
          <xdr:colOff>236220</xdr:colOff>
          <xdr:row>80</xdr:row>
          <xdr:rowOff>22860</xdr:rowOff>
        </xdr:to>
        <xdr:sp macro="" textlink="">
          <xdr:nvSpPr>
            <xdr:cNvPr id="1425409" name="Check Box 1" hidden="1">
              <a:extLst>
                <a:ext uri="{63B3BB69-23CF-44E3-9099-C40C66FF867C}">
                  <a14:compatExt spid="_x0000_s1425409"/>
                </a:ext>
                <a:ext uri="{FF2B5EF4-FFF2-40B4-BE49-F238E27FC236}">
                  <a16:creationId xmlns:a16="http://schemas.microsoft.com/office/drawing/2014/main" id="{00000000-0008-0000-1100-000001C01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320040</xdr:colOff>
          <xdr:row>77</xdr:row>
          <xdr:rowOff>53340</xdr:rowOff>
        </xdr:from>
        <xdr:to>
          <xdr:col>18</xdr:col>
          <xdr:colOff>266700</xdr:colOff>
          <xdr:row>80</xdr:row>
          <xdr:rowOff>7620</xdr:rowOff>
        </xdr:to>
        <xdr:sp macro="" textlink="">
          <xdr:nvSpPr>
            <xdr:cNvPr id="1425410" name="Check Box 2" hidden="1">
              <a:extLst>
                <a:ext uri="{63B3BB69-23CF-44E3-9099-C40C66FF867C}">
                  <a14:compatExt spid="_x0000_s1425410"/>
                </a:ext>
                <a:ext uri="{FF2B5EF4-FFF2-40B4-BE49-F238E27FC236}">
                  <a16:creationId xmlns:a16="http://schemas.microsoft.com/office/drawing/2014/main" id="{00000000-0008-0000-1100-000002C01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312420</xdr:colOff>
          <xdr:row>77</xdr:row>
          <xdr:rowOff>45720</xdr:rowOff>
        </xdr:from>
        <xdr:to>
          <xdr:col>22</xdr:col>
          <xdr:colOff>327660</xdr:colOff>
          <xdr:row>80</xdr:row>
          <xdr:rowOff>30480</xdr:rowOff>
        </xdr:to>
        <xdr:sp macro="" textlink="">
          <xdr:nvSpPr>
            <xdr:cNvPr id="1425411" name="Check Box 3" hidden="1">
              <a:extLst>
                <a:ext uri="{63B3BB69-23CF-44E3-9099-C40C66FF867C}">
                  <a14:compatExt spid="_x0000_s1425411"/>
                </a:ext>
                <a:ext uri="{FF2B5EF4-FFF2-40B4-BE49-F238E27FC236}">
                  <a16:creationId xmlns:a16="http://schemas.microsoft.com/office/drawing/2014/main" id="{00000000-0008-0000-1100-000003C01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83820</xdr:colOff>
          <xdr:row>83</xdr:row>
          <xdr:rowOff>182880</xdr:rowOff>
        </xdr:from>
        <xdr:to>
          <xdr:col>19</xdr:col>
          <xdr:colOff>0</xdr:colOff>
          <xdr:row>84</xdr:row>
          <xdr:rowOff>274320</xdr:rowOff>
        </xdr:to>
        <xdr:sp macro="" textlink="">
          <xdr:nvSpPr>
            <xdr:cNvPr id="1425416" name="Check Box 8" hidden="1">
              <a:extLst>
                <a:ext uri="{63B3BB69-23CF-44E3-9099-C40C66FF867C}">
                  <a14:compatExt spid="_x0000_s1425416"/>
                </a:ext>
                <a:ext uri="{FF2B5EF4-FFF2-40B4-BE49-F238E27FC236}">
                  <a16:creationId xmlns:a16="http://schemas.microsoft.com/office/drawing/2014/main" id="{00000000-0008-0000-1100-000008C01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Omit (explain/justify)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9</xdr:row>
          <xdr:rowOff>335280</xdr:rowOff>
        </xdr:from>
        <xdr:to>
          <xdr:col>1</xdr:col>
          <xdr:colOff>373380</xdr:colOff>
          <xdr:row>10</xdr:row>
          <xdr:rowOff>198120</xdr:rowOff>
        </xdr:to>
        <xdr:sp macro="" textlink="">
          <xdr:nvSpPr>
            <xdr:cNvPr id="1425419" name="Check Box 11" hidden="1">
              <a:extLst>
                <a:ext uri="{63B3BB69-23CF-44E3-9099-C40C66FF867C}">
                  <a14:compatExt spid="_x0000_s1425419"/>
                </a:ext>
                <a:ext uri="{FF2B5EF4-FFF2-40B4-BE49-F238E27FC236}">
                  <a16:creationId xmlns:a16="http://schemas.microsoft.com/office/drawing/2014/main" id="{00000000-0008-0000-1100-00000BC01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11</xdr:row>
          <xdr:rowOff>121920</xdr:rowOff>
        </xdr:from>
        <xdr:to>
          <xdr:col>1</xdr:col>
          <xdr:colOff>381000</xdr:colOff>
          <xdr:row>12</xdr:row>
          <xdr:rowOff>190500</xdr:rowOff>
        </xdr:to>
        <xdr:sp macro="" textlink="">
          <xdr:nvSpPr>
            <xdr:cNvPr id="1425420" name="Check Box 12" hidden="1">
              <a:extLst>
                <a:ext uri="{63B3BB69-23CF-44E3-9099-C40C66FF867C}">
                  <a14:compatExt spid="_x0000_s1425420"/>
                </a:ext>
                <a:ext uri="{FF2B5EF4-FFF2-40B4-BE49-F238E27FC236}">
                  <a16:creationId xmlns:a16="http://schemas.microsoft.com/office/drawing/2014/main" id="{00000000-0008-0000-1100-00000CC01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487680</xdr:colOff>
          <xdr:row>0</xdr:row>
          <xdr:rowOff>7620</xdr:rowOff>
        </xdr:from>
        <xdr:to>
          <xdr:col>1</xdr:col>
          <xdr:colOff>251460</xdr:colOff>
          <xdr:row>1</xdr:row>
          <xdr:rowOff>114300</xdr:rowOff>
        </xdr:to>
        <xdr:sp macro="" textlink="">
          <xdr:nvSpPr>
            <xdr:cNvPr id="1425421" name="Button 13" hidden="1">
              <a:extLst>
                <a:ext uri="{63B3BB69-23CF-44E3-9099-C40C66FF867C}">
                  <a14:compatExt spid="_x0000_s1425421"/>
                </a:ext>
                <a:ext uri="{FF2B5EF4-FFF2-40B4-BE49-F238E27FC236}">
                  <a16:creationId xmlns:a16="http://schemas.microsoft.com/office/drawing/2014/main" id="{00000000-0008-0000-1100-00000DC0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0</xdr:col>
          <xdr:colOff>434340</xdr:colOff>
          <xdr:row>1</xdr:row>
          <xdr:rowOff>114300</xdr:rowOff>
        </xdr:to>
        <xdr:sp macro="" textlink="">
          <xdr:nvSpPr>
            <xdr:cNvPr id="1425422" name="Button 14" hidden="1">
              <a:extLst>
                <a:ext uri="{63B3BB69-23CF-44E3-9099-C40C66FF867C}">
                  <a14:compatExt spid="_x0000_s1425422"/>
                </a:ext>
                <a:ext uri="{FF2B5EF4-FFF2-40B4-BE49-F238E27FC236}">
                  <a16:creationId xmlns:a16="http://schemas.microsoft.com/office/drawing/2014/main" id="{00000000-0008-0000-1100-00000EC015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312420</xdr:colOff>
          <xdr:row>0</xdr:row>
          <xdr:rowOff>7620</xdr:rowOff>
        </xdr:from>
        <xdr:to>
          <xdr:col>3</xdr:col>
          <xdr:colOff>99060</xdr:colOff>
          <xdr:row>1</xdr:row>
          <xdr:rowOff>114300</xdr:rowOff>
        </xdr:to>
        <xdr:sp macro="" textlink="">
          <xdr:nvSpPr>
            <xdr:cNvPr id="1425423" name="Button 15" hidden="1">
              <a:extLst>
                <a:ext uri="{63B3BB69-23CF-44E3-9099-C40C66FF867C}">
                  <a14:compatExt spid="_x0000_s1425423"/>
                </a:ext>
                <a:ext uri="{FF2B5EF4-FFF2-40B4-BE49-F238E27FC236}">
                  <a16:creationId xmlns:a16="http://schemas.microsoft.com/office/drawing/2014/main" id="{00000000-0008-0000-1100-00000FC0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175260</xdr:rowOff>
        </xdr:from>
        <xdr:to>
          <xdr:col>1</xdr:col>
          <xdr:colOff>160020</xdr:colOff>
          <xdr:row>2</xdr:row>
          <xdr:rowOff>7620</xdr:rowOff>
        </xdr:to>
        <xdr:sp macro="" textlink="">
          <xdr:nvSpPr>
            <xdr:cNvPr id="1425424" name="Button 16" hidden="1">
              <a:extLst>
                <a:ext uri="{63B3BB69-23CF-44E3-9099-C40C66FF867C}">
                  <a14:compatExt spid="_x0000_s1425424"/>
                </a:ext>
                <a:ext uri="{FF2B5EF4-FFF2-40B4-BE49-F238E27FC236}">
                  <a16:creationId xmlns:a16="http://schemas.microsoft.com/office/drawing/2014/main" id="{00000000-0008-0000-1100-000010C0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6</xdr:col>
      <xdr:colOff>194737</xdr:colOff>
      <xdr:row>77</xdr:row>
      <xdr:rowOff>160871</xdr:rowOff>
    </xdr:from>
    <xdr:to>
      <xdr:col>8</xdr:col>
      <xdr:colOff>155838</xdr:colOff>
      <xdr:row>80</xdr:row>
      <xdr:rowOff>113883</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1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72937" y="15392404"/>
          <a:ext cx="1044835" cy="508002"/>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2</xdr:col>
          <xdr:colOff>22860</xdr:colOff>
          <xdr:row>28</xdr:row>
          <xdr:rowOff>60960</xdr:rowOff>
        </xdr:from>
        <xdr:to>
          <xdr:col>7</xdr:col>
          <xdr:colOff>388620</xdr:colOff>
          <xdr:row>30</xdr:row>
          <xdr:rowOff>76200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12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48</xdr:row>
          <xdr:rowOff>53340</xdr:rowOff>
        </xdr:from>
        <xdr:to>
          <xdr:col>14</xdr:col>
          <xdr:colOff>83820</xdr:colOff>
          <xdr:row>50</xdr:row>
          <xdr:rowOff>30480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12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 (explain/justify)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289560</xdr:colOff>
          <xdr:row>43</xdr:row>
          <xdr:rowOff>22860</xdr:rowOff>
        </xdr:from>
        <xdr:to>
          <xdr:col>15</xdr:col>
          <xdr:colOff>464820</xdr:colOff>
          <xdr:row>44</xdr:row>
          <xdr:rowOff>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12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289560</xdr:colOff>
          <xdr:row>44</xdr:row>
          <xdr:rowOff>22860</xdr:rowOff>
        </xdr:from>
        <xdr:to>
          <xdr:col>15</xdr:col>
          <xdr:colOff>464820</xdr:colOff>
          <xdr:row>45</xdr:row>
          <xdr:rowOff>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1200-00001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289560</xdr:colOff>
          <xdr:row>45</xdr:row>
          <xdr:rowOff>22860</xdr:rowOff>
        </xdr:from>
        <xdr:to>
          <xdr:col>15</xdr:col>
          <xdr:colOff>464820</xdr:colOff>
          <xdr:row>46</xdr:row>
          <xdr:rowOff>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1200-00001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289560</xdr:colOff>
          <xdr:row>46</xdr:row>
          <xdr:rowOff>22860</xdr:rowOff>
        </xdr:from>
        <xdr:to>
          <xdr:col>15</xdr:col>
          <xdr:colOff>464820</xdr:colOff>
          <xdr:row>47</xdr:row>
          <xdr:rowOff>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1200-00001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487680</xdr:colOff>
          <xdr:row>0</xdr:row>
          <xdr:rowOff>7620</xdr:rowOff>
        </xdr:from>
        <xdr:to>
          <xdr:col>1</xdr:col>
          <xdr:colOff>228600</xdr:colOff>
          <xdr:row>1</xdr:row>
          <xdr:rowOff>114300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1200-00001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0</xdr:col>
          <xdr:colOff>434340</xdr:colOff>
          <xdr:row>1</xdr:row>
          <xdr:rowOff>114300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1200-00001614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289560</xdr:colOff>
          <xdr:row>0</xdr:row>
          <xdr:rowOff>7620</xdr:rowOff>
        </xdr:from>
        <xdr:to>
          <xdr:col>3</xdr:col>
          <xdr:colOff>38100</xdr:colOff>
          <xdr:row>1</xdr:row>
          <xdr:rowOff>114300</xdr:rowOff>
        </xdr:to>
        <xdr:sp macro="" textlink="">
          <xdr:nvSpPr>
            <xdr:cNvPr id="5143" name="Button 23" hidden="1">
              <a:extLst>
                <a:ext uri="{63B3BB69-23CF-44E3-9099-C40C66FF867C}">
                  <a14:compatExt spid="_x0000_s5143"/>
                </a:ext>
                <a:ext uri="{FF2B5EF4-FFF2-40B4-BE49-F238E27FC236}">
                  <a16:creationId xmlns:a16="http://schemas.microsoft.com/office/drawing/2014/main" id="{00000000-0008-0000-1200-000017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167640</xdr:rowOff>
        </xdr:from>
        <xdr:to>
          <xdr:col>1</xdr:col>
          <xdr:colOff>137160</xdr:colOff>
          <xdr:row>1</xdr:row>
          <xdr:rowOff>457200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12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38100</xdr:colOff>
          <xdr:row>11</xdr:row>
          <xdr:rowOff>7620</xdr:rowOff>
        </xdr:from>
        <xdr:to>
          <xdr:col>13</xdr:col>
          <xdr:colOff>548640</xdr:colOff>
          <xdr:row>12</xdr:row>
          <xdr:rowOff>121920</xdr:rowOff>
        </xdr:to>
        <xdr:sp macro="" textlink="">
          <xdr:nvSpPr>
            <xdr:cNvPr id="155657" name="Check Box 9" hidden="1">
              <a:extLst>
                <a:ext uri="{63B3BB69-23CF-44E3-9099-C40C66FF867C}">
                  <a14:compatExt spid="_x0000_s155657"/>
                </a:ext>
                <a:ext uri="{FF2B5EF4-FFF2-40B4-BE49-F238E27FC236}">
                  <a16:creationId xmlns:a16="http://schemas.microsoft.com/office/drawing/2014/main" id="{00000000-0008-0000-1300-0000096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 (explain/justify)</a:t>
              </a:r>
            </a:p>
          </xdr:txBody>
        </xdr:sp>
        <xdr:clientData/>
      </xdr:twoCellAnchor>
    </mc:Choice>
    <mc:Fallback/>
  </mc:AlternateContent>
  <xdr:twoCellAnchor editAs="oneCell">
    <xdr:from>
      <xdr:col>6</xdr:col>
      <xdr:colOff>8468</xdr:colOff>
      <xdr:row>64</xdr:row>
      <xdr:rowOff>143934</xdr:rowOff>
    </xdr:from>
    <xdr:to>
      <xdr:col>9</xdr:col>
      <xdr:colOff>276490</xdr:colOff>
      <xdr:row>67</xdr:row>
      <xdr:rowOff>91018</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13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33801" y="13783734"/>
          <a:ext cx="1157022" cy="50588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10</xdr:col>
          <xdr:colOff>883920</xdr:colOff>
          <xdr:row>7</xdr:row>
          <xdr:rowOff>0</xdr:rowOff>
        </xdr:from>
        <xdr:to>
          <xdr:col>13</xdr:col>
          <xdr:colOff>739140</xdr:colOff>
          <xdr:row>8</xdr:row>
          <xdr:rowOff>0</xdr:rowOff>
        </xdr:to>
        <xdr:sp macro="" textlink="">
          <xdr:nvSpPr>
            <xdr:cNvPr id="155652" name="Drop Down 4" hidden="1">
              <a:extLst>
                <a:ext uri="{63B3BB69-23CF-44E3-9099-C40C66FF867C}">
                  <a14:compatExt spid="_x0000_s155652"/>
                </a:ext>
                <a:ext uri="{FF2B5EF4-FFF2-40B4-BE49-F238E27FC236}">
                  <a16:creationId xmlns:a16="http://schemas.microsoft.com/office/drawing/2014/main" id="{00000000-0008-0000-1300-0000046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861060</xdr:colOff>
          <xdr:row>16</xdr:row>
          <xdr:rowOff>0</xdr:rowOff>
        </xdr:from>
        <xdr:to>
          <xdr:col>13</xdr:col>
          <xdr:colOff>731520</xdr:colOff>
          <xdr:row>17</xdr:row>
          <xdr:rowOff>0</xdr:rowOff>
        </xdr:to>
        <xdr:sp macro="" textlink="">
          <xdr:nvSpPr>
            <xdr:cNvPr id="155653" name="Drop Down 5" hidden="1">
              <a:extLst>
                <a:ext uri="{63B3BB69-23CF-44E3-9099-C40C66FF867C}">
                  <a14:compatExt spid="_x0000_s155653"/>
                </a:ext>
                <a:ext uri="{FF2B5EF4-FFF2-40B4-BE49-F238E27FC236}">
                  <a16:creationId xmlns:a16="http://schemas.microsoft.com/office/drawing/2014/main" id="{00000000-0008-0000-1300-0000056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861060</xdr:colOff>
          <xdr:row>25</xdr:row>
          <xdr:rowOff>7620</xdr:rowOff>
        </xdr:from>
        <xdr:to>
          <xdr:col>13</xdr:col>
          <xdr:colOff>739140</xdr:colOff>
          <xdr:row>26</xdr:row>
          <xdr:rowOff>0</xdr:rowOff>
        </xdr:to>
        <xdr:sp macro="" textlink="">
          <xdr:nvSpPr>
            <xdr:cNvPr id="155654" name="Drop Down 6" hidden="1">
              <a:extLst>
                <a:ext uri="{63B3BB69-23CF-44E3-9099-C40C66FF867C}">
                  <a14:compatExt spid="_x0000_s155654"/>
                </a:ext>
                <a:ext uri="{FF2B5EF4-FFF2-40B4-BE49-F238E27FC236}">
                  <a16:creationId xmlns:a16="http://schemas.microsoft.com/office/drawing/2014/main" id="{00000000-0008-0000-1300-0000066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861060</xdr:colOff>
          <xdr:row>34</xdr:row>
          <xdr:rowOff>7620</xdr:rowOff>
        </xdr:from>
        <xdr:to>
          <xdr:col>13</xdr:col>
          <xdr:colOff>731520</xdr:colOff>
          <xdr:row>35</xdr:row>
          <xdr:rowOff>0</xdr:rowOff>
        </xdr:to>
        <xdr:sp macro="" textlink="">
          <xdr:nvSpPr>
            <xdr:cNvPr id="155655" name="Drop Down 7" hidden="1">
              <a:extLst>
                <a:ext uri="{63B3BB69-23CF-44E3-9099-C40C66FF867C}">
                  <a14:compatExt spid="_x0000_s155655"/>
                </a:ext>
                <a:ext uri="{FF2B5EF4-FFF2-40B4-BE49-F238E27FC236}">
                  <a16:creationId xmlns:a16="http://schemas.microsoft.com/office/drawing/2014/main" id="{00000000-0008-0000-1300-0000076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861060</xdr:colOff>
          <xdr:row>43</xdr:row>
          <xdr:rowOff>7620</xdr:rowOff>
        </xdr:from>
        <xdr:to>
          <xdr:col>13</xdr:col>
          <xdr:colOff>731520</xdr:colOff>
          <xdr:row>44</xdr:row>
          <xdr:rowOff>0</xdr:rowOff>
        </xdr:to>
        <xdr:sp macro="" textlink="">
          <xdr:nvSpPr>
            <xdr:cNvPr id="155656" name="Drop Down 8" hidden="1">
              <a:extLst>
                <a:ext uri="{63B3BB69-23CF-44E3-9099-C40C66FF867C}">
                  <a14:compatExt spid="_x0000_s155656"/>
                </a:ext>
                <a:ext uri="{FF2B5EF4-FFF2-40B4-BE49-F238E27FC236}">
                  <a16:creationId xmlns:a16="http://schemas.microsoft.com/office/drawing/2014/main" id="{00000000-0008-0000-1300-0000086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20</xdr:row>
          <xdr:rowOff>22860</xdr:rowOff>
        </xdr:from>
        <xdr:to>
          <xdr:col>13</xdr:col>
          <xdr:colOff>548640</xdr:colOff>
          <xdr:row>21</xdr:row>
          <xdr:rowOff>121920</xdr:rowOff>
        </xdr:to>
        <xdr:sp macro="" textlink="">
          <xdr:nvSpPr>
            <xdr:cNvPr id="155658" name="Check Box 10" hidden="1">
              <a:extLst>
                <a:ext uri="{63B3BB69-23CF-44E3-9099-C40C66FF867C}">
                  <a14:compatExt spid="_x0000_s155658"/>
                </a:ext>
                <a:ext uri="{FF2B5EF4-FFF2-40B4-BE49-F238E27FC236}">
                  <a16:creationId xmlns:a16="http://schemas.microsoft.com/office/drawing/2014/main" id="{00000000-0008-0000-1300-00000A6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 (explain/justify)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29</xdr:row>
          <xdr:rowOff>30480</xdr:rowOff>
        </xdr:from>
        <xdr:to>
          <xdr:col>13</xdr:col>
          <xdr:colOff>548640</xdr:colOff>
          <xdr:row>30</xdr:row>
          <xdr:rowOff>137160</xdr:rowOff>
        </xdr:to>
        <xdr:sp macro="" textlink="">
          <xdr:nvSpPr>
            <xdr:cNvPr id="155660" name="Check Box 12" hidden="1">
              <a:extLst>
                <a:ext uri="{63B3BB69-23CF-44E3-9099-C40C66FF867C}">
                  <a14:compatExt spid="_x0000_s155660"/>
                </a:ext>
                <a:ext uri="{FF2B5EF4-FFF2-40B4-BE49-F238E27FC236}">
                  <a16:creationId xmlns:a16="http://schemas.microsoft.com/office/drawing/2014/main" id="{00000000-0008-0000-1300-00000C6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 (explain/justify)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38</xdr:row>
          <xdr:rowOff>38100</xdr:rowOff>
        </xdr:from>
        <xdr:to>
          <xdr:col>13</xdr:col>
          <xdr:colOff>548640</xdr:colOff>
          <xdr:row>39</xdr:row>
          <xdr:rowOff>144780</xdr:rowOff>
        </xdr:to>
        <xdr:sp macro="" textlink="">
          <xdr:nvSpPr>
            <xdr:cNvPr id="155661" name="Check Box 13" hidden="1">
              <a:extLst>
                <a:ext uri="{63B3BB69-23CF-44E3-9099-C40C66FF867C}">
                  <a14:compatExt spid="_x0000_s155661"/>
                </a:ext>
                <a:ext uri="{FF2B5EF4-FFF2-40B4-BE49-F238E27FC236}">
                  <a16:creationId xmlns:a16="http://schemas.microsoft.com/office/drawing/2014/main" id="{00000000-0008-0000-1300-00000D6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 (explain/justify)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47</xdr:row>
          <xdr:rowOff>45720</xdr:rowOff>
        </xdr:from>
        <xdr:to>
          <xdr:col>13</xdr:col>
          <xdr:colOff>548640</xdr:colOff>
          <xdr:row>48</xdr:row>
          <xdr:rowOff>30480</xdr:rowOff>
        </xdr:to>
        <xdr:sp macro="" textlink="">
          <xdr:nvSpPr>
            <xdr:cNvPr id="155662" name="Check Box 14" hidden="1">
              <a:extLst>
                <a:ext uri="{63B3BB69-23CF-44E3-9099-C40C66FF867C}">
                  <a14:compatExt spid="_x0000_s155662"/>
                </a:ext>
                <a:ext uri="{FF2B5EF4-FFF2-40B4-BE49-F238E27FC236}">
                  <a16:creationId xmlns:a16="http://schemas.microsoft.com/office/drawing/2014/main" id="{00000000-0008-0000-1300-00000E6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 (explain/justify)</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487680</xdr:colOff>
          <xdr:row>0</xdr:row>
          <xdr:rowOff>7620</xdr:rowOff>
        </xdr:from>
        <xdr:to>
          <xdr:col>2</xdr:col>
          <xdr:colOff>53340</xdr:colOff>
          <xdr:row>0</xdr:row>
          <xdr:rowOff>297180</xdr:rowOff>
        </xdr:to>
        <xdr:sp macro="" textlink="">
          <xdr:nvSpPr>
            <xdr:cNvPr id="155671" name="Button 23" hidden="1">
              <a:extLst>
                <a:ext uri="{63B3BB69-23CF-44E3-9099-C40C66FF867C}">
                  <a14:compatExt spid="_x0000_s155671"/>
                </a:ext>
                <a:ext uri="{FF2B5EF4-FFF2-40B4-BE49-F238E27FC236}">
                  <a16:creationId xmlns:a16="http://schemas.microsoft.com/office/drawing/2014/main" id="{00000000-0008-0000-1300-0000176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0</xdr:col>
          <xdr:colOff>434340</xdr:colOff>
          <xdr:row>0</xdr:row>
          <xdr:rowOff>297180</xdr:rowOff>
        </xdr:to>
        <xdr:sp macro="" textlink="">
          <xdr:nvSpPr>
            <xdr:cNvPr id="155672" name="Button 24" hidden="1">
              <a:extLst>
                <a:ext uri="{63B3BB69-23CF-44E3-9099-C40C66FF867C}">
                  <a14:compatExt spid="_x0000_s155672"/>
                </a:ext>
                <a:ext uri="{FF2B5EF4-FFF2-40B4-BE49-F238E27FC236}">
                  <a16:creationId xmlns:a16="http://schemas.microsoft.com/office/drawing/2014/main" id="{00000000-0008-0000-1300-0000186002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106680</xdr:colOff>
          <xdr:row>0</xdr:row>
          <xdr:rowOff>7620</xdr:rowOff>
        </xdr:from>
        <xdr:to>
          <xdr:col>3</xdr:col>
          <xdr:colOff>297180</xdr:colOff>
          <xdr:row>0</xdr:row>
          <xdr:rowOff>297180</xdr:rowOff>
        </xdr:to>
        <xdr:sp macro="" textlink="">
          <xdr:nvSpPr>
            <xdr:cNvPr id="155673" name="Button 25" hidden="1">
              <a:extLst>
                <a:ext uri="{63B3BB69-23CF-44E3-9099-C40C66FF867C}">
                  <a14:compatExt spid="_x0000_s155673"/>
                </a:ext>
                <a:ext uri="{FF2B5EF4-FFF2-40B4-BE49-F238E27FC236}">
                  <a16:creationId xmlns:a16="http://schemas.microsoft.com/office/drawing/2014/main" id="{00000000-0008-0000-1300-0000196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0</xdr:row>
          <xdr:rowOff>350520</xdr:rowOff>
        </xdr:from>
        <xdr:to>
          <xdr:col>1</xdr:col>
          <xdr:colOff>175260</xdr:colOff>
          <xdr:row>0</xdr:row>
          <xdr:rowOff>647700</xdr:rowOff>
        </xdr:to>
        <xdr:sp macro="" textlink="">
          <xdr:nvSpPr>
            <xdr:cNvPr id="155674" name="Button 26" hidden="1">
              <a:extLst>
                <a:ext uri="{63B3BB69-23CF-44E3-9099-C40C66FF867C}">
                  <a14:compatExt spid="_x0000_s155674"/>
                </a:ext>
                <a:ext uri="{FF2B5EF4-FFF2-40B4-BE49-F238E27FC236}">
                  <a16:creationId xmlns:a16="http://schemas.microsoft.com/office/drawing/2014/main" id="{00000000-0008-0000-1300-00001A6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6</xdr:col>
      <xdr:colOff>149756</xdr:colOff>
      <xdr:row>69</xdr:row>
      <xdr:rowOff>67736</xdr:rowOff>
    </xdr:from>
    <xdr:to>
      <xdr:col>9</xdr:col>
      <xdr:colOff>151076</xdr:colOff>
      <xdr:row>71</xdr:row>
      <xdr:rowOff>192620</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14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62289" y="12158136"/>
          <a:ext cx="1152787" cy="50588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2</xdr:col>
          <xdr:colOff>30480</xdr:colOff>
          <xdr:row>24</xdr:row>
          <xdr:rowOff>60960</xdr:rowOff>
        </xdr:from>
        <xdr:to>
          <xdr:col>8</xdr:col>
          <xdr:colOff>68580</xdr:colOff>
          <xdr:row>26</xdr:row>
          <xdr:rowOff>68580</xdr:rowOff>
        </xdr:to>
        <xdr:sp macro="" textlink="">
          <xdr:nvSpPr>
            <xdr:cNvPr id="3073" name="Check Box 1" descr="Exclude 2011 from Total Adjusted Income and Monthly Business Income Below" hidden="1">
              <a:extLst>
                <a:ext uri="{63B3BB69-23CF-44E3-9099-C40C66FF867C}">
                  <a14:compatExt spid="_x0000_s3073"/>
                </a:ext>
                <a:ext uri="{FF2B5EF4-FFF2-40B4-BE49-F238E27FC236}">
                  <a16:creationId xmlns:a16="http://schemas.microsoft.com/office/drawing/2014/main" id="{00000000-0008-0000-14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35</xdr:row>
          <xdr:rowOff>22860</xdr:rowOff>
        </xdr:from>
        <xdr:to>
          <xdr:col>13</xdr:col>
          <xdr:colOff>0</xdr:colOff>
          <xdr:row>36</xdr:row>
          <xdr:rowOff>45720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14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 (explain/justify)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xdr:row>
          <xdr:rowOff>205740</xdr:rowOff>
        </xdr:from>
        <xdr:to>
          <xdr:col>10</xdr:col>
          <xdr:colOff>289560</xdr:colOff>
          <xdr:row>4</xdr:row>
          <xdr:rowOff>0</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14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3</xdr:row>
          <xdr:rowOff>7620</xdr:rowOff>
        </xdr:from>
        <xdr:to>
          <xdr:col>10</xdr:col>
          <xdr:colOff>289560</xdr:colOff>
          <xdr:row>3</xdr:row>
          <xdr:rowOff>205740</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1400-00001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20</xdr:col>
      <xdr:colOff>414853</xdr:colOff>
      <xdr:row>69</xdr:row>
      <xdr:rowOff>67731</xdr:rowOff>
    </xdr:from>
    <xdr:to>
      <xdr:col>22</xdr:col>
      <xdr:colOff>314573</xdr:colOff>
      <xdr:row>71</xdr:row>
      <xdr:rowOff>192616</xdr:rowOff>
    </xdr:to>
    <xdr:pic>
      <xdr:nvPicPr>
        <xdr:cNvPr id="3" name="Picture 2" descr="C:\Users\lbasham\AppData\Local\Microsoft\Windows\Temporary Internet Files\Content.Outlook\AMGT183Z\1-MM-Standard-logo-small.jpg">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244653" y="12158131"/>
          <a:ext cx="1152787" cy="50588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137160</xdr:colOff>
          <xdr:row>0</xdr:row>
          <xdr:rowOff>7620</xdr:rowOff>
        </xdr:from>
        <xdr:to>
          <xdr:col>2</xdr:col>
          <xdr:colOff>152400</xdr:colOff>
          <xdr:row>1</xdr:row>
          <xdr:rowOff>114300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1400-00002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1</xdr:col>
          <xdr:colOff>83820</xdr:colOff>
          <xdr:row>1</xdr:row>
          <xdr:rowOff>114300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1400-0000210C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205740</xdr:colOff>
          <xdr:row>0</xdr:row>
          <xdr:rowOff>7620</xdr:rowOff>
        </xdr:from>
        <xdr:to>
          <xdr:col>3</xdr:col>
          <xdr:colOff>381000</xdr:colOff>
          <xdr:row>1</xdr:row>
          <xdr:rowOff>114300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1400-00002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160020</xdr:rowOff>
        </xdr:from>
        <xdr:to>
          <xdr:col>2</xdr:col>
          <xdr:colOff>60960</xdr:colOff>
          <xdr:row>1</xdr:row>
          <xdr:rowOff>457200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1400-00002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22860</xdr:rowOff>
        </xdr:from>
        <xdr:to>
          <xdr:col>0</xdr:col>
          <xdr:colOff>152400</xdr:colOff>
          <xdr:row>37</xdr:row>
          <xdr:rowOff>53340</xdr:rowOff>
        </xdr:to>
        <xdr:sp macro="" textlink="">
          <xdr:nvSpPr>
            <xdr:cNvPr id="3108" name="Check Box 36" hidden="1">
              <a:extLst>
                <a:ext uri="{63B3BB69-23CF-44E3-9099-C40C66FF867C}">
                  <a14:compatExt spid="_x0000_s3108"/>
                </a:ext>
                <a:ext uri="{FF2B5EF4-FFF2-40B4-BE49-F238E27FC236}">
                  <a16:creationId xmlns:a16="http://schemas.microsoft.com/office/drawing/2014/main" id="{00000000-0008-0000-1400-00002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6</xdr:col>
      <xdr:colOff>479965</xdr:colOff>
      <xdr:row>73</xdr:row>
      <xdr:rowOff>5080</xdr:rowOff>
    </xdr:from>
    <xdr:ext cx="1127388" cy="502074"/>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1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7165" y="13026813"/>
          <a:ext cx="1127388" cy="502074"/>
        </a:xfrm>
        <a:prstGeom prst="rect">
          <a:avLst/>
        </a:prstGeom>
        <a:noFill/>
        <a:ln>
          <a:noFill/>
        </a:ln>
      </xdr:spPr>
    </xdr:pic>
    <xdr:clientData/>
  </xdr:oneCellAnchor>
  <mc:AlternateContent xmlns:mc="http://schemas.openxmlformats.org/markup-compatibility/2006">
    <mc:Choice xmlns:a14="http://schemas.microsoft.com/office/drawing/2010/main" Requires="a14">
      <xdr:twoCellAnchor editAs="oneCell">
        <xdr:from>
          <xdr:col>2</xdr:col>
          <xdr:colOff>53340</xdr:colOff>
          <xdr:row>47</xdr:row>
          <xdr:rowOff>83820</xdr:rowOff>
        </xdr:from>
        <xdr:to>
          <xdr:col>7</xdr:col>
          <xdr:colOff>121920</xdr:colOff>
          <xdr:row>49</xdr:row>
          <xdr:rowOff>60960</xdr:rowOff>
        </xdr:to>
        <xdr:sp macro="" textlink="">
          <xdr:nvSpPr>
            <xdr:cNvPr id="1200131" name="Check Box 3" hidden="1">
              <a:extLst>
                <a:ext uri="{63B3BB69-23CF-44E3-9099-C40C66FF867C}">
                  <a14:compatExt spid="_x0000_s1200131"/>
                </a:ext>
                <a:ext uri="{FF2B5EF4-FFF2-40B4-BE49-F238E27FC236}">
                  <a16:creationId xmlns:a16="http://schemas.microsoft.com/office/drawing/2014/main" id="{00000000-0008-0000-1500-00000350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58</xdr:row>
          <xdr:rowOff>30480</xdr:rowOff>
        </xdr:from>
        <xdr:to>
          <xdr:col>13</xdr:col>
          <xdr:colOff>0</xdr:colOff>
          <xdr:row>59</xdr:row>
          <xdr:rowOff>45720</xdr:rowOff>
        </xdr:to>
        <xdr:sp macro="" textlink="">
          <xdr:nvSpPr>
            <xdr:cNvPr id="1200132" name="Check Box 4" hidden="1">
              <a:extLst>
                <a:ext uri="{63B3BB69-23CF-44E3-9099-C40C66FF867C}">
                  <a14:compatExt spid="_x0000_s1200132"/>
                </a:ext>
                <a:ext uri="{FF2B5EF4-FFF2-40B4-BE49-F238E27FC236}">
                  <a16:creationId xmlns:a16="http://schemas.microsoft.com/office/drawing/2014/main" id="{00000000-0008-0000-1500-00000450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 (explain/justify)</a:t>
              </a:r>
            </a:p>
          </xdr:txBody>
        </xdr:sp>
        <xdr:clientData/>
      </xdr:twoCellAnchor>
    </mc:Choice>
    <mc:Fallback/>
  </mc:AlternateContent>
  <xdr:twoCellAnchor>
    <xdr:from>
      <xdr:col>20</xdr:col>
      <xdr:colOff>516374</xdr:colOff>
      <xdr:row>72</xdr:row>
      <xdr:rowOff>155366</xdr:rowOff>
    </xdr:from>
    <xdr:to>
      <xdr:col>22</xdr:col>
      <xdr:colOff>363437</xdr:colOff>
      <xdr:row>75</xdr:row>
      <xdr:rowOff>84670</xdr:rowOff>
    </xdr:to>
    <xdr:pic>
      <xdr:nvPicPr>
        <xdr:cNvPr id="3" name="Picture 2" descr="C:\Users\lbasham\AppData\Local\Microsoft\Windows\Temporary Internet Files\Content.Outlook\AMGT183Z\1-MM-Standard-logo-small.jpg">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17974" y="12956966"/>
          <a:ext cx="1127223" cy="47794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10</xdr:col>
          <xdr:colOff>60960</xdr:colOff>
          <xdr:row>3</xdr:row>
          <xdr:rowOff>213360</xdr:rowOff>
        </xdr:from>
        <xdr:to>
          <xdr:col>10</xdr:col>
          <xdr:colOff>266700</xdr:colOff>
          <xdr:row>3</xdr:row>
          <xdr:rowOff>403860</xdr:rowOff>
        </xdr:to>
        <xdr:sp macro="" textlink="">
          <xdr:nvSpPr>
            <xdr:cNvPr id="1200140" name="Check Box 12" hidden="1">
              <a:extLst>
                <a:ext uri="{63B3BB69-23CF-44E3-9099-C40C66FF867C}">
                  <a14:compatExt spid="_x0000_s1200140"/>
                </a:ext>
                <a:ext uri="{FF2B5EF4-FFF2-40B4-BE49-F238E27FC236}">
                  <a16:creationId xmlns:a16="http://schemas.microsoft.com/office/drawing/2014/main" id="{00000000-0008-0000-1500-00000C50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3</xdr:row>
          <xdr:rowOff>15240</xdr:rowOff>
        </xdr:from>
        <xdr:to>
          <xdr:col>10</xdr:col>
          <xdr:colOff>266700</xdr:colOff>
          <xdr:row>3</xdr:row>
          <xdr:rowOff>205740</xdr:rowOff>
        </xdr:to>
        <xdr:sp macro="" textlink="">
          <xdr:nvSpPr>
            <xdr:cNvPr id="1200141" name="Check Box 13" hidden="1">
              <a:extLst>
                <a:ext uri="{63B3BB69-23CF-44E3-9099-C40C66FF867C}">
                  <a14:compatExt spid="_x0000_s1200141"/>
                </a:ext>
                <a:ext uri="{FF2B5EF4-FFF2-40B4-BE49-F238E27FC236}">
                  <a16:creationId xmlns:a16="http://schemas.microsoft.com/office/drawing/2014/main" id="{00000000-0008-0000-1500-00000D50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0</xdr:row>
          <xdr:rowOff>0</xdr:rowOff>
        </xdr:from>
        <xdr:to>
          <xdr:col>2</xdr:col>
          <xdr:colOff>53340</xdr:colOff>
          <xdr:row>1</xdr:row>
          <xdr:rowOff>99060</xdr:rowOff>
        </xdr:to>
        <xdr:sp macro="" textlink="">
          <xdr:nvSpPr>
            <xdr:cNvPr id="1200142" name="Button 14" hidden="1">
              <a:extLst>
                <a:ext uri="{63B3BB69-23CF-44E3-9099-C40C66FF867C}">
                  <a14:compatExt spid="_x0000_s1200142"/>
                </a:ext>
                <a:ext uri="{FF2B5EF4-FFF2-40B4-BE49-F238E27FC236}">
                  <a16:creationId xmlns:a16="http://schemas.microsoft.com/office/drawing/2014/main" id="{00000000-0008-0000-1500-00000E501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434340</xdr:colOff>
          <xdr:row>1</xdr:row>
          <xdr:rowOff>99060</xdr:rowOff>
        </xdr:to>
        <xdr:sp macro="" textlink="">
          <xdr:nvSpPr>
            <xdr:cNvPr id="1200143" name="Button 15" hidden="1">
              <a:extLst>
                <a:ext uri="{63B3BB69-23CF-44E3-9099-C40C66FF867C}">
                  <a14:compatExt spid="_x0000_s1200143"/>
                </a:ext>
                <a:ext uri="{FF2B5EF4-FFF2-40B4-BE49-F238E27FC236}">
                  <a16:creationId xmlns:a16="http://schemas.microsoft.com/office/drawing/2014/main" id="{00000000-0008-0000-1500-00000F5012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106680</xdr:colOff>
          <xdr:row>0</xdr:row>
          <xdr:rowOff>0</xdr:rowOff>
        </xdr:from>
        <xdr:to>
          <xdr:col>3</xdr:col>
          <xdr:colOff>259080</xdr:colOff>
          <xdr:row>1</xdr:row>
          <xdr:rowOff>99060</xdr:rowOff>
        </xdr:to>
        <xdr:sp macro="" textlink="">
          <xdr:nvSpPr>
            <xdr:cNvPr id="1200144" name="Button 16" hidden="1">
              <a:extLst>
                <a:ext uri="{63B3BB69-23CF-44E3-9099-C40C66FF867C}">
                  <a14:compatExt spid="_x0000_s1200144"/>
                </a:ext>
                <a:ext uri="{FF2B5EF4-FFF2-40B4-BE49-F238E27FC236}">
                  <a16:creationId xmlns:a16="http://schemas.microsoft.com/office/drawing/2014/main" id="{00000000-0008-0000-1500-000010501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144780</xdr:rowOff>
        </xdr:from>
        <xdr:to>
          <xdr:col>1</xdr:col>
          <xdr:colOff>381000</xdr:colOff>
          <xdr:row>1</xdr:row>
          <xdr:rowOff>441960</xdr:rowOff>
        </xdr:to>
        <xdr:sp macro="" textlink="">
          <xdr:nvSpPr>
            <xdr:cNvPr id="1200145" name="Button 17" hidden="1">
              <a:extLst>
                <a:ext uri="{63B3BB69-23CF-44E3-9099-C40C66FF867C}">
                  <a14:compatExt spid="_x0000_s1200145"/>
                </a:ext>
                <a:ext uri="{FF2B5EF4-FFF2-40B4-BE49-F238E27FC236}">
                  <a16:creationId xmlns:a16="http://schemas.microsoft.com/office/drawing/2014/main" id="{00000000-0008-0000-1500-000011501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22860</xdr:rowOff>
        </xdr:from>
        <xdr:to>
          <xdr:col>0</xdr:col>
          <xdr:colOff>152400</xdr:colOff>
          <xdr:row>60</xdr:row>
          <xdr:rowOff>38100</xdr:rowOff>
        </xdr:to>
        <xdr:sp macro="" textlink="">
          <xdr:nvSpPr>
            <xdr:cNvPr id="1200146" name="Check Box 18" hidden="1">
              <a:extLst>
                <a:ext uri="{63B3BB69-23CF-44E3-9099-C40C66FF867C}">
                  <a14:compatExt spid="_x0000_s1200146"/>
                </a:ext>
                <a:ext uri="{FF2B5EF4-FFF2-40B4-BE49-F238E27FC236}">
                  <a16:creationId xmlns:a16="http://schemas.microsoft.com/office/drawing/2014/main" id="{00000000-0008-0000-1500-00001250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oneCellAnchor>
    <xdr:from>
      <xdr:col>6</xdr:col>
      <xdr:colOff>369897</xdr:colOff>
      <xdr:row>71</xdr:row>
      <xdr:rowOff>5927</xdr:rowOff>
    </xdr:from>
    <xdr:ext cx="1135853" cy="505884"/>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16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84030" y="13010727"/>
          <a:ext cx="1135853" cy="505884"/>
        </a:xfrm>
        <a:prstGeom prst="rect">
          <a:avLst/>
        </a:prstGeom>
        <a:noFill/>
        <a:ln>
          <a:noFill/>
        </a:ln>
      </xdr:spPr>
    </xdr:pic>
    <xdr:clientData/>
  </xdr:oneCellAnchor>
  <mc:AlternateContent xmlns:mc="http://schemas.openxmlformats.org/markup-compatibility/2006">
    <mc:Choice xmlns:a14="http://schemas.microsoft.com/office/drawing/2010/main" Requires="a14">
      <xdr:twoCellAnchor editAs="oneCell">
        <xdr:from>
          <xdr:col>2</xdr:col>
          <xdr:colOff>45720</xdr:colOff>
          <xdr:row>44</xdr:row>
          <xdr:rowOff>106680</xdr:rowOff>
        </xdr:from>
        <xdr:to>
          <xdr:col>7</xdr:col>
          <xdr:colOff>480060</xdr:colOff>
          <xdr:row>46</xdr:row>
          <xdr:rowOff>68580</xdr:rowOff>
        </xdr:to>
        <xdr:sp macro="" textlink="">
          <xdr:nvSpPr>
            <xdr:cNvPr id="1201155" name="Check Box 3" hidden="1">
              <a:extLst>
                <a:ext uri="{63B3BB69-23CF-44E3-9099-C40C66FF867C}">
                  <a14:compatExt spid="_x0000_s1201155"/>
                </a:ext>
                <a:ext uri="{FF2B5EF4-FFF2-40B4-BE49-F238E27FC236}">
                  <a16:creationId xmlns:a16="http://schemas.microsoft.com/office/drawing/2014/main" id="{00000000-0008-0000-1600-0000035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55</xdr:row>
          <xdr:rowOff>22860</xdr:rowOff>
        </xdr:from>
        <xdr:to>
          <xdr:col>13</xdr:col>
          <xdr:colOff>0</xdr:colOff>
          <xdr:row>56</xdr:row>
          <xdr:rowOff>22860</xdr:rowOff>
        </xdr:to>
        <xdr:sp macro="" textlink="">
          <xdr:nvSpPr>
            <xdr:cNvPr id="1201156" name="Check Box 4" hidden="1">
              <a:extLst>
                <a:ext uri="{63B3BB69-23CF-44E3-9099-C40C66FF867C}">
                  <a14:compatExt spid="_x0000_s1201156"/>
                </a:ext>
                <a:ext uri="{FF2B5EF4-FFF2-40B4-BE49-F238E27FC236}">
                  <a16:creationId xmlns:a16="http://schemas.microsoft.com/office/drawing/2014/main" id="{00000000-0008-0000-1600-0000045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 (explain/justify)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xdr:colOff>
          <xdr:row>3</xdr:row>
          <xdr:rowOff>213360</xdr:rowOff>
        </xdr:from>
        <xdr:to>
          <xdr:col>10</xdr:col>
          <xdr:colOff>281940</xdr:colOff>
          <xdr:row>3</xdr:row>
          <xdr:rowOff>403860</xdr:rowOff>
        </xdr:to>
        <xdr:sp macro="" textlink="">
          <xdr:nvSpPr>
            <xdr:cNvPr id="1201164" name="Check Box 12" hidden="1">
              <a:extLst>
                <a:ext uri="{63B3BB69-23CF-44E3-9099-C40C66FF867C}">
                  <a14:compatExt spid="_x0000_s1201164"/>
                </a:ext>
                <a:ext uri="{FF2B5EF4-FFF2-40B4-BE49-F238E27FC236}">
                  <a16:creationId xmlns:a16="http://schemas.microsoft.com/office/drawing/2014/main" id="{00000000-0008-0000-1600-00000C5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xdr:colOff>
          <xdr:row>3</xdr:row>
          <xdr:rowOff>15240</xdr:rowOff>
        </xdr:from>
        <xdr:to>
          <xdr:col>10</xdr:col>
          <xdr:colOff>281940</xdr:colOff>
          <xdr:row>3</xdr:row>
          <xdr:rowOff>213360</xdr:rowOff>
        </xdr:to>
        <xdr:sp macro="" textlink="">
          <xdr:nvSpPr>
            <xdr:cNvPr id="1201165" name="Check Box 13" hidden="1">
              <a:extLst>
                <a:ext uri="{63B3BB69-23CF-44E3-9099-C40C66FF867C}">
                  <a14:compatExt spid="_x0000_s1201165"/>
                </a:ext>
                <a:ext uri="{FF2B5EF4-FFF2-40B4-BE49-F238E27FC236}">
                  <a16:creationId xmlns:a16="http://schemas.microsoft.com/office/drawing/2014/main" id="{00000000-0008-0000-1600-00000D5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20</xdr:col>
      <xdr:colOff>245534</xdr:colOff>
      <xdr:row>70</xdr:row>
      <xdr:rowOff>186265</xdr:rowOff>
    </xdr:from>
    <xdr:to>
      <xdr:col>22</xdr:col>
      <xdr:colOff>119854</xdr:colOff>
      <xdr:row>73</xdr:row>
      <xdr:rowOff>107949</xdr:rowOff>
    </xdr:to>
    <xdr:pic>
      <xdr:nvPicPr>
        <xdr:cNvPr id="3" name="Picture 2" descr="C:\Users\lbasham\AppData\Local\Microsoft\Windows\Temporary Internet Files\Content.Outlook\AMGT183Z\1-MM-Standard-logo-small.jpg">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047134" y="12622105"/>
          <a:ext cx="1154480" cy="47032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106680</xdr:colOff>
          <xdr:row>0</xdr:row>
          <xdr:rowOff>7620</xdr:rowOff>
        </xdr:from>
        <xdr:to>
          <xdr:col>2</xdr:col>
          <xdr:colOff>106680</xdr:colOff>
          <xdr:row>1</xdr:row>
          <xdr:rowOff>114300</xdr:rowOff>
        </xdr:to>
        <xdr:sp macro="" textlink="">
          <xdr:nvSpPr>
            <xdr:cNvPr id="1201166" name="Button 14" hidden="1">
              <a:extLst>
                <a:ext uri="{63B3BB69-23CF-44E3-9099-C40C66FF867C}">
                  <a14:compatExt spid="_x0000_s1201166"/>
                </a:ext>
                <a:ext uri="{FF2B5EF4-FFF2-40B4-BE49-F238E27FC236}">
                  <a16:creationId xmlns:a16="http://schemas.microsoft.com/office/drawing/2014/main" id="{00000000-0008-0000-1600-00000E541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0</xdr:row>
          <xdr:rowOff>7620</xdr:rowOff>
        </xdr:from>
        <xdr:to>
          <xdr:col>1</xdr:col>
          <xdr:colOff>53340</xdr:colOff>
          <xdr:row>1</xdr:row>
          <xdr:rowOff>114300</xdr:rowOff>
        </xdr:to>
        <xdr:sp macro="" textlink="">
          <xdr:nvSpPr>
            <xdr:cNvPr id="1201167" name="Button 15" hidden="1">
              <a:extLst>
                <a:ext uri="{63B3BB69-23CF-44E3-9099-C40C66FF867C}">
                  <a14:compatExt spid="_x0000_s1201167"/>
                </a:ext>
                <a:ext uri="{FF2B5EF4-FFF2-40B4-BE49-F238E27FC236}">
                  <a16:creationId xmlns:a16="http://schemas.microsoft.com/office/drawing/2014/main" id="{00000000-0008-0000-1600-00000F5412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160020</xdr:colOff>
          <xdr:row>0</xdr:row>
          <xdr:rowOff>7620</xdr:rowOff>
        </xdr:from>
        <xdr:to>
          <xdr:col>3</xdr:col>
          <xdr:colOff>304800</xdr:colOff>
          <xdr:row>1</xdr:row>
          <xdr:rowOff>114300</xdr:rowOff>
        </xdr:to>
        <xdr:sp macro="" textlink="">
          <xdr:nvSpPr>
            <xdr:cNvPr id="1201168" name="Button 16" hidden="1">
              <a:extLst>
                <a:ext uri="{63B3BB69-23CF-44E3-9099-C40C66FF867C}">
                  <a14:compatExt spid="_x0000_s1201168"/>
                </a:ext>
                <a:ext uri="{FF2B5EF4-FFF2-40B4-BE49-F238E27FC236}">
                  <a16:creationId xmlns:a16="http://schemas.microsoft.com/office/drawing/2014/main" id="{00000000-0008-0000-1600-000010541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xdr:colOff>
          <xdr:row>1</xdr:row>
          <xdr:rowOff>160020</xdr:rowOff>
        </xdr:from>
        <xdr:to>
          <xdr:col>2</xdr:col>
          <xdr:colOff>15240</xdr:colOff>
          <xdr:row>1</xdr:row>
          <xdr:rowOff>457200</xdr:rowOff>
        </xdr:to>
        <xdr:sp macro="" textlink="">
          <xdr:nvSpPr>
            <xdr:cNvPr id="1201169" name="Button 17" hidden="1">
              <a:extLst>
                <a:ext uri="{63B3BB69-23CF-44E3-9099-C40C66FF867C}">
                  <a14:compatExt spid="_x0000_s1201169"/>
                </a:ext>
                <a:ext uri="{FF2B5EF4-FFF2-40B4-BE49-F238E27FC236}">
                  <a16:creationId xmlns:a16="http://schemas.microsoft.com/office/drawing/2014/main" id="{00000000-0008-0000-1600-000011541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22860</xdr:rowOff>
        </xdr:from>
        <xdr:to>
          <xdr:col>0</xdr:col>
          <xdr:colOff>152400</xdr:colOff>
          <xdr:row>58</xdr:row>
          <xdr:rowOff>15240</xdr:rowOff>
        </xdr:to>
        <xdr:sp macro="" textlink="">
          <xdr:nvSpPr>
            <xdr:cNvPr id="1201170" name="Check Box 18" hidden="1">
              <a:extLst>
                <a:ext uri="{63B3BB69-23CF-44E3-9099-C40C66FF867C}">
                  <a14:compatExt spid="_x0000_s1201170"/>
                </a:ext>
                <a:ext uri="{FF2B5EF4-FFF2-40B4-BE49-F238E27FC236}">
                  <a16:creationId xmlns:a16="http://schemas.microsoft.com/office/drawing/2014/main" id="{00000000-0008-0000-1600-00001254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6</xdr:col>
      <xdr:colOff>39692</xdr:colOff>
      <xdr:row>65</xdr:row>
      <xdr:rowOff>160870</xdr:rowOff>
    </xdr:from>
    <xdr:to>
      <xdr:col>8</xdr:col>
      <xdr:colOff>18786</xdr:colOff>
      <xdr:row>67</xdr:row>
      <xdr:rowOff>282579</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17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87692" y="12014203"/>
          <a:ext cx="1162735" cy="50165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2</xdr:col>
          <xdr:colOff>60960</xdr:colOff>
          <xdr:row>39</xdr:row>
          <xdr:rowOff>68580</xdr:rowOff>
        </xdr:from>
        <xdr:to>
          <xdr:col>7</xdr:col>
          <xdr:colOff>426720</xdr:colOff>
          <xdr:row>41</xdr:row>
          <xdr:rowOff>60960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17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36</xdr:row>
          <xdr:rowOff>30480</xdr:rowOff>
        </xdr:from>
        <xdr:to>
          <xdr:col>11</xdr:col>
          <xdr:colOff>457200</xdr:colOff>
          <xdr:row>37</xdr:row>
          <xdr:rowOff>160020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17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50</xdr:row>
          <xdr:rowOff>30480</xdr:rowOff>
        </xdr:from>
        <xdr:to>
          <xdr:col>13</xdr:col>
          <xdr:colOff>0</xdr:colOff>
          <xdr:row>51</xdr:row>
          <xdr:rowOff>7620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17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 (explain/justify)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9</xdr:row>
          <xdr:rowOff>0</xdr:rowOff>
        </xdr:from>
        <xdr:to>
          <xdr:col>6</xdr:col>
          <xdr:colOff>609600</xdr:colOff>
          <xdr:row>10</xdr:row>
          <xdr:rowOff>0</xdr:rowOff>
        </xdr:to>
        <xdr:sp macro="" textlink="">
          <xdr:nvSpPr>
            <xdr:cNvPr id="9222" name="Option Button 6" hidden="1">
              <a:extLst>
                <a:ext uri="{63B3BB69-23CF-44E3-9099-C40C66FF867C}">
                  <a14:compatExt spid="_x0000_s9222"/>
                </a:ext>
                <a:ext uri="{FF2B5EF4-FFF2-40B4-BE49-F238E27FC236}">
                  <a16:creationId xmlns:a16="http://schemas.microsoft.com/office/drawing/2014/main" id="{00000000-0008-0000-1700-00000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10</xdr:row>
          <xdr:rowOff>0</xdr:rowOff>
        </xdr:from>
        <xdr:to>
          <xdr:col>6</xdr:col>
          <xdr:colOff>601980</xdr:colOff>
          <xdr:row>11</xdr:row>
          <xdr:rowOff>0</xdr:rowOff>
        </xdr:to>
        <xdr:sp macro="" textlink="">
          <xdr:nvSpPr>
            <xdr:cNvPr id="9223" name="Option Button 7" hidden="1">
              <a:extLst>
                <a:ext uri="{63B3BB69-23CF-44E3-9099-C40C66FF867C}">
                  <a14:compatExt spid="_x0000_s9223"/>
                </a:ext>
                <a:ext uri="{FF2B5EF4-FFF2-40B4-BE49-F238E27FC236}">
                  <a16:creationId xmlns:a16="http://schemas.microsoft.com/office/drawing/2014/main" id="{00000000-0008-0000-1700-00000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xdr:colOff>
          <xdr:row>3</xdr:row>
          <xdr:rowOff>198120</xdr:rowOff>
        </xdr:from>
        <xdr:to>
          <xdr:col>10</xdr:col>
          <xdr:colOff>281940</xdr:colOff>
          <xdr:row>3</xdr:row>
          <xdr:rowOff>388620</xdr:rowOff>
        </xdr:to>
        <xdr:sp macro="" textlink="">
          <xdr:nvSpPr>
            <xdr:cNvPr id="9250" name="Check Box 34" hidden="1">
              <a:extLst>
                <a:ext uri="{63B3BB69-23CF-44E3-9099-C40C66FF867C}">
                  <a14:compatExt spid="_x0000_s9250"/>
                </a:ext>
                <a:ext uri="{FF2B5EF4-FFF2-40B4-BE49-F238E27FC236}">
                  <a16:creationId xmlns:a16="http://schemas.microsoft.com/office/drawing/2014/main" id="{00000000-0008-0000-1700-00002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xdr:colOff>
          <xdr:row>3</xdr:row>
          <xdr:rowOff>7620</xdr:rowOff>
        </xdr:from>
        <xdr:to>
          <xdr:col>10</xdr:col>
          <xdr:colOff>281940</xdr:colOff>
          <xdr:row>3</xdr:row>
          <xdr:rowOff>205740</xdr:rowOff>
        </xdr:to>
        <xdr:sp macro="" textlink="">
          <xdr:nvSpPr>
            <xdr:cNvPr id="9251" name="Check Box 35" hidden="1">
              <a:extLst>
                <a:ext uri="{63B3BB69-23CF-44E3-9099-C40C66FF867C}">
                  <a14:compatExt spid="_x0000_s9251"/>
                </a:ext>
                <a:ext uri="{FF2B5EF4-FFF2-40B4-BE49-F238E27FC236}">
                  <a16:creationId xmlns:a16="http://schemas.microsoft.com/office/drawing/2014/main" id="{00000000-0008-0000-1700-00002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20</xdr:col>
      <xdr:colOff>372534</xdr:colOff>
      <xdr:row>65</xdr:row>
      <xdr:rowOff>152400</xdr:rowOff>
    </xdr:from>
    <xdr:to>
      <xdr:col>22</xdr:col>
      <xdr:colOff>282203</xdr:colOff>
      <xdr:row>67</xdr:row>
      <xdr:rowOff>264584</xdr:rowOff>
    </xdr:to>
    <xdr:pic>
      <xdr:nvPicPr>
        <xdr:cNvPr id="3" name="Picture 2" descr="C:\Users\lbasham\AppData\Local\Microsoft\Windows\Temporary Internet Files\Content.Outlook\AMGT183Z\1-MM-Standard-logo-small.jpg">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64801" y="12005733"/>
          <a:ext cx="1162735" cy="501651"/>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7620</xdr:rowOff>
        </xdr:from>
        <xdr:to>
          <xdr:col>2</xdr:col>
          <xdr:colOff>53340</xdr:colOff>
          <xdr:row>1</xdr:row>
          <xdr:rowOff>114300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1700-00002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0</xdr:row>
          <xdr:rowOff>7620</xdr:rowOff>
        </xdr:from>
        <xdr:to>
          <xdr:col>0</xdr:col>
          <xdr:colOff>441960</xdr:colOff>
          <xdr:row>1</xdr:row>
          <xdr:rowOff>114300</xdr:rowOff>
        </xdr:to>
        <xdr:sp macro="" textlink="">
          <xdr:nvSpPr>
            <xdr:cNvPr id="9253" name="Button 37" hidden="1">
              <a:extLst>
                <a:ext uri="{63B3BB69-23CF-44E3-9099-C40C66FF867C}">
                  <a14:compatExt spid="_x0000_s9253"/>
                </a:ext>
                <a:ext uri="{FF2B5EF4-FFF2-40B4-BE49-F238E27FC236}">
                  <a16:creationId xmlns:a16="http://schemas.microsoft.com/office/drawing/2014/main" id="{00000000-0008-0000-1700-00002524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106680</xdr:colOff>
          <xdr:row>0</xdr:row>
          <xdr:rowOff>7620</xdr:rowOff>
        </xdr:from>
        <xdr:to>
          <xdr:col>3</xdr:col>
          <xdr:colOff>243840</xdr:colOff>
          <xdr:row>1</xdr:row>
          <xdr:rowOff>114300</xdr:rowOff>
        </xdr:to>
        <xdr:sp macro="" textlink="">
          <xdr:nvSpPr>
            <xdr:cNvPr id="9254" name="Button 38" hidden="1">
              <a:extLst>
                <a:ext uri="{63B3BB69-23CF-44E3-9099-C40C66FF867C}">
                  <a14:compatExt spid="_x0000_s9254"/>
                </a:ext>
                <a:ext uri="{FF2B5EF4-FFF2-40B4-BE49-F238E27FC236}">
                  <a16:creationId xmlns:a16="http://schemas.microsoft.com/office/drawing/2014/main" id="{00000000-0008-0000-1700-00002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xdr:colOff>
          <xdr:row>1</xdr:row>
          <xdr:rowOff>160020</xdr:rowOff>
        </xdr:from>
        <xdr:to>
          <xdr:col>1</xdr:col>
          <xdr:colOff>381000</xdr:colOff>
          <xdr:row>1</xdr:row>
          <xdr:rowOff>457200</xdr:rowOff>
        </xdr:to>
        <xdr:sp macro="" textlink="">
          <xdr:nvSpPr>
            <xdr:cNvPr id="9255" name="Button 39" hidden="1">
              <a:extLst>
                <a:ext uri="{63B3BB69-23CF-44E3-9099-C40C66FF867C}">
                  <a14:compatExt spid="_x0000_s9255"/>
                </a:ext>
                <a:ext uri="{FF2B5EF4-FFF2-40B4-BE49-F238E27FC236}">
                  <a16:creationId xmlns:a16="http://schemas.microsoft.com/office/drawing/2014/main" id="{00000000-0008-0000-1700-000027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38100</xdr:rowOff>
        </xdr:from>
        <xdr:to>
          <xdr:col>0</xdr:col>
          <xdr:colOff>152400</xdr:colOff>
          <xdr:row>52</xdr:row>
          <xdr:rowOff>22860</xdr:rowOff>
        </xdr:to>
        <xdr:sp macro="" textlink="">
          <xdr:nvSpPr>
            <xdr:cNvPr id="9256" name="Check Box 40" hidden="1">
              <a:extLst>
                <a:ext uri="{63B3BB69-23CF-44E3-9099-C40C66FF867C}">
                  <a14:compatExt spid="_x0000_s9256"/>
                </a:ext>
                <a:ext uri="{FF2B5EF4-FFF2-40B4-BE49-F238E27FC236}">
                  <a16:creationId xmlns:a16="http://schemas.microsoft.com/office/drawing/2014/main" id="{00000000-0008-0000-1700-000028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6</xdr:col>
      <xdr:colOff>65091</xdr:colOff>
      <xdr:row>65</xdr:row>
      <xdr:rowOff>161710</xdr:rowOff>
    </xdr:from>
    <xdr:to>
      <xdr:col>9</xdr:col>
      <xdr:colOff>96679</xdr:colOff>
      <xdr:row>68</xdr:row>
      <xdr:rowOff>94613</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18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87691" y="11921910"/>
          <a:ext cx="1127386" cy="51350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2</xdr:col>
          <xdr:colOff>45720</xdr:colOff>
          <xdr:row>20</xdr:row>
          <xdr:rowOff>53340</xdr:rowOff>
        </xdr:from>
        <xdr:to>
          <xdr:col>7</xdr:col>
          <xdr:colOff>76200</xdr:colOff>
          <xdr:row>22</xdr:row>
          <xdr:rowOff>76200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18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31</xdr:row>
          <xdr:rowOff>22860</xdr:rowOff>
        </xdr:from>
        <xdr:to>
          <xdr:col>13</xdr:col>
          <xdr:colOff>0</xdr:colOff>
          <xdr:row>32</xdr:row>
          <xdr:rowOff>22860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18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Omit (explain/justify)</a:t>
              </a:r>
            </a:p>
          </xdr:txBody>
        </xdr:sp>
        <xdr:clientData/>
      </xdr:twoCellAnchor>
    </mc:Choice>
    <mc:Fallback/>
  </mc:AlternateContent>
  <xdr:twoCellAnchor>
    <xdr:from>
      <xdr:col>20</xdr:col>
      <xdr:colOff>452873</xdr:colOff>
      <xdr:row>65</xdr:row>
      <xdr:rowOff>191336</xdr:rowOff>
    </xdr:from>
    <xdr:to>
      <xdr:col>22</xdr:col>
      <xdr:colOff>299936</xdr:colOff>
      <xdr:row>68</xdr:row>
      <xdr:rowOff>107514</xdr:rowOff>
    </xdr:to>
    <xdr:pic>
      <xdr:nvPicPr>
        <xdr:cNvPr id="6" name="Picture 5" descr="C:\Users\lbasham\AppData\Local\Microsoft\Windows\Temporary Internet Files\Content.Outlook\AMGT183Z\1-MM-Standard-logo-small.jpg">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325006" y="11951536"/>
          <a:ext cx="1100130" cy="48344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10</xdr:col>
          <xdr:colOff>60960</xdr:colOff>
          <xdr:row>3</xdr:row>
          <xdr:rowOff>205740</xdr:rowOff>
        </xdr:from>
        <xdr:to>
          <xdr:col>10</xdr:col>
          <xdr:colOff>274320</xdr:colOff>
          <xdr:row>3</xdr:row>
          <xdr:rowOff>396240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18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3</xdr:row>
          <xdr:rowOff>7620</xdr:rowOff>
        </xdr:from>
        <xdr:to>
          <xdr:col>10</xdr:col>
          <xdr:colOff>274320</xdr:colOff>
          <xdr:row>3</xdr:row>
          <xdr:rowOff>205740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18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53340</xdr:colOff>
          <xdr:row>0</xdr:row>
          <xdr:rowOff>7620</xdr:rowOff>
        </xdr:from>
        <xdr:to>
          <xdr:col>2</xdr:col>
          <xdr:colOff>53340</xdr:colOff>
          <xdr:row>1</xdr:row>
          <xdr:rowOff>114300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1800-00001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0</xdr:col>
          <xdr:colOff>434340</xdr:colOff>
          <xdr:row>1</xdr:row>
          <xdr:rowOff>114300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1800-00001118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106680</xdr:colOff>
          <xdr:row>0</xdr:row>
          <xdr:rowOff>7620</xdr:rowOff>
        </xdr:from>
        <xdr:to>
          <xdr:col>3</xdr:col>
          <xdr:colOff>243840</xdr:colOff>
          <xdr:row>1</xdr:row>
          <xdr:rowOff>114300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1800-00001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160020</xdr:rowOff>
        </xdr:from>
        <xdr:to>
          <xdr:col>1</xdr:col>
          <xdr:colOff>396240</xdr:colOff>
          <xdr:row>1</xdr:row>
          <xdr:rowOff>457200</xdr:rowOff>
        </xdr:to>
        <xdr:sp macro="" textlink="">
          <xdr:nvSpPr>
            <xdr:cNvPr id="6163" name="Button 19" hidden="1">
              <a:extLst>
                <a:ext uri="{63B3BB69-23CF-44E3-9099-C40C66FF867C}">
                  <a14:compatExt spid="_x0000_s6163"/>
                </a:ext>
                <a:ext uri="{FF2B5EF4-FFF2-40B4-BE49-F238E27FC236}">
                  <a16:creationId xmlns:a16="http://schemas.microsoft.com/office/drawing/2014/main" id="{00000000-0008-0000-1800-00001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22860</xdr:rowOff>
        </xdr:from>
        <xdr:to>
          <xdr:col>0</xdr:col>
          <xdr:colOff>152400</xdr:colOff>
          <xdr:row>33</xdr:row>
          <xdr:rowOff>15240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18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6</xdr:col>
      <xdr:colOff>124891</xdr:colOff>
      <xdr:row>76</xdr:row>
      <xdr:rowOff>21166</xdr:rowOff>
    </xdr:from>
    <xdr:to>
      <xdr:col>8</xdr:col>
      <xdr:colOff>396514</xdr:colOff>
      <xdr:row>78</xdr:row>
      <xdr:rowOff>129963</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19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8424" y="13550899"/>
          <a:ext cx="1101357" cy="49826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1</xdr:col>
          <xdr:colOff>15240</xdr:colOff>
          <xdr:row>36</xdr:row>
          <xdr:rowOff>68580</xdr:rowOff>
        </xdr:from>
        <xdr:to>
          <xdr:col>7</xdr:col>
          <xdr:colOff>327660</xdr:colOff>
          <xdr:row>38</xdr:row>
          <xdr:rowOff>45720</xdr:rowOff>
        </xdr:to>
        <xdr:sp macro="" textlink="">
          <xdr:nvSpPr>
            <xdr:cNvPr id="815105" name="Check Box 1" hidden="1">
              <a:extLst>
                <a:ext uri="{63B3BB69-23CF-44E3-9099-C40C66FF867C}">
                  <a14:compatExt spid="_x0000_s815105"/>
                </a:ext>
                <a:ext uri="{FF2B5EF4-FFF2-40B4-BE49-F238E27FC236}">
                  <a16:creationId xmlns:a16="http://schemas.microsoft.com/office/drawing/2014/main" id="{00000000-0008-0000-1900-00000170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304800</xdr:colOff>
          <xdr:row>6</xdr:row>
          <xdr:rowOff>0</xdr:rowOff>
        </xdr:from>
        <xdr:to>
          <xdr:col>10</xdr:col>
          <xdr:colOff>441960</xdr:colOff>
          <xdr:row>7</xdr:row>
          <xdr:rowOff>0</xdr:rowOff>
        </xdr:to>
        <xdr:sp macro="" textlink="">
          <xdr:nvSpPr>
            <xdr:cNvPr id="815107" name="Option Button 3" hidden="1">
              <a:extLst>
                <a:ext uri="{63B3BB69-23CF-44E3-9099-C40C66FF867C}">
                  <a14:compatExt spid="_x0000_s815107"/>
                </a:ext>
                <a:ext uri="{FF2B5EF4-FFF2-40B4-BE49-F238E27FC236}">
                  <a16:creationId xmlns:a16="http://schemas.microsoft.com/office/drawing/2014/main" id="{00000000-0008-0000-1900-00000370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327660</xdr:colOff>
          <xdr:row>6</xdr:row>
          <xdr:rowOff>0</xdr:rowOff>
        </xdr:from>
        <xdr:to>
          <xdr:col>15</xdr:col>
          <xdr:colOff>38100</xdr:colOff>
          <xdr:row>7</xdr:row>
          <xdr:rowOff>0</xdr:rowOff>
        </xdr:to>
        <xdr:sp macro="" textlink="">
          <xdr:nvSpPr>
            <xdr:cNvPr id="815108" name="Option Button 4" hidden="1">
              <a:extLst>
                <a:ext uri="{63B3BB69-23CF-44E3-9099-C40C66FF867C}">
                  <a14:compatExt spid="_x0000_s815108"/>
                </a:ext>
                <a:ext uri="{FF2B5EF4-FFF2-40B4-BE49-F238E27FC236}">
                  <a16:creationId xmlns:a16="http://schemas.microsoft.com/office/drawing/2014/main" id="{00000000-0008-0000-1900-00000470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251461</xdr:colOff>
          <xdr:row>20</xdr:row>
          <xdr:rowOff>3386</xdr:rowOff>
        </xdr:from>
        <xdr:to>
          <xdr:col>13</xdr:col>
          <xdr:colOff>327655</xdr:colOff>
          <xdr:row>48</xdr:row>
          <xdr:rowOff>0</xdr:rowOff>
        </xdr:to>
        <xdr:grpSp>
          <xdr:nvGrpSpPr>
            <xdr:cNvPr id="7" name="Group 6">
              <a:extLst>
                <a:ext uri="{FF2B5EF4-FFF2-40B4-BE49-F238E27FC236}">
                  <a16:creationId xmlns:a16="http://schemas.microsoft.com/office/drawing/2014/main" id="{00000000-0008-0000-1900-000007000000}"/>
                </a:ext>
              </a:extLst>
            </xdr:cNvPr>
            <xdr:cNvGrpSpPr/>
          </xdr:nvGrpSpPr>
          <xdr:grpSpPr>
            <a:xfrm>
              <a:off x="6288194" y="3440853"/>
              <a:ext cx="677328" cy="4695614"/>
              <a:chOff x="6277754" y="3566962"/>
              <a:chExt cx="962635" cy="5041502"/>
            </a:xfrm>
          </xdr:grpSpPr>
          <xdr:sp macro="" textlink="">
            <xdr:nvSpPr>
              <xdr:cNvPr id="815109" name="Option Button 5" hidden="1">
                <a:extLst>
                  <a:ext uri="{63B3BB69-23CF-44E3-9099-C40C66FF867C}">
                    <a14:compatExt spid="_x0000_s815109"/>
                  </a:ext>
                  <a:ext uri="{FF2B5EF4-FFF2-40B4-BE49-F238E27FC236}">
                    <a16:creationId xmlns:a16="http://schemas.microsoft.com/office/drawing/2014/main" id="{00000000-0008-0000-1900-000005700C00}"/>
                  </a:ext>
                </a:extLst>
              </xdr:cNvPr>
              <xdr:cNvSpPr/>
            </xdr:nvSpPr>
            <xdr:spPr bwMode="auto">
              <a:xfrm>
                <a:off x="6277754" y="3566962"/>
                <a:ext cx="932171" cy="20657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815110" name="Option Button 6" hidden="1">
                <a:extLst>
                  <a:ext uri="{63B3BB69-23CF-44E3-9099-C40C66FF867C}">
                    <a14:compatExt spid="_x0000_s815110"/>
                  </a:ext>
                  <a:ext uri="{FF2B5EF4-FFF2-40B4-BE49-F238E27FC236}">
                    <a16:creationId xmlns:a16="http://schemas.microsoft.com/office/drawing/2014/main" id="{00000000-0008-0000-1900-000006700C00}"/>
                  </a:ext>
                </a:extLst>
              </xdr:cNvPr>
              <xdr:cNvSpPr/>
            </xdr:nvSpPr>
            <xdr:spPr bwMode="auto">
              <a:xfrm>
                <a:off x="6973689" y="8394255"/>
                <a:ext cx="266700" cy="21420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358140</xdr:colOff>
          <xdr:row>5</xdr:row>
          <xdr:rowOff>121920</xdr:rowOff>
        </xdr:from>
        <xdr:to>
          <xdr:col>16</xdr:col>
          <xdr:colOff>251460</xdr:colOff>
          <xdr:row>7</xdr:row>
          <xdr:rowOff>7620</xdr:rowOff>
        </xdr:to>
        <xdr:sp macro="" textlink="">
          <xdr:nvSpPr>
            <xdr:cNvPr id="815117" name="Group Box 13" hidden="1">
              <a:extLst>
                <a:ext uri="{63B3BB69-23CF-44E3-9099-C40C66FF867C}">
                  <a14:compatExt spid="_x0000_s815117"/>
                </a:ext>
                <a:ext uri="{FF2B5EF4-FFF2-40B4-BE49-F238E27FC236}">
                  <a16:creationId xmlns:a16="http://schemas.microsoft.com/office/drawing/2014/main" id="{00000000-0008-0000-1900-00000D700C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33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7</xdr:row>
          <xdr:rowOff>15240</xdr:rowOff>
        </xdr:from>
        <xdr:to>
          <xdr:col>16</xdr:col>
          <xdr:colOff>167640</xdr:colOff>
          <xdr:row>8</xdr:row>
          <xdr:rowOff>144780</xdr:rowOff>
        </xdr:to>
        <xdr:sp macro="" textlink="">
          <xdr:nvSpPr>
            <xdr:cNvPr id="815118" name="Group Box 14" hidden="1">
              <a:extLst>
                <a:ext uri="{63B3BB69-23CF-44E3-9099-C40C66FF867C}">
                  <a14:compatExt spid="_x0000_s815118"/>
                </a:ext>
                <a:ext uri="{FF2B5EF4-FFF2-40B4-BE49-F238E27FC236}">
                  <a16:creationId xmlns:a16="http://schemas.microsoft.com/office/drawing/2014/main" id="{00000000-0008-0000-1900-00000E700C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35</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xdr:colOff>
          <xdr:row>0</xdr:row>
          <xdr:rowOff>7620</xdr:rowOff>
        </xdr:from>
        <xdr:to>
          <xdr:col>0</xdr:col>
          <xdr:colOff>441960</xdr:colOff>
          <xdr:row>1</xdr:row>
          <xdr:rowOff>114300</xdr:rowOff>
        </xdr:to>
        <xdr:sp macro="" textlink="">
          <xdr:nvSpPr>
            <xdr:cNvPr id="815126" name="Button 22" hidden="1">
              <a:extLst>
                <a:ext uri="{63B3BB69-23CF-44E3-9099-C40C66FF867C}">
                  <a14:compatExt spid="_x0000_s815126"/>
                </a:ext>
                <a:ext uri="{FF2B5EF4-FFF2-40B4-BE49-F238E27FC236}">
                  <a16:creationId xmlns:a16="http://schemas.microsoft.com/office/drawing/2014/main" id="{00000000-0008-0000-1900-000016700C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502920</xdr:colOff>
          <xdr:row>0</xdr:row>
          <xdr:rowOff>7620</xdr:rowOff>
        </xdr:from>
        <xdr:to>
          <xdr:col>2</xdr:col>
          <xdr:colOff>205740</xdr:colOff>
          <xdr:row>1</xdr:row>
          <xdr:rowOff>114300</xdr:rowOff>
        </xdr:to>
        <xdr:sp macro="" textlink="">
          <xdr:nvSpPr>
            <xdr:cNvPr id="815127" name="Button 23" hidden="1">
              <a:extLst>
                <a:ext uri="{63B3BB69-23CF-44E3-9099-C40C66FF867C}">
                  <a14:compatExt spid="_x0000_s815127"/>
                </a:ext>
                <a:ext uri="{FF2B5EF4-FFF2-40B4-BE49-F238E27FC236}">
                  <a16:creationId xmlns:a16="http://schemas.microsoft.com/office/drawing/2014/main" id="{00000000-0008-0000-1900-0000177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xdr:colOff>
          <xdr:row>1</xdr:row>
          <xdr:rowOff>167640</xdr:rowOff>
        </xdr:from>
        <xdr:to>
          <xdr:col>2</xdr:col>
          <xdr:colOff>99060</xdr:colOff>
          <xdr:row>1</xdr:row>
          <xdr:rowOff>457200</xdr:rowOff>
        </xdr:to>
        <xdr:sp macro="" textlink="">
          <xdr:nvSpPr>
            <xdr:cNvPr id="815128" name="Button 24" hidden="1">
              <a:extLst>
                <a:ext uri="{63B3BB69-23CF-44E3-9099-C40C66FF867C}">
                  <a14:compatExt spid="_x0000_s815128"/>
                </a:ext>
                <a:ext uri="{FF2B5EF4-FFF2-40B4-BE49-F238E27FC236}">
                  <a16:creationId xmlns:a16="http://schemas.microsoft.com/office/drawing/2014/main" id="{00000000-0008-0000-1900-0000187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7</xdr:col>
      <xdr:colOff>57162</xdr:colOff>
      <xdr:row>79</xdr:row>
      <xdr:rowOff>4243</xdr:rowOff>
    </xdr:from>
    <xdr:to>
      <xdr:col>8</xdr:col>
      <xdr:colOff>538542</xdr:colOff>
      <xdr:row>81</xdr:row>
      <xdr:rowOff>133994</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1A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87762" y="13406976"/>
          <a:ext cx="1133313" cy="519218"/>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1</xdr:col>
          <xdr:colOff>15240</xdr:colOff>
          <xdr:row>38</xdr:row>
          <xdr:rowOff>68580</xdr:rowOff>
        </xdr:from>
        <xdr:to>
          <xdr:col>7</xdr:col>
          <xdr:colOff>327660</xdr:colOff>
          <xdr:row>40</xdr:row>
          <xdr:rowOff>45720</xdr:rowOff>
        </xdr:to>
        <xdr:sp macro="" textlink="">
          <xdr:nvSpPr>
            <xdr:cNvPr id="507905" name="Check Box 1" hidden="1">
              <a:extLst>
                <a:ext uri="{63B3BB69-23CF-44E3-9099-C40C66FF867C}">
                  <a14:compatExt spid="_x0000_s507905"/>
                </a:ext>
                <a:ext uri="{FF2B5EF4-FFF2-40B4-BE49-F238E27FC236}">
                  <a16:creationId xmlns:a16="http://schemas.microsoft.com/office/drawing/2014/main" id="{00000000-0008-0000-1A00-000001C0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7</xdr:row>
          <xdr:rowOff>53340</xdr:rowOff>
        </xdr:from>
        <xdr:to>
          <xdr:col>10</xdr:col>
          <xdr:colOff>533400</xdr:colOff>
          <xdr:row>7</xdr:row>
          <xdr:rowOff>220980</xdr:rowOff>
        </xdr:to>
        <xdr:sp macro="" textlink="">
          <xdr:nvSpPr>
            <xdr:cNvPr id="507923" name="Drop Down 19" hidden="1">
              <a:extLst>
                <a:ext uri="{63B3BB69-23CF-44E3-9099-C40C66FF867C}">
                  <a14:compatExt spid="_x0000_s507923"/>
                </a:ext>
                <a:ext uri="{FF2B5EF4-FFF2-40B4-BE49-F238E27FC236}">
                  <a16:creationId xmlns:a16="http://schemas.microsoft.com/office/drawing/2014/main" id="{00000000-0008-0000-1A00-000013C0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160020</xdr:colOff>
          <xdr:row>5</xdr:row>
          <xdr:rowOff>175260</xdr:rowOff>
        </xdr:from>
        <xdr:to>
          <xdr:col>10</xdr:col>
          <xdr:colOff>365760</xdr:colOff>
          <xdr:row>7</xdr:row>
          <xdr:rowOff>0</xdr:rowOff>
        </xdr:to>
        <xdr:sp macro="" textlink="">
          <xdr:nvSpPr>
            <xdr:cNvPr id="507924" name="Option Button 20" hidden="1">
              <a:extLst>
                <a:ext uri="{63B3BB69-23CF-44E3-9099-C40C66FF867C}">
                  <a14:compatExt spid="_x0000_s507924"/>
                </a:ext>
                <a:ext uri="{FF2B5EF4-FFF2-40B4-BE49-F238E27FC236}">
                  <a16:creationId xmlns:a16="http://schemas.microsoft.com/office/drawing/2014/main" id="{00000000-0008-0000-1A00-000014C0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373380</xdr:colOff>
          <xdr:row>5</xdr:row>
          <xdr:rowOff>175260</xdr:rowOff>
        </xdr:from>
        <xdr:to>
          <xdr:col>14</xdr:col>
          <xdr:colOff>441960</xdr:colOff>
          <xdr:row>7</xdr:row>
          <xdr:rowOff>0</xdr:rowOff>
        </xdr:to>
        <xdr:sp macro="" textlink="">
          <xdr:nvSpPr>
            <xdr:cNvPr id="507925" name="Option Button 21" hidden="1">
              <a:extLst>
                <a:ext uri="{63B3BB69-23CF-44E3-9099-C40C66FF867C}">
                  <a14:compatExt spid="_x0000_s507925"/>
                </a:ext>
                <a:ext uri="{FF2B5EF4-FFF2-40B4-BE49-F238E27FC236}">
                  <a16:creationId xmlns:a16="http://schemas.microsoft.com/office/drawing/2014/main" id="{00000000-0008-0000-1A00-000015C0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122767</xdr:colOff>
          <xdr:row>21</xdr:row>
          <xdr:rowOff>113452</xdr:rowOff>
        </xdr:from>
        <xdr:to>
          <xdr:col>12</xdr:col>
          <xdr:colOff>428399</xdr:colOff>
          <xdr:row>49</xdr:row>
          <xdr:rowOff>193042</xdr:rowOff>
        </xdr:to>
        <xdr:grpSp>
          <xdr:nvGrpSpPr>
            <xdr:cNvPr id="3" name="Group 2">
              <a:extLst>
                <a:ext uri="{FF2B5EF4-FFF2-40B4-BE49-F238E27FC236}">
                  <a16:creationId xmlns:a16="http://schemas.microsoft.com/office/drawing/2014/main" id="{00000000-0008-0000-1A00-000003000000}"/>
                </a:ext>
              </a:extLst>
            </xdr:cNvPr>
            <xdr:cNvGrpSpPr/>
          </xdr:nvGrpSpPr>
          <xdr:grpSpPr>
            <a:xfrm>
              <a:off x="6337300" y="3893819"/>
              <a:ext cx="949099" cy="4698156"/>
              <a:chOff x="6286154" y="3560249"/>
              <a:chExt cx="940680" cy="5064983"/>
            </a:xfrm>
          </xdr:grpSpPr>
          <xdr:sp macro="" textlink="">
            <xdr:nvSpPr>
              <xdr:cNvPr id="507926" name="Option Button 22" hidden="1">
                <a:extLst>
                  <a:ext uri="{63B3BB69-23CF-44E3-9099-C40C66FF867C}">
                    <a14:compatExt spid="_x0000_s507926"/>
                  </a:ext>
                  <a:ext uri="{FF2B5EF4-FFF2-40B4-BE49-F238E27FC236}">
                    <a16:creationId xmlns:a16="http://schemas.microsoft.com/office/drawing/2014/main" id="{00000000-0008-0000-1A00-000016C00700}"/>
                  </a:ext>
                </a:extLst>
              </xdr:cNvPr>
              <xdr:cNvSpPr/>
            </xdr:nvSpPr>
            <xdr:spPr bwMode="auto">
              <a:xfrm>
                <a:off x="6286154" y="3560249"/>
                <a:ext cx="932165" cy="20657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507927" name="Option Button 23" hidden="1">
                <a:extLst>
                  <a:ext uri="{63B3BB69-23CF-44E3-9099-C40C66FF867C}">
                    <a14:compatExt spid="_x0000_s507927"/>
                  </a:ext>
                  <a:ext uri="{FF2B5EF4-FFF2-40B4-BE49-F238E27FC236}">
                    <a16:creationId xmlns:a16="http://schemas.microsoft.com/office/drawing/2014/main" id="{00000000-0008-0000-1A00-000017C00700}"/>
                  </a:ext>
                </a:extLst>
              </xdr:cNvPr>
              <xdr:cNvSpPr/>
            </xdr:nvSpPr>
            <xdr:spPr bwMode="auto">
              <a:xfrm>
                <a:off x="6960134" y="8411023"/>
                <a:ext cx="266700" cy="21420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60960</xdr:colOff>
          <xdr:row>7</xdr:row>
          <xdr:rowOff>68580</xdr:rowOff>
        </xdr:from>
        <xdr:to>
          <xdr:col>12</xdr:col>
          <xdr:colOff>518160</xdr:colOff>
          <xdr:row>7</xdr:row>
          <xdr:rowOff>213360</xdr:rowOff>
        </xdr:to>
        <xdr:sp macro="" textlink="">
          <xdr:nvSpPr>
            <xdr:cNvPr id="507933" name="Option Button 29" hidden="1">
              <a:extLst>
                <a:ext uri="{63B3BB69-23CF-44E3-9099-C40C66FF867C}">
                  <a14:compatExt spid="_x0000_s507933"/>
                </a:ext>
                <a:ext uri="{FF2B5EF4-FFF2-40B4-BE49-F238E27FC236}">
                  <a16:creationId xmlns:a16="http://schemas.microsoft.com/office/drawing/2014/main" id="{00000000-0008-0000-1A00-00001DC0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Conv.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7</xdr:row>
          <xdr:rowOff>60960</xdr:rowOff>
        </xdr:from>
        <xdr:to>
          <xdr:col>14</xdr:col>
          <xdr:colOff>525780</xdr:colOff>
          <xdr:row>7</xdr:row>
          <xdr:rowOff>220980</xdr:rowOff>
        </xdr:to>
        <xdr:sp macro="" textlink="">
          <xdr:nvSpPr>
            <xdr:cNvPr id="507934" name="Option Button 30" hidden="1">
              <a:extLst>
                <a:ext uri="{63B3BB69-23CF-44E3-9099-C40C66FF867C}">
                  <a14:compatExt spid="_x0000_s507934"/>
                </a:ext>
                <a:ext uri="{FF2B5EF4-FFF2-40B4-BE49-F238E27FC236}">
                  <a16:creationId xmlns:a16="http://schemas.microsoft.com/office/drawing/2014/main" id="{00000000-0008-0000-1A00-00001EC0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Gov.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358140</xdr:colOff>
          <xdr:row>5</xdr:row>
          <xdr:rowOff>121920</xdr:rowOff>
        </xdr:from>
        <xdr:to>
          <xdr:col>14</xdr:col>
          <xdr:colOff>441960</xdr:colOff>
          <xdr:row>7</xdr:row>
          <xdr:rowOff>7620</xdr:rowOff>
        </xdr:to>
        <xdr:sp macro="" textlink="">
          <xdr:nvSpPr>
            <xdr:cNvPr id="507937" name="Group Box 33" hidden="1">
              <a:extLst>
                <a:ext uri="{63B3BB69-23CF-44E3-9099-C40C66FF867C}">
                  <a14:compatExt spid="_x0000_s507937"/>
                </a:ext>
                <a:ext uri="{FF2B5EF4-FFF2-40B4-BE49-F238E27FC236}">
                  <a16:creationId xmlns:a16="http://schemas.microsoft.com/office/drawing/2014/main" id="{00000000-0008-0000-1A00-000021C0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33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624840</xdr:colOff>
          <xdr:row>7</xdr:row>
          <xdr:rowOff>15240</xdr:rowOff>
        </xdr:from>
        <xdr:to>
          <xdr:col>14</xdr:col>
          <xdr:colOff>609600</xdr:colOff>
          <xdr:row>8</xdr:row>
          <xdr:rowOff>0</xdr:rowOff>
        </xdr:to>
        <xdr:sp macro="" textlink="">
          <xdr:nvSpPr>
            <xdr:cNvPr id="507939" name="Group Box 35" hidden="1">
              <a:extLst>
                <a:ext uri="{63B3BB69-23CF-44E3-9099-C40C66FF867C}">
                  <a14:compatExt spid="_x0000_s507939"/>
                </a:ext>
                <a:ext uri="{FF2B5EF4-FFF2-40B4-BE49-F238E27FC236}">
                  <a16:creationId xmlns:a16="http://schemas.microsoft.com/office/drawing/2014/main" id="{00000000-0008-0000-1A00-000023C0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35</a:t>
              </a:r>
            </a:p>
          </xdr:txBody>
        </xdr:sp>
        <xdr:clientData/>
      </xdr:twoCellAnchor>
    </mc:Choice>
    <mc:Fallback/>
  </mc:AlternateContent>
  <mc:AlternateContent xmlns:mc="http://schemas.openxmlformats.org/markup-compatibility/2006">
    <mc:Choice xmlns:a14="http://schemas.microsoft.com/office/drawing/2010/main" Requires="a14">
      <xdr:twoCellAnchor>
        <xdr:from>
          <xdr:col>23</xdr:col>
          <xdr:colOff>7620</xdr:colOff>
          <xdr:row>15</xdr:row>
          <xdr:rowOff>7620</xdr:rowOff>
        </xdr:from>
        <xdr:to>
          <xdr:col>23</xdr:col>
          <xdr:colOff>518160</xdr:colOff>
          <xdr:row>17</xdr:row>
          <xdr:rowOff>7620</xdr:rowOff>
        </xdr:to>
        <xdr:sp macro="" textlink="">
          <xdr:nvSpPr>
            <xdr:cNvPr id="507940" name="Option Button 36" hidden="1">
              <a:extLst>
                <a:ext uri="{63B3BB69-23CF-44E3-9099-C40C66FF867C}">
                  <a14:compatExt spid="_x0000_s507940"/>
                </a:ext>
                <a:ext uri="{FF2B5EF4-FFF2-40B4-BE49-F238E27FC236}">
                  <a16:creationId xmlns:a16="http://schemas.microsoft.com/office/drawing/2014/main" id="{00000000-0008-0000-1A00-000024C0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23</xdr:col>
          <xdr:colOff>541020</xdr:colOff>
          <xdr:row>15</xdr:row>
          <xdr:rowOff>7620</xdr:rowOff>
        </xdr:from>
        <xdr:to>
          <xdr:col>24</xdr:col>
          <xdr:colOff>312420</xdr:colOff>
          <xdr:row>17</xdr:row>
          <xdr:rowOff>7620</xdr:rowOff>
        </xdr:to>
        <xdr:sp macro="" textlink="">
          <xdr:nvSpPr>
            <xdr:cNvPr id="507941" name="Option Button 37" hidden="1">
              <a:extLst>
                <a:ext uri="{63B3BB69-23CF-44E3-9099-C40C66FF867C}">
                  <a14:compatExt spid="_x0000_s507941"/>
                </a:ext>
                <a:ext uri="{FF2B5EF4-FFF2-40B4-BE49-F238E27FC236}">
                  <a16:creationId xmlns:a16="http://schemas.microsoft.com/office/drawing/2014/main" id="{00000000-0008-0000-1A00-000025C0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22</xdr:col>
          <xdr:colOff>205740</xdr:colOff>
          <xdr:row>8</xdr:row>
          <xdr:rowOff>45720</xdr:rowOff>
        </xdr:from>
        <xdr:to>
          <xdr:col>25</xdr:col>
          <xdr:colOff>15240</xdr:colOff>
          <xdr:row>20</xdr:row>
          <xdr:rowOff>30480</xdr:rowOff>
        </xdr:to>
        <xdr:sp macro="" textlink="">
          <xdr:nvSpPr>
            <xdr:cNvPr id="507942" name="Group Box 38" hidden="1">
              <a:extLst>
                <a:ext uri="{63B3BB69-23CF-44E3-9099-C40C66FF867C}">
                  <a14:compatExt spid="_x0000_s507942"/>
                </a:ext>
                <a:ext uri="{FF2B5EF4-FFF2-40B4-BE49-F238E27FC236}">
                  <a16:creationId xmlns:a16="http://schemas.microsoft.com/office/drawing/2014/main" id="{00000000-0008-0000-1A00-000026C0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38</a:t>
              </a:r>
            </a:p>
          </xdr:txBody>
        </xdr:sp>
        <xdr:clientData/>
      </xdr:twoCellAnchor>
    </mc:Choice>
    <mc:Fallback/>
  </mc:AlternateContent>
  <xdr:twoCellAnchor>
    <xdr:from>
      <xdr:col>22</xdr:col>
      <xdr:colOff>685798</xdr:colOff>
      <xdr:row>79</xdr:row>
      <xdr:rowOff>0</xdr:rowOff>
    </xdr:from>
    <xdr:to>
      <xdr:col>24</xdr:col>
      <xdr:colOff>426768</xdr:colOff>
      <xdr:row>81</xdr:row>
      <xdr:rowOff>116417</xdr:rowOff>
    </xdr:to>
    <xdr:pic>
      <xdr:nvPicPr>
        <xdr:cNvPr id="4" name="Picture 3" descr="C:\Users\lbasham\AppData\Local\Microsoft\Windows\Temporary Internet Files\Content.Outlook\AMGT183Z\1-MM-Standard-logo-small.jpg">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90865" y="13284200"/>
          <a:ext cx="1129503" cy="50588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60960</xdr:colOff>
          <xdr:row>0</xdr:row>
          <xdr:rowOff>7620</xdr:rowOff>
        </xdr:from>
        <xdr:to>
          <xdr:col>2</xdr:col>
          <xdr:colOff>281940</xdr:colOff>
          <xdr:row>1</xdr:row>
          <xdr:rowOff>114300</xdr:rowOff>
        </xdr:to>
        <xdr:sp macro="" textlink="">
          <xdr:nvSpPr>
            <xdr:cNvPr id="507947" name="Button 43" hidden="1">
              <a:extLst>
                <a:ext uri="{63B3BB69-23CF-44E3-9099-C40C66FF867C}">
                  <a14:compatExt spid="_x0000_s507947"/>
                </a:ext>
                <a:ext uri="{FF2B5EF4-FFF2-40B4-BE49-F238E27FC236}">
                  <a16:creationId xmlns:a16="http://schemas.microsoft.com/office/drawing/2014/main" id="{00000000-0008-0000-1A00-00002BC0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0</xdr:col>
          <xdr:colOff>434340</xdr:colOff>
          <xdr:row>1</xdr:row>
          <xdr:rowOff>114300</xdr:rowOff>
        </xdr:to>
        <xdr:sp macro="" textlink="">
          <xdr:nvSpPr>
            <xdr:cNvPr id="507948" name="Button 44" hidden="1">
              <a:extLst>
                <a:ext uri="{63B3BB69-23CF-44E3-9099-C40C66FF867C}">
                  <a14:compatExt spid="_x0000_s507948"/>
                </a:ext>
                <a:ext uri="{FF2B5EF4-FFF2-40B4-BE49-F238E27FC236}">
                  <a16:creationId xmlns:a16="http://schemas.microsoft.com/office/drawing/2014/main" id="{00000000-0008-0000-1A00-00002CC007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350520</xdr:colOff>
          <xdr:row>0</xdr:row>
          <xdr:rowOff>7620</xdr:rowOff>
        </xdr:from>
        <xdr:to>
          <xdr:col>3</xdr:col>
          <xdr:colOff>304800</xdr:colOff>
          <xdr:row>1</xdr:row>
          <xdr:rowOff>114300</xdr:rowOff>
        </xdr:to>
        <xdr:sp macro="" textlink="">
          <xdr:nvSpPr>
            <xdr:cNvPr id="507949" name="Button 45" hidden="1">
              <a:extLst>
                <a:ext uri="{63B3BB69-23CF-44E3-9099-C40C66FF867C}">
                  <a14:compatExt spid="_x0000_s507949"/>
                </a:ext>
                <a:ext uri="{FF2B5EF4-FFF2-40B4-BE49-F238E27FC236}">
                  <a16:creationId xmlns:a16="http://schemas.microsoft.com/office/drawing/2014/main" id="{00000000-0008-0000-1A00-00002DC0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167640</xdr:rowOff>
        </xdr:from>
        <xdr:to>
          <xdr:col>2</xdr:col>
          <xdr:colOff>7620</xdr:colOff>
          <xdr:row>1</xdr:row>
          <xdr:rowOff>464820</xdr:rowOff>
        </xdr:to>
        <xdr:sp macro="" textlink="">
          <xdr:nvSpPr>
            <xdr:cNvPr id="507950" name="Button 46" hidden="1">
              <a:extLst>
                <a:ext uri="{63B3BB69-23CF-44E3-9099-C40C66FF867C}">
                  <a14:compatExt spid="_x0000_s507950"/>
                </a:ext>
                <a:ext uri="{FF2B5EF4-FFF2-40B4-BE49-F238E27FC236}">
                  <a16:creationId xmlns:a16="http://schemas.microsoft.com/office/drawing/2014/main" id="{00000000-0008-0000-1A00-00002EC0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5</xdr:col>
      <xdr:colOff>624419</xdr:colOff>
      <xdr:row>72</xdr:row>
      <xdr:rowOff>21166</xdr:rowOff>
    </xdr:from>
    <xdr:to>
      <xdr:col>8</xdr:col>
      <xdr:colOff>153722</xdr:colOff>
      <xdr:row>74</xdr:row>
      <xdr:rowOff>154518</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1B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90479" y="12883726"/>
          <a:ext cx="1137123" cy="499112"/>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1</xdr:col>
          <xdr:colOff>15240</xdr:colOff>
          <xdr:row>35</xdr:row>
          <xdr:rowOff>68580</xdr:rowOff>
        </xdr:from>
        <xdr:to>
          <xdr:col>7</xdr:col>
          <xdr:colOff>327660</xdr:colOff>
          <xdr:row>37</xdr:row>
          <xdr:rowOff>45720</xdr:rowOff>
        </xdr:to>
        <xdr:sp macro="" textlink="">
          <xdr:nvSpPr>
            <xdr:cNvPr id="944129" name="Check Box 1" hidden="1">
              <a:extLst>
                <a:ext uri="{63B3BB69-23CF-44E3-9099-C40C66FF867C}">
                  <a14:compatExt spid="_x0000_s944129"/>
                </a:ext>
                <a:ext uri="{FF2B5EF4-FFF2-40B4-BE49-F238E27FC236}">
                  <a16:creationId xmlns:a16="http://schemas.microsoft.com/office/drawing/2014/main" id="{00000000-0008-0000-1B00-00000168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7</xdr:row>
          <xdr:rowOff>60960</xdr:rowOff>
        </xdr:from>
        <xdr:to>
          <xdr:col>10</xdr:col>
          <xdr:colOff>396240</xdr:colOff>
          <xdr:row>7</xdr:row>
          <xdr:rowOff>228600</xdr:rowOff>
        </xdr:to>
        <xdr:sp macro="" textlink="">
          <xdr:nvSpPr>
            <xdr:cNvPr id="944130" name="Drop Down 2" hidden="1">
              <a:extLst>
                <a:ext uri="{63B3BB69-23CF-44E3-9099-C40C66FF867C}">
                  <a14:compatExt spid="_x0000_s944130"/>
                </a:ext>
                <a:ext uri="{FF2B5EF4-FFF2-40B4-BE49-F238E27FC236}">
                  <a16:creationId xmlns:a16="http://schemas.microsoft.com/office/drawing/2014/main" id="{00000000-0008-0000-1B00-00000268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160020</xdr:colOff>
          <xdr:row>5</xdr:row>
          <xdr:rowOff>175260</xdr:rowOff>
        </xdr:from>
        <xdr:to>
          <xdr:col>10</xdr:col>
          <xdr:colOff>259080</xdr:colOff>
          <xdr:row>7</xdr:row>
          <xdr:rowOff>0</xdr:rowOff>
        </xdr:to>
        <xdr:sp macro="" textlink="">
          <xdr:nvSpPr>
            <xdr:cNvPr id="944131" name="Option Button 3" hidden="1">
              <a:extLst>
                <a:ext uri="{63B3BB69-23CF-44E3-9099-C40C66FF867C}">
                  <a14:compatExt spid="_x0000_s944131"/>
                </a:ext>
                <a:ext uri="{FF2B5EF4-FFF2-40B4-BE49-F238E27FC236}">
                  <a16:creationId xmlns:a16="http://schemas.microsoft.com/office/drawing/2014/main" id="{00000000-0008-0000-1B00-00000368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373380</xdr:colOff>
          <xdr:row>5</xdr:row>
          <xdr:rowOff>175260</xdr:rowOff>
        </xdr:from>
        <xdr:to>
          <xdr:col>13</xdr:col>
          <xdr:colOff>464820</xdr:colOff>
          <xdr:row>7</xdr:row>
          <xdr:rowOff>0</xdr:rowOff>
        </xdr:to>
        <xdr:sp macro="" textlink="">
          <xdr:nvSpPr>
            <xdr:cNvPr id="944132" name="Option Button 4" hidden="1">
              <a:extLst>
                <a:ext uri="{63B3BB69-23CF-44E3-9099-C40C66FF867C}">
                  <a14:compatExt spid="_x0000_s944132"/>
                </a:ext>
                <a:ext uri="{FF2B5EF4-FFF2-40B4-BE49-F238E27FC236}">
                  <a16:creationId xmlns:a16="http://schemas.microsoft.com/office/drawing/2014/main" id="{00000000-0008-0000-1B00-00000468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60960</xdr:colOff>
          <xdr:row>7</xdr:row>
          <xdr:rowOff>68580</xdr:rowOff>
        </xdr:from>
        <xdr:to>
          <xdr:col>12</xdr:col>
          <xdr:colOff>518160</xdr:colOff>
          <xdr:row>7</xdr:row>
          <xdr:rowOff>213360</xdr:rowOff>
        </xdr:to>
        <xdr:sp macro="" textlink="">
          <xdr:nvSpPr>
            <xdr:cNvPr id="944139" name="Option Button 11" hidden="1">
              <a:extLst>
                <a:ext uri="{63B3BB69-23CF-44E3-9099-C40C66FF867C}">
                  <a14:compatExt spid="_x0000_s944139"/>
                </a:ext>
                <a:ext uri="{FF2B5EF4-FFF2-40B4-BE49-F238E27FC236}">
                  <a16:creationId xmlns:a16="http://schemas.microsoft.com/office/drawing/2014/main" id="{00000000-0008-0000-1B00-00000B68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Conv.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7</xdr:row>
          <xdr:rowOff>60960</xdr:rowOff>
        </xdr:from>
        <xdr:to>
          <xdr:col>13</xdr:col>
          <xdr:colOff>525780</xdr:colOff>
          <xdr:row>7</xdr:row>
          <xdr:rowOff>220980</xdr:rowOff>
        </xdr:to>
        <xdr:sp macro="" textlink="">
          <xdr:nvSpPr>
            <xdr:cNvPr id="944140" name="Option Button 12" hidden="1">
              <a:extLst>
                <a:ext uri="{63B3BB69-23CF-44E3-9099-C40C66FF867C}">
                  <a14:compatExt spid="_x0000_s944140"/>
                </a:ext>
                <a:ext uri="{FF2B5EF4-FFF2-40B4-BE49-F238E27FC236}">
                  <a16:creationId xmlns:a16="http://schemas.microsoft.com/office/drawing/2014/main" id="{00000000-0008-0000-1B00-00000C68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Gov.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358140</xdr:colOff>
          <xdr:row>5</xdr:row>
          <xdr:rowOff>121920</xdr:rowOff>
        </xdr:from>
        <xdr:to>
          <xdr:col>14</xdr:col>
          <xdr:colOff>22860</xdr:colOff>
          <xdr:row>7</xdr:row>
          <xdr:rowOff>7620</xdr:rowOff>
        </xdr:to>
        <xdr:sp macro="" textlink="">
          <xdr:nvSpPr>
            <xdr:cNvPr id="944141" name="Group Box 13" hidden="1">
              <a:extLst>
                <a:ext uri="{63B3BB69-23CF-44E3-9099-C40C66FF867C}">
                  <a14:compatExt spid="_x0000_s944141"/>
                </a:ext>
                <a:ext uri="{FF2B5EF4-FFF2-40B4-BE49-F238E27FC236}">
                  <a16:creationId xmlns:a16="http://schemas.microsoft.com/office/drawing/2014/main" id="{00000000-0008-0000-1B00-00000D680E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33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624840</xdr:colOff>
          <xdr:row>7</xdr:row>
          <xdr:rowOff>15240</xdr:rowOff>
        </xdr:from>
        <xdr:to>
          <xdr:col>14</xdr:col>
          <xdr:colOff>22860</xdr:colOff>
          <xdr:row>8</xdr:row>
          <xdr:rowOff>0</xdr:rowOff>
        </xdr:to>
        <xdr:sp macro="" textlink="">
          <xdr:nvSpPr>
            <xdr:cNvPr id="944142" name="Group Box 14" hidden="1">
              <a:extLst>
                <a:ext uri="{63B3BB69-23CF-44E3-9099-C40C66FF867C}">
                  <a14:compatExt spid="_x0000_s944142"/>
                </a:ext>
                <a:ext uri="{FF2B5EF4-FFF2-40B4-BE49-F238E27FC236}">
                  <a16:creationId xmlns:a16="http://schemas.microsoft.com/office/drawing/2014/main" id="{00000000-0008-0000-1B00-00000E680E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35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83820</xdr:colOff>
          <xdr:row>18</xdr:row>
          <xdr:rowOff>68580</xdr:rowOff>
        </xdr:from>
        <xdr:to>
          <xdr:col>11</xdr:col>
          <xdr:colOff>304800</xdr:colOff>
          <xdr:row>20</xdr:row>
          <xdr:rowOff>7620</xdr:rowOff>
        </xdr:to>
        <xdr:sp macro="" textlink="">
          <xdr:nvSpPr>
            <xdr:cNvPr id="944150" name="Check Box 22" hidden="1">
              <a:extLst>
                <a:ext uri="{63B3BB69-23CF-44E3-9099-C40C66FF867C}">
                  <a14:compatExt spid="_x0000_s944150"/>
                </a:ext>
                <a:ext uri="{FF2B5EF4-FFF2-40B4-BE49-F238E27FC236}">
                  <a16:creationId xmlns:a16="http://schemas.microsoft.com/office/drawing/2014/main" id="{00000000-0008-0000-1B00-00001668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91440</xdr:colOff>
          <xdr:row>44</xdr:row>
          <xdr:rowOff>137160</xdr:rowOff>
        </xdr:from>
        <xdr:to>
          <xdr:col>12</xdr:col>
          <xdr:colOff>312420</xdr:colOff>
          <xdr:row>47</xdr:row>
          <xdr:rowOff>7620</xdr:rowOff>
        </xdr:to>
        <xdr:sp macro="" textlink="">
          <xdr:nvSpPr>
            <xdr:cNvPr id="944151" name="Check Box 23" hidden="1">
              <a:extLst>
                <a:ext uri="{63B3BB69-23CF-44E3-9099-C40C66FF867C}">
                  <a14:compatExt spid="_x0000_s944151"/>
                </a:ext>
                <a:ext uri="{FF2B5EF4-FFF2-40B4-BE49-F238E27FC236}">
                  <a16:creationId xmlns:a16="http://schemas.microsoft.com/office/drawing/2014/main" id="{00000000-0008-0000-1B00-00001768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487680</xdr:colOff>
          <xdr:row>0</xdr:row>
          <xdr:rowOff>7620</xdr:rowOff>
        </xdr:from>
        <xdr:to>
          <xdr:col>2</xdr:col>
          <xdr:colOff>99060</xdr:colOff>
          <xdr:row>1</xdr:row>
          <xdr:rowOff>114300</xdr:rowOff>
        </xdr:to>
        <xdr:sp macro="" textlink="">
          <xdr:nvSpPr>
            <xdr:cNvPr id="944152" name="Button 24" hidden="1">
              <a:extLst>
                <a:ext uri="{63B3BB69-23CF-44E3-9099-C40C66FF867C}">
                  <a14:compatExt spid="_x0000_s944152"/>
                </a:ext>
                <a:ext uri="{FF2B5EF4-FFF2-40B4-BE49-F238E27FC236}">
                  <a16:creationId xmlns:a16="http://schemas.microsoft.com/office/drawing/2014/main" id="{00000000-0008-0000-1B00-0000186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0</xdr:col>
          <xdr:colOff>434340</xdr:colOff>
          <xdr:row>1</xdr:row>
          <xdr:rowOff>114300</xdr:rowOff>
        </xdr:to>
        <xdr:sp macro="" textlink="">
          <xdr:nvSpPr>
            <xdr:cNvPr id="944153" name="Button 25" hidden="1">
              <a:extLst>
                <a:ext uri="{63B3BB69-23CF-44E3-9099-C40C66FF867C}">
                  <a14:compatExt spid="_x0000_s944153"/>
                </a:ext>
                <a:ext uri="{FF2B5EF4-FFF2-40B4-BE49-F238E27FC236}">
                  <a16:creationId xmlns:a16="http://schemas.microsoft.com/office/drawing/2014/main" id="{00000000-0008-0000-1B00-000019680E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7620</xdr:rowOff>
        </xdr:from>
        <xdr:to>
          <xdr:col>3</xdr:col>
          <xdr:colOff>106680</xdr:colOff>
          <xdr:row>1</xdr:row>
          <xdr:rowOff>114300</xdr:rowOff>
        </xdr:to>
        <xdr:sp macro="" textlink="">
          <xdr:nvSpPr>
            <xdr:cNvPr id="944154" name="Button 26" hidden="1">
              <a:extLst>
                <a:ext uri="{63B3BB69-23CF-44E3-9099-C40C66FF867C}">
                  <a14:compatExt spid="_x0000_s944154"/>
                </a:ext>
                <a:ext uri="{FF2B5EF4-FFF2-40B4-BE49-F238E27FC236}">
                  <a16:creationId xmlns:a16="http://schemas.microsoft.com/office/drawing/2014/main" id="{00000000-0008-0000-1B00-00001A6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167640</xdr:rowOff>
        </xdr:from>
        <xdr:to>
          <xdr:col>2</xdr:col>
          <xdr:colOff>7620</xdr:colOff>
          <xdr:row>2</xdr:row>
          <xdr:rowOff>7620</xdr:rowOff>
        </xdr:to>
        <xdr:sp macro="" textlink="">
          <xdr:nvSpPr>
            <xdr:cNvPr id="944155" name="Button 27" hidden="1">
              <a:extLst>
                <a:ext uri="{63B3BB69-23CF-44E3-9099-C40C66FF867C}">
                  <a14:compatExt spid="_x0000_s944155"/>
                </a:ext>
                <a:ext uri="{FF2B5EF4-FFF2-40B4-BE49-F238E27FC236}">
                  <a16:creationId xmlns:a16="http://schemas.microsoft.com/office/drawing/2014/main" id="{00000000-0008-0000-1B00-00001B6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6</xdr:col>
      <xdr:colOff>141293</xdr:colOff>
      <xdr:row>67</xdr:row>
      <xdr:rowOff>8467</xdr:rowOff>
    </xdr:from>
    <xdr:to>
      <xdr:col>8</xdr:col>
      <xdr:colOff>339463</xdr:colOff>
      <xdr:row>70</xdr:row>
      <xdr:rowOff>129117</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1C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63893" y="11971867"/>
          <a:ext cx="1146437" cy="510117"/>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9</xdr:col>
          <xdr:colOff>0</xdr:colOff>
          <xdr:row>40</xdr:row>
          <xdr:rowOff>0</xdr:rowOff>
        </xdr:from>
        <xdr:to>
          <xdr:col>11</xdr:col>
          <xdr:colOff>83820</xdr:colOff>
          <xdr:row>41</xdr:row>
          <xdr:rowOff>0</xdr:rowOff>
        </xdr:to>
        <xdr:sp macro="" textlink="">
          <xdr:nvSpPr>
            <xdr:cNvPr id="516097" name="Drop Down 1" hidden="1">
              <a:extLst>
                <a:ext uri="{63B3BB69-23CF-44E3-9099-C40C66FF867C}">
                  <a14:compatExt spid="_x0000_s516097"/>
                </a:ext>
                <a:ext uri="{FF2B5EF4-FFF2-40B4-BE49-F238E27FC236}">
                  <a16:creationId xmlns:a16="http://schemas.microsoft.com/office/drawing/2014/main" id="{00000000-0008-0000-1C00-000001E0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xdr:row>
          <xdr:rowOff>0</xdr:rowOff>
        </xdr:from>
        <xdr:to>
          <xdr:col>11</xdr:col>
          <xdr:colOff>83820</xdr:colOff>
          <xdr:row>45</xdr:row>
          <xdr:rowOff>0</xdr:rowOff>
        </xdr:to>
        <xdr:sp macro="" textlink="">
          <xdr:nvSpPr>
            <xdr:cNvPr id="516098" name="Drop Down 2" hidden="1">
              <a:extLst>
                <a:ext uri="{63B3BB69-23CF-44E3-9099-C40C66FF867C}">
                  <a14:compatExt spid="_x0000_s516098"/>
                </a:ext>
                <a:ext uri="{FF2B5EF4-FFF2-40B4-BE49-F238E27FC236}">
                  <a16:creationId xmlns:a16="http://schemas.microsoft.com/office/drawing/2014/main" id="{00000000-0008-0000-1C00-000002E0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xdr:col>
      <xdr:colOff>95249</xdr:colOff>
      <xdr:row>130</xdr:row>
      <xdr:rowOff>120963</xdr:rowOff>
    </xdr:from>
    <xdr:to>
      <xdr:col>8</xdr:col>
      <xdr:colOff>293419</xdr:colOff>
      <xdr:row>133</xdr:row>
      <xdr:rowOff>63814</xdr:rowOff>
    </xdr:to>
    <xdr:pic>
      <xdr:nvPicPr>
        <xdr:cNvPr id="5" name="Picture 4" descr="C:\Users\lbasham\AppData\Local\Microsoft\Windows\Temporary Internet Files\Content.Outlook\AMGT183Z\1-MM-Standard-logo-small.jpg">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117849" y="24564230"/>
          <a:ext cx="1146437" cy="501651"/>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137160</xdr:colOff>
          <xdr:row>0</xdr:row>
          <xdr:rowOff>7620</xdr:rowOff>
        </xdr:from>
        <xdr:to>
          <xdr:col>2</xdr:col>
          <xdr:colOff>335280</xdr:colOff>
          <xdr:row>1</xdr:row>
          <xdr:rowOff>106680</xdr:rowOff>
        </xdr:to>
        <xdr:sp macro="" textlink="">
          <xdr:nvSpPr>
            <xdr:cNvPr id="516103" name="Button 7" hidden="1">
              <a:extLst>
                <a:ext uri="{63B3BB69-23CF-44E3-9099-C40C66FF867C}">
                  <a14:compatExt spid="_x0000_s516103"/>
                </a:ext>
                <a:ext uri="{FF2B5EF4-FFF2-40B4-BE49-F238E27FC236}">
                  <a16:creationId xmlns:a16="http://schemas.microsoft.com/office/drawing/2014/main" id="{00000000-0008-0000-1C00-000007E0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1</xdr:col>
          <xdr:colOff>83820</xdr:colOff>
          <xdr:row>1</xdr:row>
          <xdr:rowOff>106680</xdr:rowOff>
        </xdr:to>
        <xdr:sp macro="" textlink="">
          <xdr:nvSpPr>
            <xdr:cNvPr id="516104" name="Button 8" hidden="1">
              <a:extLst>
                <a:ext uri="{63B3BB69-23CF-44E3-9099-C40C66FF867C}">
                  <a14:compatExt spid="_x0000_s516104"/>
                </a:ext>
                <a:ext uri="{FF2B5EF4-FFF2-40B4-BE49-F238E27FC236}">
                  <a16:creationId xmlns:a16="http://schemas.microsoft.com/office/drawing/2014/main" id="{00000000-0008-0000-1C00-000008E007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7620</xdr:rowOff>
        </xdr:from>
        <xdr:to>
          <xdr:col>3</xdr:col>
          <xdr:colOff>434340</xdr:colOff>
          <xdr:row>1</xdr:row>
          <xdr:rowOff>106680</xdr:rowOff>
        </xdr:to>
        <xdr:sp macro="" textlink="">
          <xdr:nvSpPr>
            <xdr:cNvPr id="516105" name="Button 9" hidden="1">
              <a:extLst>
                <a:ext uri="{63B3BB69-23CF-44E3-9099-C40C66FF867C}">
                  <a14:compatExt spid="_x0000_s516105"/>
                </a:ext>
                <a:ext uri="{FF2B5EF4-FFF2-40B4-BE49-F238E27FC236}">
                  <a16:creationId xmlns:a16="http://schemas.microsoft.com/office/drawing/2014/main" id="{00000000-0008-0000-1C00-000009E0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160020</xdr:rowOff>
        </xdr:from>
        <xdr:to>
          <xdr:col>1</xdr:col>
          <xdr:colOff>91440</xdr:colOff>
          <xdr:row>1</xdr:row>
          <xdr:rowOff>457200</xdr:rowOff>
        </xdr:to>
        <xdr:sp macro="" textlink="">
          <xdr:nvSpPr>
            <xdr:cNvPr id="516106" name="Button 10" hidden="1">
              <a:extLst>
                <a:ext uri="{63B3BB69-23CF-44E3-9099-C40C66FF867C}">
                  <a14:compatExt spid="_x0000_s516106"/>
                </a:ext>
                <a:ext uri="{FF2B5EF4-FFF2-40B4-BE49-F238E27FC236}">
                  <a16:creationId xmlns:a16="http://schemas.microsoft.com/office/drawing/2014/main" id="{00000000-0008-0000-1C00-00000AE0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Hide</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7</xdr:col>
          <xdr:colOff>0</xdr:colOff>
          <xdr:row>16</xdr:row>
          <xdr:rowOff>0</xdr:rowOff>
        </xdr:to>
        <xdr:sp macro="" textlink="">
          <xdr:nvSpPr>
            <xdr:cNvPr id="218113" name="Drop Down 1" hidden="1">
              <a:extLst>
                <a:ext uri="{63B3BB69-23CF-44E3-9099-C40C66FF867C}">
                  <a14:compatExt spid="_x0000_s218113"/>
                </a:ext>
                <a:ext uri="{FF2B5EF4-FFF2-40B4-BE49-F238E27FC236}">
                  <a16:creationId xmlns:a16="http://schemas.microsoft.com/office/drawing/2014/main" id="{00000000-0008-0000-1D00-000001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7</xdr:col>
          <xdr:colOff>0</xdr:colOff>
          <xdr:row>18</xdr:row>
          <xdr:rowOff>0</xdr:rowOff>
        </xdr:to>
        <xdr:sp macro="" textlink="">
          <xdr:nvSpPr>
            <xdr:cNvPr id="218114" name="Drop Down 2" hidden="1">
              <a:extLst>
                <a:ext uri="{63B3BB69-23CF-44E3-9099-C40C66FF867C}">
                  <a14:compatExt spid="_x0000_s218114"/>
                </a:ext>
                <a:ext uri="{FF2B5EF4-FFF2-40B4-BE49-F238E27FC236}">
                  <a16:creationId xmlns:a16="http://schemas.microsoft.com/office/drawing/2014/main" id="{00000000-0008-0000-1D00-000002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7</xdr:col>
          <xdr:colOff>0</xdr:colOff>
          <xdr:row>19</xdr:row>
          <xdr:rowOff>144780</xdr:rowOff>
        </xdr:to>
        <xdr:sp macro="" textlink="">
          <xdr:nvSpPr>
            <xdr:cNvPr id="218115" name="Drop Down 3" hidden="1">
              <a:extLst>
                <a:ext uri="{63B3BB69-23CF-44E3-9099-C40C66FF867C}">
                  <a14:compatExt spid="_x0000_s218115"/>
                </a:ext>
                <a:ext uri="{FF2B5EF4-FFF2-40B4-BE49-F238E27FC236}">
                  <a16:creationId xmlns:a16="http://schemas.microsoft.com/office/drawing/2014/main" id="{00000000-0008-0000-1D00-000003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7</xdr:col>
          <xdr:colOff>0</xdr:colOff>
          <xdr:row>21</xdr:row>
          <xdr:rowOff>144780</xdr:rowOff>
        </xdr:to>
        <xdr:sp macro="" textlink="">
          <xdr:nvSpPr>
            <xdr:cNvPr id="218116" name="Drop Down 4" hidden="1">
              <a:extLst>
                <a:ext uri="{63B3BB69-23CF-44E3-9099-C40C66FF867C}">
                  <a14:compatExt spid="_x0000_s218116"/>
                </a:ext>
                <a:ext uri="{FF2B5EF4-FFF2-40B4-BE49-F238E27FC236}">
                  <a16:creationId xmlns:a16="http://schemas.microsoft.com/office/drawing/2014/main" id="{00000000-0008-0000-1D00-000004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144780</xdr:rowOff>
        </xdr:to>
        <xdr:sp macro="" textlink="">
          <xdr:nvSpPr>
            <xdr:cNvPr id="218117" name="Drop Down 5" hidden="1">
              <a:extLst>
                <a:ext uri="{63B3BB69-23CF-44E3-9099-C40C66FF867C}">
                  <a14:compatExt spid="_x0000_s218117"/>
                </a:ext>
                <a:ext uri="{FF2B5EF4-FFF2-40B4-BE49-F238E27FC236}">
                  <a16:creationId xmlns:a16="http://schemas.microsoft.com/office/drawing/2014/main" id="{00000000-0008-0000-1D00-000005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7</xdr:col>
          <xdr:colOff>0</xdr:colOff>
          <xdr:row>36</xdr:row>
          <xdr:rowOff>0</xdr:rowOff>
        </xdr:to>
        <xdr:sp macro="" textlink="">
          <xdr:nvSpPr>
            <xdr:cNvPr id="218118" name="Drop Down 6" hidden="1">
              <a:extLst>
                <a:ext uri="{63B3BB69-23CF-44E3-9099-C40C66FF867C}">
                  <a14:compatExt spid="_x0000_s218118"/>
                </a:ext>
                <a:ext uri="{FF2B5EF4-FFF2-40B4-BE49-F238E27FC236}">
                  <a16:creationId xmlns:a16="http://schemas.microsoft.com/office/drawing/2014/main" id="{00000000-0008-0000-1D00-000006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xdr:row>
          <xdr:rowOff>0</xdr:rowOff>
        </xdr:from>
        <xdr:to>
          <xdr:col>7</xdr:col>
          <xdr:colOff>0</xdr:colOff>
          <xdr:row>38</xdr:row>
          <xdr:rowOff>0</xdr:rowOff>
        </xdr:to>
        <xdr:sp macro="" textlink="">
          <xdr:nvSpPr>
            <xdr:cNvPr id="218119" name="Drop Down 7" hidden="1">
              <a:extLst>
                <a:ext uri="{63B3BB69-23CF-44E3-9099-C40C66FF867C}">
                  <a14:compatExt spid="_x0000_s218119"/>
                </a:ext>
                <a:ext uri="{FF2B5EF4-FFF2-40B4-BE49-F238E27FC236}">
                  <a16:creationId xmlns:a16="http://schemas.microsoft.com/office/drawing/2014/main" id="{00000000-0008-0000-1D00-000007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39</xdr:row>
          <xdr:rowOff>0</xdr:rowOff>
        </xdr:from>
        <xdr:to>
          <xdr:col>7</xdr:col>
          <xdr:colOff>0</xdr:colOff>
          <xdr:row>40</xdr:row>
          <xdr:rowOff>0</xdr:rowOff>
        </xdr:to>
        <xdr:sp macro="" textlink="">
          <xdr:nvSpPr>
            <xdr:cNvPr id="218120" name="Drop Down 8" hidden="1">
              <a:extLst>
                <a:ext uri="{63B3BB69-23CF-44E3-9099-C40C66FF867C}">
                  <a14:compatExt spid="_x0000_s218120"/>
                </a:ext>
                <a:ext uri="{FF2B5EF4-FFF2-40B4-BE49-F238E27FC236}">
                  <a16:creationId xmlns:a16="http://schemas.microsoft.com/office/drawing/2014/main" id="{00000000-0008-0000-1D00-000008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41</xdr:row>
          <xdr:rowOff>0</xdr:rowOff>
        </xdr:from>
        <xdr:to>
          <xdr:col>7</xdr:col>
          <xdr:colOff>0</xdr:colOff>
          <xdr:row>42</xdr:row>
          <xdr:rowOff>0</xdr:rowOff>
        </xdr:to>
        <xdr:sp macro="" textlink="">
          <xdr:nvSpPr>
            <xdr:cNvPr id="218121" name="Drop Down 9" hidden="1">
              <a:extLst>
                <a:ext uri="{63B3BB69-23CF-44E3-9099-C40C66FF867C}">
                  <a14:compatExt spid="_x0000_s218121"/>
                </a:ext>
                <a:ext uri="{FF2B5EF4-FFF2-40B4-BE49-F238E27FC236}">
                  <a16:creationId xmlns:a16="http://schemas.microsoft.com/office/drawing/2014/main" id="{00000000-0008-0000-1D00-000009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43</xdr:row>
          <xdr:rowOff>0</xdr:rowOff>
        </xdr:from>
        <xdr:to>
          <xdr:col>7</xdr:col>
          <xdr:colOff>0</xdr:colOff>
          <xdr:row>44</xdr:row>
          <xdr:rowOff>0</xdr:rowOff>
        </xdr:to>
        <xdr:sp macro="" textlink="">
          <xdr:nvSpPr>
            <xdr:cNvPr id="218122" name="Drop Down 10" hidden="1">
              <a:extLst>
                <a:ext uri="{63B3BB69-23CF-44E3-9099-C40C66FF867C}">
                  <a14:compatExt spid="_x0000_s218122"/>
                </a:ext>
                <a:ext uri="{FF2B5EF4-FFF2-40B4-BE49-F238E27FC236}">
                  <a16:creationId xmlns:a16="http://schemas.microsoft.com/office/drawing/2014/main" id="{00000000-0008-0000-1D00-00000A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55</xdr:row>
          <xdr:rowOff>0</xdr:rowOff>
        </xdr:from>
        <xdr:to>
          <xdr:col>7</xdr:col>
          <xdr:colOff>0</xdr:colOff>
          <xdr:row>56</xdr:row>
          <xdr:rowOff>0</xdr:rowOff>
        </xdr:to>
        <xdr:sp macro="" textlink="">
          <xdr:nvSpPr>
            <xdr:cNvPr id="218123" name="Drop Down 11" hidden="1">
              <a:extLst>
                <a:ext uri="{63B3BB69-23CF-44E3-9099-C40C66FF867C}">
                  <a14:compatExt spid="_x0000_s218123"/>
                </a:ext>
                <a:ext uri="{FF2B5EF4-FFF2-40B4-BE49-F238E27FC236}">
                  <a16:creationId xmlns:a16="http://schemas.microsoft.com/office/drawing/2014/main" id="{00000000-0008-0000-1D00-00000B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57</xdr:row>
          <xdr:rowOff>0</xdr:rowOff>
        </xdr:from>
        <xdr:to>
          <xdr:col>7</xdr:col>
          <xdr:colOff>0</xdr:colOff>
          <xdr:row>58</xdr:row>
          <xdr:rowOff>0</xdr:rowOff>
        </xdr:to>
        <xdr:sp macro="" textlink="">
          <xdr:nvSpPr>
            <xdr:cNvPr id="218124" name="Drop Down 12" hidden="1">
              <a:extLst>
                <a:ext uri="{63B3BB69-23CF-44E3-9099-C40C66FF867C}">
                  <a14:compatExt spid="_x0000_s218124"/>
                </a:ext>
                <a:ext uri="{FF2B5EF4-FFF2-40B4-BE49-F238E27FC236}">
                  <a16:creationId xmlns:a16="http://schemas.microsoft.com/office/drawing/2014/main" id="{00000000-0008-0000-1D00-00000C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59</xdr:row>
          <xdr:rowOff>0</xdr:rowOff>
        </xdr:from>
        <xdr:to>
          <xdr:col>7</xdr:col>
          <xdr:colOff>0</xdr:colOff>
          <xdr:row>60</xdr:row>
          <xdr:rowOff>0</xdr:rowOff>
        </xdr:to>
        <xdr:sp macro="" textlink="">
          <xdr:nvSpPr>
            <xdr:cNvPr id="218125" name="Drop Down 13" hidden="1">
              <a:extLst>
                <a:ext uri="{63B3BB69-23CF-44E3-9099-C40C66FF867C}">
                  <a14:compatExt spid="_x0000_s218125"/>
                </a:ext>
                <a:ext uri="{FF2B5EF4-FFF2-40B4-BE49-F238E27FC236}">
                  <a16:creationId xmlns:a16="http://schemas.microsoft.com/office/drawing/2014/main" id="{00000000-0008-0000-1D00-00000D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61</xdr:row>
          <xdr:rowOff>0</xdr:rowOff>
        </xdr:from>
        <xdr:to>
          <xdr:col>7</xdr:col>
          <xdr:colOff>0</xdr:colOff>
          <xdr:row>62</xdr:row>
          <xdr:rowOff>0</xdr:rowOff>
        </xdr:to>
        <xdr:sp macro="" textlink="">
          <xdr:nvSpPr>
            <xdr:cNvPr id="218126" name="Drop Down 14" hidden="1">
              <a:extLst>
                <a:ext uri="{63B3BB69-23CF-44E3-9099-C40C66FF867C}">
                  <a14:compatExt spid="_x0000_s218126"/>
                </a:ext>
                <a:ext uri="{FF2B5EF4-FFF2-40B4-BE49-F238E27FC236}">
                  <a16:creationId xmlns:a16="http://schemas.microsoft.com/office/drawing/2014/main" id="{00000000-0008-0000-1D00-00000E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63</xdr:row>
          <xdr:rowOff>0</xdr:rowOff>
        </xdr:from>
        <xdr:to>
          <xdr:col>7</xdr:col>
          <xdr:colOff>0</xdr:colOff>
          <xdr:row>64</xdr:row>
          <xdr:rowOff>0</xdr:rowOff>
        </xdr:to>
        <xdr:sp macro="" textlink="">
          <xdr:nvSpPr>
            <xdr:cNvPr id="218127" name="Drop Down 15" hidden="1">
              <a:extLst>
                <a:ext uri="{63B3BB69-23CF-44E3-9099-C40C66FF867C}">
                  <a14:compatExt spid="_x0000_s218127"/>
                </a:ext>
                <a:ext uri="{FF2B5EF4-FFF2-40B4-BE49-F238E27FC236}">
                  <a16:creationId xmlns:a16="http://schemas.microsoft.com/office/drawing/2014/main" id="{00000000-0008-0000-1D00-00000F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93</xdr:row>
          <xdr:rowOff>0</xdr:rowOff>
        </xdr:from>
        <xdr:to>
          <xdr:col>6</xdr:col>
          <xdr:colOff>1234440</xdr:colOff>
          <xdr:row>94</xdr:row>
          <xdr:rowOff>0</xdr:rowOff>
        </xdr:to>
        <xdr:sp macro="" textlink="">
          <xdr:nvSpPr>
            <xdr:cNvPr id="218128" name="Drop Down 16" hidden="1">
              <a:extLst>
                <a:ext uri="{63B3BB69-23CF-44E3-9099-C40C66FF867C}">
                  <a14:compatExt spid="_x0000_s218128"/>
                </a:ext>
                <a:ext uri="{FF2B5EF4-FFF2-40B4-BE49-F238E27FC236}">
                  <a16:creationId xmlns:a16="http://schemas.microsoft.com/office/drawing/2014/main" id="{00000000-0008-0000-1D00-000010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75</xdr:row>
          <xdr:rowOff>0</xdr:rowOff>
        </xdr:from>
        <xdr:to>
          <xdr:col>7</xdr:col>
          <xdr:colOff>0</xdr:colOff>
          <xdr:row>76</xdr:row>
          <xdr:rowOff>0</xdr:rowOff>
        </xdr:to>
        <xdr:sp macro="" textlink="">
          <xdr:nvSpPr>
            <xdr:cNvPr id="218133" name="Drop Down 21" hidden="1">
              <a:extLst>
                <a:ext uri="{63B3BB69-23CF-44E3-9099-C40C66FF867C}">
                  <a14:compatExt spid="_x0000_s218133"/>
                </a:ext>
                <a:ext uri="{FF2B5EF4-FFF2-40B4-BE49-F238E27FC236}">
                  <a16:creationId xmlns:a16="http://schemas.microsoft.com/office/drawing/2014/main" id="{00000000-0008-0000-1D00-000015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77</xdr:row>
          <xdr:rowOff>0</xdr:rowOff>
        </xdr:from>
        <xdr:to>
          <xdr:col>7</xdr:col>
          <xdr:colOff>0</xdr:colOff>
          <xdr:row>78</xdr:row>
          <xdr:rowOff>0</xdr:rowOff>
        </xdr:to>
        <xdr:sp macro="" textlink="">
          <xdr:nvSpPr>
            <xdr:cNvPr id="218134" name="Drop Down 22" hidden="1">
              <a:extLst>
                <a:ext uri="{63B3BB69-23CF-44E3-9099-C40C66FF867C}">
                  <a14:compatExt spid="_x0000_s218134"/>
                </a:ext>
                <a:ext uri="{FF2B5EF4-FFF2-40B4-BE49-F238E27FC236}">
                  <a16:creationId xmlns:a16="http://schemas.microsoft.com/office/drawing/2014/main" id="{00000000-0008-0000-1D00-000016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79</xdr:row>
          <xdr:rowOff>0</xdr:rowOff>
        </xdr:from>
        <xdr:to>
          <xdr:col>7</xdr:col>
          <xdr:colOff>0</xdr:colOff>
          <xdr:row>80</xdr:row>
          <xdr:rowOff>0</xdr:rowOff>
        </xdr:to>
        <xdr:sp macro="" textlink="">
          <xdr:nvSpPr>
            <xdr:cNvPr id="218135" name="Drop Down 23" hidden="1">
              <a:extLst>
                <a:ext uri="{63B3BB69-23CF-44E3-9099-C40C66FF867C}">
                  <a14:compatExt spid="_x0000_s218135"/>
                </a:ext>
                <a:ext uri="{FF2B5EF4-FFF2-40B4-BE49-F238E27FC236}">
                  <a16:creationId xmlns:a16="http://schemas.microsoft.com/office/drawing/2014/main" id="{00000000-0008-0000-1D00-000017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81</xdr:row>
          <xdr:rowOff>0</xdr:rowOff>
        </xdr:from>
        <xdr:to>
          <xdr:col>7</xdr:col>
          <xdr:colOff>0</xdr:colOff>
          <xdr:row>82</xdr:row>
          <xdr:rowOff>0</xdr:rowOff>
        </xdr:to>
        <xdr:sp macro="" textlink="">
          <xdr:nvSpPr>
            <xdr:cNvPr id="218136" name="Drop Down 24" hidden="1">
              <a:extLst>
                <a:ext uri="{63B3BB69-23CF-44E3-9099-C40C66FF867C}">
                  <a14:compatExt spid="_x0000_s218136"/>
                </a:ext>
                <a:ext uri="{FF2B5EF4-FFF2-40B4-BE49-F238E27FC236}">
                  <a16:creationId xmlns:a16="http://schemas.microsoft.com/office/drawing/2014/main" id="{00000000-0008-0000-1D00-000018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83</xdr:row>
          <xdr:rowOff>0</xdr:rowOff>
        </xdr:from>
        <xdr:to>
          <xdr:col>7</xdr:col>
          <xdr:colOff>0</xdr:colOff>
          <xdr:row>84</xdr:row>
          <xdr:rowOff>0</xdr:rowOff>
        </xdr:to>
        <xdr:sp macro="" textlink="">
          <xdr:nvSpPr>
            <xdr:cNvPr id="218137" name="Drop Down 25" hidden="1">
              <a:extLst>
                <a:ext uri="{63B3BB69-23CF-44E3-9099-C40C66FF867C}">
                  <a14:compatExt spid="_x0000_s218137"/>
                </a:ext>
                <a:ext uri="{FF2B5EF4-FFF2-40B4-BE49-F238E27FC236}">
                  <a16:creationId xmlns:a16="http://schemas.microsoft.com/office/drawing/2014/main" id="{00000000-0008-0000-1D00-000019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709080</xdr:colOff>
      <xdr:row>126</xdr:row>
      <xdr:rowOff>50799</xdr:rowOff>
    </xdr:from>
    <xdr:to>
      <xdr:col>12</xdr:col>
      <xdr:colOff>339341</xdr:colOff>
      <xdr:row>129</xdr:row>
      <xdr:rowOff>118363</xdr:rowOff>
    </xdr:to>
    <xdr:pic>
      <xdr:nvPicPr>
        <xdr:cNvPr id="27" name="Picture 26" descr="C:\Users\lbasham\Desktop\1-MM-Standard-logo-small.jpg">
          <a:extLst>
            <a:ext uri="{FF2B5EF4-FFF2-40B4-BE49-F238E27FC236}">
              <a16:creationId xmlns:a16="http://schemas.microsoft.com/office/drawing/2014/main" id="{00000000-0008-0000-1D00-00001B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32663" y="12380382"/>
          <a:ext cx="1143678" cy="51206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20</xdr:col>
          <xdr:colOff>7620</xdr:colOff>
          <xdr:row>15</xdr:row>
          <xdr:rowOff>0</xdr:rowOff>
        </xdr:from>
        <xdr:to>
          <xdr:col>21</xdr:col>
          <xdr:colOff>7620</xdr:colOff>
          <xdr:row>16</xdr:row>
          <xdr:rowOff>0</xdr:rowOff>
        </xdr:to>
        <xdr:sp macro="" textlink="">
          <xdr:nvSpPr>
            <xdr:cNvPr id="218138" name="Check Box 26" hidden="1">
              <a:extLst>
                <a:ext uri="{63B3BB69-23CF-44E3-9099-C40C66FF867C}">
                  <a14:compatExt spid="_x0000_s218138"/>
                </a:ext>
                <a:ext uri="{FF2B5EF4-FFF2-40B4-BE49-F238E27FC236}">
                  <a16:creationId xmlns:a16="http://schemas.microsoft.com/office/drawing/2014/main" id="{00000000-0008-0000-1D00-00001A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17</xdr:row>
          <xdr:rowOff>0</xdr:rowOff>
        </xdr:from>
        <xdr:to>
          <xdr:col>21</xdr:col>
          <xdr:colOff>7620</xdr:colOff>
          <xdr:row>18</xdr:row>
          <xdr:rowOff>0</xdr:rowOff>
        </xdr:to>
        <xdr:sp macro="" textlink="">
          <xdr:nvSpPr>
            <xdr:cNvPr id="218139" name="Check Box 27" hidden="1">
              <a:extLst>
                <a:ext uri="{63B3BB69-23CF-44E3-9099-C40C66FF867C}">
                  <a14:compatExt spid="_x0000_s218139"/>
                </a:ext>
                <a:ext uri="{FF2B5EF4-FFF2-40B4-BE49-F238E27FC236}">
                  <a16:creationId xmlns:a16="http://schemas.microsoft.com/office/drawing/2014/main" id="{00000000-0008-0000-1D00-00001B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19</xdr:row>
          <xdr:rowOff>0</xdr:rowOff>
        </xdr:from>
        <xdr:to>
          <xdr:col>21</xdr:col>
          <xdr:colOff>7620</xdr:colOff>
          <xdr:row>19</xdr:row>
          <xdr:rowOff>144780</xdr:rowOff>
        </xdr:to>
        <xdr:sp macro="" textlink="">
          <xdr:nvSpPr>
            <xdr:cNvPr id="218140" name="Check Box 28" hidden="1">
              <a:extLst>
                <a:ext uri="{63B3BB69-23CF-44E3-9099-C40C66FF867C}">
                  <a14:compatExt spid="_x0000_s218140"/>
                </a:ext>
                <a:ext uri="{FF2B5EF4-FFF2-40B4-BE49-F238E27FC236}">
                  <a16:creationId xmlns:a16="http://schemas.microsoft.com/office/drawing/2014/main" id="{00000000-0008-0000-1D00-00001C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21</xdr:row>
          <xdr:rowOff>0</xdr:rowOff>
        </xdr:from>
        <xdr:to>
          <xdr:col>21</xdr:col>
          <xdr:colOff>7620</xdr:colOff>
          <xdr:row>21</xdr:row>
          <xdr:rowOff>144780</xdr:rowOff>
        </xdr:to>
        <xdr:sp macro="" textlink="">
          <xdr:nvSpPr>
            <xdr:cNvPr id="218141" name="Check Box 29" hidden="1">
              <a:extLst>
                <a:ext uri="{63B3BB69-23CF-44E3-9099-C40C66FF867C}">
                  <a14:compatExt spid="_x0000_s218141"/>
                </a:ext>
                <a:ext uri="{FF2B5EF4-FFF2-40B4-BE49-F238E27FC236}">
                  <a16:creationId xmlns:a16="http://schemas.microsoft.com/office/drawing/2014/main" id="{00000000-0008-0000-1D00-00001D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23</xdr:row>
          <xdr:rowOff>0</xdr:rowOff>
        </xdr:from>
        <xdr:to>
          <xdr:col>21</xdr:col>
          <xdr:colOff>7620</xdr:colOff>
          <xdr:row>23</xdr:row>
          <xdr:rowOff>144780</xdr:rowOff>
        </xdr:to>
        <xdr:sp macro="" textlink="">
          <xdr:nvSpPr>
            <xdr:cNvPr id="218142" name="Check Box 30" hidden="1">
              <a:extLst>
                <a:ext uri="{63B3BB69-23CF-44E3-9099-C40C66FF867C}">
                  <a14:compatExt spid="_x0000_s218142"/>
                </a:ext>
                <a:ext uri="{FF2B5EF4-FFF2-40B4-BE49-F238E27FC236}">
                  <a16:creationId xmlns:a16="http://schemas.microsoft.com/office/drawing/2014/main" id="{00000000-0008-0000-1D00-00001E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35</xdr:row>
          <xdr:rowOff>0</xdr:rowOff>
        </xdr:from>
        <xdr:to>
          <xdr:col>21</xdr:col>
          <xdr:colOff>7620</xdr:colOff>
          <xdr:row>36</xdr:row>
          <xdr:rowOff>0</xdr:rowOff>
        </xdr:to>
        <xdr:sp macro="" textlink="">
          <xdr:nvSpPr>
            <xdr:cNvPr id="218144" name="Check Box 32" hidden="1">
              <a:extLst>
                <a:ext uri="{63B3BB69-23CF-44E3-9099-C40C66FF867C}">
                  <a14:compatExt spid="_x0000_s218144"/>
                </a:ext>
                <a:ext uri="{FF2B5EF4-FFF2-40B4-BE49-F238E27FC236}">
                  <a16:creationId xmlns:a16="http://schemas.microsoft.com/office/drawing/2014/main" id="{00000000-0008-0000-1D00-000020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37</xdr:row>
          <xdr:rowOff>0</xdr:rowOff>
        </xdr:from>
        <xdr:to>
          <xdr:col>21</xdr:col>
          <xdr:colOff>7620</xdr:colOff>
          <xdr:row>38</xdr:row>
          <xdr:rowOff>0</xdr:rowOff>
        </xdr:to>
        <xdr:sp macro="" textlink="">
          <xdr:nvSpPr>
            <xdr:cNvPr id="218145" name="Check Box 33" hidden="1">
              <a:extLst>
                <a:ext uri="{63B3BB69-23CF-44E3-9099-C40C66FF867C}">
                  <a14:compatExt spid="_x0000_s218145"/>
                </a:ext>
                <a:ext uri="{FF2B5EF4-FFF2-40B4-BE49-F238E27FC236}">
                  <a16:creationId xmlns:a16="http://schemas.microsoft.com/office/drawing/2014/main" id="{00000000-0008-0000-1D00-000021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39</xdr:row>
          <xdr:rowOff>0</xdr:rowOff>
        </xdr:from>
        <xdr:to>
          <xdr:col>21</xdr:col>
          <xdr:colOff>7620</xdr:colOff>
          <xdr:row>40</xdr:row>
          <xdr:rowOff>0</xdr:rowOff>
        </xdr:to>
        <xdr:sp macro="" textlink="">
          <xdr:nvSpPr>
            <xdr:cNvPr id="218146" name="Check Box 34" hidden="1">
              <a:extLst>
                <a:ext uri="{63B3BB69-23CF-44E3-9099-C40C66FF867C}">
                  <a14:compatExt spid="_x0000_s218146"/>
                </a:ext>
                <a:ext uri="{FF2B5EF4-FFF2-40B4-BE49-F238E27FC236}">
                  <a16:creationId xmlns:a16="http://schemas.microsoft.com/office/drawing/2014/main" id="{00000000-0008-0000-1D00-000022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41</xdr:row>
          <xdr:rowOff>0</xdr:rowOff>
        </xdr:from>
        <xdr:to>
          <xdr:col>21</xdr:col>
          <xdr:colOff>7620</xdr:colOff>
          <xdr:row>42</xdr:row>
          <xdr:rowOff>0</xdr:rowOff>
        </xdr:to>
        <xdr:sp macro="" textlink="">
          <xdr:nvSpPr>
            <xdr:cNvPr id="218147" name="Check Box 35" hidden="1">
              <a:extLst>
                <a:ext uri="{63B3BB69-23CF-44E3-9099-C40C66FF867C}">
                  <a14:compatExt spid="_x0000_s218147"/>
                </a:ext>
                <a:ext uri="{FF2B5EF4-FFF2-40B4-BE49-F238E27FC236}">
                  <a16:creationId xmlns:a16="http://schemas.microsoft.com/office/drawing/2014/main" id="{00000000-0008-0000-1D00-000023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43</xdr:row>
          <xdr:rowOff>0</xdr:rowOff>
        </xdr:from>
        <xdr:to>
          <xdr:col>21</xdr:col>
          <xdr:colOff>7620</xdr:colOff>
          <xdr:row>44</xdr:row>
          <xdr:rowOff>0</xdr:rowOff>
        </xdr:to>
        <xdr:sp macro="" textlink="">
          <xdr:nvSpPr>
            <xdr:cNvPr id="218148" name="Check Box 36" hidden="1">
              <a:extLst>
                <a:ext uri="{63B3BB69-23CF-44E3-9099-C40C66FF867C}">
                  <a14:compatExt spid="_x0000_s218148"/>
                </a:ext>
                <a:ext uri="{FF2B5EF4-FFF2-40B4-BE49-F238E27FC236}">
                  <a16:creationId xmlns:a16="http://schemas.microsoft.com/office/drawing/2014/main" id="{00000000-0008-0000-1D00-000024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55</xdr:row>
          <xdr:rowOff>0</xdr:rowOff>
        </xdr:from>
        <xdr:to>
          <xdr:col>21</xdr:col>
          <xdr:colOff>7620</xdr:colOff>
          <xdr:row>56</xdr:row>
          <xdr:rowOff>0</xdr:rowOff>
        </xdr:to>
        <xdr:sp macro="" textlink="">
          <xdr:nvSpPr>
            <xdr:cNvPr id="218150" name="Check Box 38" hidden="1">
              <a:extLst>
                <a:ext uri="{63B3BB69-23CF-44E3-9099-C40C66FF867C}">
                  <a14:compatExt spid="_x0000_s218150"/>
                </a:ext>
                <a:ext uri="{FF2B5EF4-FFF2-40B4-BE49-F238E27FC236}">
                  <a16:creationId xmlns:a16="http://schemas.microsoft.com/office/drawing/2014/main" id="{00000000-0008-0000-1D00-000026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57</xdr:row>
          <xdr:rowOff>0</xdr:rowOff>
        </xdr:from>
        <xdr:to>
          <xdr:col>21</xdr:col>
          <xdr:colOff>7620</xdr:colOff>
          <xdr:row>58</xdr:row>
          <xdr:rowOff>0</xdr:rowOff>
        </xdr:to>
        <xdr:sp macro="" textlink="">
          <xdr:nvSpPr>
            <xdr:cNvPr id="218151" name="Check Box 39" hidden="1">
              <a:extLst>
                <a:ext uri="{63B3BB69-23CF-44E3-9099-C40C66FF867C}">
                  <a14:compatExt spid="_x0000_s218151"/>
                </a:ext>
                <a:ext uri="{FF2B5EF4-FFF2-40B4-BE49-F238E27FC236}">
                  <a16:creationId xmlns:a16="http://schemas.microsoft.com/office/drawing/2014/main" id="{00000000-0008-0000-1D00-000027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59</xdr:row>
          <xdr:rowOff>0</xdr:rowOff>
        </xdr:from>
        <xdr:to>
          <xdr:col>21</xdr:col>
          <xdr:colOff>7620</xdr:colOff>
          <xdr:row>60</xdr:row>
          <xdr:rowOff>0</xdr:rowOff>
        </xdr:to>
        <xdr:sp macro="" textlink="">
          <xdr:nvSpPr>
            <xdr:cNvPr id="218152" name="Check Box 40" hidden="1">
              <a:extLst>
                <a:ext uri="{63B3BB69-23CF-44E3-9099-C40C66FF867C}">
                  <a14:compatExt spid="_x0000_s218152"/>
                </a:ext>
                <a:ext uri="{FF2B5EF4-FFF2-40B4-BE49-F238E27FC236}">
                  <a16:creationId xmlns:a16="http://schemas.microsoft.com/office/drawing/2014/main" id="{00000000-0008-0000-1D00-000028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61</xdr:row>
          <xdr:rowOff>0</xdr:rowOff>
        </xdr:from>
        <xdr:to>
          <xdr:col>21</xdr:col>
          <xdr:colOff>7620</xdr:colOff>
          <xdr:row>62</xdr:row>
          <xdr:rowOff>0</xdr:rowOff>
        </xdr:to>
        <xdr:sp macro="" textlink="">
          <xdr:nvSpPr>
            <xdr:cNvPr id="218153" name="Check Box 41" hidden="1">
              <a:extLst>
                <a:ext uri="{63B3BB69-23CF-44E3-9099-C40C66FF867C}">
                  <a14:compatExt spid="_x0000_s218153"/>
                </a:ext>
                <a:ext uri="{FF2B5EF4-FFF2-40B4-BE49-F238E27FC236}">
                  <a16:creationId xmlns:a16="http://schemas.microsoft.com/office/drawing/2014/main" id="{00000000-0008-0000-1D00-000029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63</xdr:row>
          <xdr:rowOff>0</xdr:rowOff>
        </xdr:from>
        <xdr:to>
          <xdr:col>21</xdr:col>
          <xdr:colOff>7620</xdr:colOff>
          <xdr:row>64</xdr:row>
          <xdr:rowOff>0</xdr:rowOff>
        </xdr:to>
        <xdr:sp macro="" textlink="">
          <xdr:nvSpPr>
            <xdr:cNvPr id="218154" name="Check Box 42" hidden="1">
              <a:extLst>
                <a:ext uri="{63B3BB69-23CF-44E3-9099-C40C66FF867C}">
                  <a14:compatExt spid="_x0000_s218154"/>
                </a:ext>
                <a:ext uri="{FF2B5EF4-FFF2-40B4-BE49-F238E27FC236}">
                  <a16:creationId xmlns:a16="http://schemas.microsoft.com/office/drawing/2014/main" id="{00000000-0008-0000-1D00-00002A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75</xdr:row>
          <xdr:rowOff>0</xdr:rowOff>
        </xdr:from>
        <xdr:to>
          <xdr:col>21</xdr:col>
          <xdr:colOff>7620</xdr:colOff>
          <xdr:row>76</xdr:row>
          <xdr:rowOff>0</xdr:rowOff>
        </xdr:to>
        <xdr:sp macro="" textlink="">
          <xdr:nvSpPr>
            <xdr:cNvPr id="218156" name="Check Box 44" hidden="1">
              <a:extLst>
                <a:ext uri="{63B3BB69-23CF-44E3-9099-C40C66FF867C}">
                  <a14:compatExt spid="_x0000_s218156"/>
                </a:ext>
                <a:ext uri="{FF2B5EF4-FFF2-40B4-BE49-F238E27FC236}">
                  <a16:creationId xmlns:a16="http://schemas.microsoft.com/office/drawing/2014/main" id="{00000000-0008-0000-1D00-00002C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77</xdr:row>
          <xdr:rowOff>0</xdr:rowOff>
        </xdr:from>
        <xdr:to>
          <xdr:col>21</xdr:col>
          <xdr:colOff>7620</xdr:colOff>
          <xdr:row>78</xdr:row>
          <xdr:rowOff>0</xdr:rowOff>
        </xdr:to>
        <xdr:sp macro="" textlink="">
          <xdr:nvSpPr>
            <xdr:cNvPr id="218157" name="Check Box 45" hidden="1">
              <a:extLst>
                <a:ext uri="{63B3BB69-23CF-44E3-9099-C40C66FF867C}">
                  <a14:compatExt spid="_x0000_s218157"/>
                </a:ext>
                <a:ext uri="{FF2B5EF4-FFF2-40B4-BE49-F238E27FC236}">
                  <a16:creationId xmlns:a16="http://schemas.microsoft.com/office/drawing/2014/main" id="{00000000-0008-0000-1D00-00002D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79</xdr:row>
          <xdr:rowOff>0</xdr:rowOff>
        </xdr:from>
        <xdr:to>
          <xdr:col>21</xdr:col>
          <xdr:colOff>7620</xdr:colOff>
          <xdr:row>80</xdr:row>
          <xdr:rowOff>0</xdr:rowOff>
        </xdr:to>
        <xdr:sp macro="" textlink="">
          <xdr:nvSpPr>
            <xdr:cNvPr id="218158" name="Check Box 46" hidden="1">
              <a:extLst>
                <a:ext uri="{63B3BB69-23CF-44E3-9099-C40C66FF867C}">
                  <a14:compatExt spid="_x0000_s218158"/>
                </a:ext>
                <a:ext uri="{FF2B5EF4-FFF2-40B4-BE49-F238E27FC236}">
                  <a16:creationId xmlns:a16="http://schemas.microsoft.com/office/drawing/2014/main" id="{00000000-0008-0000-1D00-00002E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81</xdr:row>
          <xdr:rowOff>0</xdr:rowOff>
        </xdr:from>
        <xdr:to>
          <xdr:col>21</xdr:col>
          <xdr:colOff>7620</xdr:colOff>
          <xdr:row>82</xdr:row>
          <xdr:rowOff>0</xdr:rowOff>
        </xdr:to>
        <xdr:sp macro="" textlink="">
          <xdr:nvSpPr>
            <xdr:cNvPr id="218159" name="Check Box 47" hidden="1">
              <a:extLst>
                <a:ext uri="{63B3BB69-23CF-44E3-9099-C40C66FF867C}">
                  <a14:compatExt spid="_x0000_s218159"/>
                </a:ext>
                <a:ext uri="{FF2B5EF4-FFF2-40B4-BE49-F238E27FC236}">
                  <a16:creationId xmlns:a16="http://schemas.microsoft.com/office/drawing/2014/main" id="{00000000-0008-0000-1D00-00002F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83</xdr:row>
          <xdr:rowOff>0</xdr:rowOff>
        </xdr:from>
        <xdr:to>
          <xdr:col>21</xdr:col>
          <xdr:colOff>7620</xdr:colOff>
          <xdr:row>84</xdr:row>
          <xdr:rowOff>0</xdr:rowOff>
        </xdr:to>
        <xdr:sp macro="" textlink="">
          <xdr:nvSpPr>
            <xdr:cNvPr id="218160" name="Check Box 48" hidden="1">
              <a:extLst>
                <a:ext uri="{63B3BB69-23CF-44E3-9099-C40C66FF867C}">
                  <a14:compatExt spid="_x0000_s218160"/>
                </a:ext>
                <a:ext uri="{FF2B5EF4-FFF2-40B4-BE49-F238E27FC236}">
                  <a16:creationId xmlns:a16="http://schemas.microsoft.com/office/drawing/2014/main" id="{00000000-0008-0000-1D00-000030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93</xdr:row>
          <xdr:rowOff>0</xdr:rowOff>
        </xdr:from>
        <xdr:to>
          <xdr:col>21</xdr:col>
          <xdr:colOff>7620</xdr:colOff>
          <xdr:row>94</xdr:row>
          <xdr:rowOff>0</xdr:rowOff>
        </xdr:to>
        <xdr:sp macro="" textlink="">
          <xdr:nvSpPr>
            <xdr:cNvPr id="218161" name="Check Box 49" hidden="1">
              <a:extLst>
                <a:ext uri="{63B3BB69-23CF-44E3-9099-C40C66FF867C}">
                  <a14:compatExt spid="_x0000_s218161"/>
                </a:ext>
                <a:ext uri="{FF2B5EF4-FFF2-40B4-BE49-F238E27FC236}">
                  <a16:creationId xmlns:a16="http://schemas.microsoft.com/office/drawing/2014/main" id="{00000000-0008-0000-1D00-000031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95</xdr:row>
          <xdr:rowOff>0</xdr:rowOff>
        </xdr:from>
        <xdr:to>
          <xdr:col>21</xdr:col>
          <xdr:colOff>7620</xdr:colOff>
          <xdr:row>96</xdr:row>
          <xdr:rowOff>0</xdr:rowOff>
        </xdr:to>
        <xdr:sp macro="" textlink="">
          <xdr:nvSpPr>
            <xdr:cNvPr id="218162" name="Check Box 50" hidden="1">
              <a:extLst>
                <a:ext uri="{63B3BB69-23CF-44E3-9099-C40C66FF867C}">
                  <a14:compatExt spid="_x0000_s218162"/>
                </a:ext>
                <a:ext uri="{FF2B5EF4-FFF2-40B4-BE49-F238E27FC236}">
                  <a16:creationId xmlns:a16="http://schemas.microsoft.com/office/drawing/2014/main" id="{00000000-0008-0000-1D00-000032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97</xdr:row>
          <xdr:rowOff>0</xdr:rowOff>
        </xdr:from>
        <xdr:to>
          <xdr:col>21</xdr:col>
          <xdr:colOff>7620</xdr:colOff>
          <xdr:row>98</xdr:row>
          <xdr:rowOff>0</xdr:rowOff>
        </xdr:to>
        <xdr:sp macro="" textlink="">
          <xdr:nvSpPr>
            <xdr:cNvPr id="218163" name="Check Box 51" hidden="1">
              <a:extLst>
                <a:ext uri="{63B3BB69-23CF-44E3-9099-C40C66FF867C}">
                  <a14:compatExt spid="_x0000_s218163"/>
                </a:ext>
                <a:ext uri="{FF2B5EF4-FFF2-40B4-BE49-F238E27FC236}">
                  <a16:creationId xmlns:a16="http://schemas.microsoft.com/office/drawing/2014/main" id="{00000000-0008-0000-1D00-000033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99</xdr:row>
          <xdr:rowOff>0</xdr:rowOff>
        </xdr:from>
        <xdr:to>
          <xdr:col>21</xdr:col>
          <xdr:colOff>7620</xdr:colOff>
          <xdr:row>100</xdr:row>
          <xdr:rowOff>0</xdr:rowOff>
        </xdr:to>
        <xdr:sp macro="" textlink="">
          <xdr:nvSpPr>
            <xdr:cNvPr id="218164" name="Check Box 52" hidden="1">
              <a:extLst>
                <a:ext uri="{63B3BB69-23CF-44E3-9099-C40C66FF867C}">
                  <a14:compatExt spid="_x0000_s218164"/>
                </a:ext>
                <a:ext uri="{FF2B5EF4-FFF2-40B4-BE49-F238E27FC236}">
                  <a16:creationId xmlns:a16="http://schemas.microsoft.com/office/drawing/2014/main" id="{00000000-0008-0000-1D00-000034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101</xdr:row>
          <xdr:rowOff>0</xdr:rowOff>
        </xdr:from>
        <xdr:to>
          <xdr:col>21</xdr:col>
          <xdr:colOff>7620</xdr:colOff>
          <xdr:row>102</xdr:row>
          <xdr:rowOff>0</xdr:rowOff>
        </xdr:to>
        <xdr:sp macro="" textlink="">
          <xdr:nvSpPr>
            <xdr:cNvPr id="218165" name="Check Box 53" hidden="1">
              <a:extLst>
                <a:ext uri="{63B3BB69-23CF-44E3-9099-C40C66FF867C}">
                  <a14:compatExt spid="_x0000_s218165"/>
                </a:ext>
                <a:ext uri="{FF2B5EF4-FFF2-40B4-BE49-F238E27FC236}">
                  <a16:creationId xmlns:a16="http://schemas.microsoft.com/office/drawing/2014/main" id="{00000000-0008-0000-1D00-0000355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94</xdr:row>
          <xdr:rowOff>38100</xdr:rowOff>
        </xdr:from>
        <xdr:to>
          <xdr:col>6</xdr:col>
          <xdr:colOff>1272540</xdr:colOff>
          <xdr:row>95</xdr:row>
          <xdr:rowOff>144780</xdr:rowOff>
        </xdr:to>
        <xdr:sp macro="" textlink="">
          <xdr:nvSpPr>
            <xdr:cNvPr id="218178" name="Drop Down 66" hidden="1">
              <a:extLst>
                <a:ext uri="{63B3BB69-23CF-44E3-9099-C40C66FF867C}">
                  <a14:compatExt spid="_x0000_s218178"/>
                </a:ext>
                <a:ext uri="{FF2B5EF4-FFF2-40B4-BE49-F238E27FC236}">
                  <a16:creationId xmlns:a16="http://schemas.microsoft.com/office/drawing/2014/main" id="{00000000-0008-0000-1D00-000042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96</xdr:row>
          <xdr:rowOff>38100</xdr:rowOff>
        </xdr:from>
        <xdr:to>
          <xdr:col>6</xdr:col>
          <xdr:colOff>1272540</xdr:colOff>
          <xdr:row>97</xdr:row>
          <xdr:rowOff>144780</xdr:rowOff>
        </xdr:to>
        <xdr:sp macro="" textlink="">
          <xdr:nvSpPr>
            <xdr:cNvPr id="218179" name="Drop Down 67" hidden="1">
              <a:extLst>
                <a:ext uri="{63B3BB69-23CF-44E3-9099-C40C66FF867C}">
                  <a14:compatExt spid="_x0000_s218179"/>
                </a:ext>
                <a:ext uri="{FF2B5EF4-FFF2-40B4-BE49-F238E27FC236}">
                  <a16:creationId xmlns:a16="http://schemas.microsoft.com/office/drawing/2014/main" id="{00000000-0008-0000-1D00-000043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98</xdr:row>
          <xdr:rowOff>30480</xdr:rowOff>
        </xdr:from>
        <xdr:to>
          <xdr:col>6</xdr:col>
          <xdr:colOff>1272540</xdr:colOff>
          <xdr:row>99</xdr:row>
          <xdr:rowOff>144780</xdr:rowOff>
        </xdr:to>
        <xdr:sp macro="" textlink="">
          <xdr:nvSpPr>
            <xdr:cNvPr id="218180" name="Drop Down 68" hidden="1">
              <a:extLst>
                <a:ext uri="{63B3BB69-23CF-44E3-9099-C40C66FF867C}">
                  <a14:compatExt spid="_x0000_s218180"/>
                </a:ext>
                <a:ext uri="{FF2B5EF4-FFF2-40B4-BE49-F238E27FC236}">
                  <a16:creationId xmlns:a16="http://schemas.microsoft.com/office/drawing/2014/main" id="{00000000-0008-0000-1D00-000044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100</xdr:row>
          <xdr:rowOff>38100</xdr:rowOff>
        </xdr:from>
        <xdr:to>
          <xdr:col>6</xdr:col>
          <xdr:colOff>1272540</xdr:colOff>
          <xdr:row>101</xdr:row>
          <xdr:rowOff>144780</xdr:rowOff>
        </xdr:to>
        <xdr:sp macro="" textlink="">
          <xdr:nvSpPr>
            <xdr:cNvPr id="218181" name="Drop Down 69" hidden="1">
              <a:extLst>
                <a:ext uri="{63B3BB69-23CF-44E3-9099-C40C66FF867C}">
                  <a14:compatExt spid="_x0000_s218181"/>
                </a:ext>
                <a:ext uri="{FF2B5EF4-FFF2-40B4-BE49-F238E27FC236}">
                  <a16:creationId xmlns:a16="http://schemas.microsoft.com/office/drawing/2014/main" id="{00000000-0008-0000-1D00-000045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403860</xdr:colOff>
          <xdr:row>0</xdr:row>
          <xdr:rowOff>7620</xdr:rowOff>
        </xdr:from>
        <xdr:to>
          <xdr:col>3</xdr:col>
          <xdr:colOff>838200</xdr:colOff>
          <xdr:row>1</xdr:row>
          <xdr:rowOff>99060</xdr:rowOff>
        </xdr:to>
        <xdr:sp macro="" textlink="">
          <xdr:nvSpPr>
            <xdr:cNvPr id="218189" name="Button 77" hidden="1">
              <a:extLst>
                <a:ext uri="{63B3BB69-23CF-44E3-9099-C40C66FF867C}">
                  <a14:compatExt spid="_x0000_s218189"/>
                </a:ext>
                <a:ext uri="{FF2B5EF4-FFF2-40B4-BE49-F238E27FC236}">
                  <a16:creationId xmlns:a16="http://schemas.microsoft.com/office/drawing/2014/main" id="{00000000-0008-0000-1D00-00004D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3</xdr:col>
          <xdr:colOff>350520</xdr:colOff>
          <xdr:row>1</xdr:row>
          <xdr:rowOff>99060</xdr:rowOff>
        </xdr:to>
        <xdr:sp macro="" textlink="">
          <xdr:nvSpPr>
            <xdr:cNvPr id="218190" name="Button 78" hidden="1">
              <a:extLst>
                <a:ext uri="{63B3BB69-23CF-44E3-9099-C40C66FF867C}">
                  <a14:compatExt spid="_x0000_s218190"/>
                </a:ext>
                <a:ext uri="{FF2B5EF4-FFF2-40B4-BE49-F238E27FC236}">
                  <a16:creationId xmlns:a16="http://schemas.microsoft.com/office/drawing/2014/main" id="{00000000-0008-0000-1D00-00004E5403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15240</xdr:rowOff>
        </xdr:from>
        <xdr:to>
          <xdr:col>3</xdr:col>
          <xdr:colOff>342900</xdr:colOff>
          <xdr:row>4</xdr:row>
          <xdr:rowOff>38100</xdr:rowOff>
        </xdr:to>
        <xdr:sp macro="" textlink="">
          <xdr:nvSpPr>
            <xdr:cNvPr id="218191" name="Button 79" hidden="1">
              <a:extLst>
                <a:ext uri="{63B3BB69-23CF-44E3-9099-C40C66FF867C}">
                  <a14:compatExt spid="_x0000_s218191"/>
                </a:ext>
                <a:ext uri="{FF2B5EF4-FFF2-40B4-BE49-F238E27FC236}">
                  <a16:creationId xmlns:a16="http://schemas.microsoft.com/office/drawing/2014/main" id="{00000000-0008-0000-1D00-00004F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2</xdr:row>
          <xdr:rowOff>15240</xdr:rowOff>
        </xdr:from>
        <xdr:to>
          <xdr:col>3</xdr:col>
          <xdr:colOff>838200</xdr:colOff>
          <xdr:row>4</xdr:row>
          <xdr:rowOff>45720</xdr:rowOff>
        </xdr:to>
        <xdr:sp macro="" textlink="">
          <xdr:nvSpPr>
            <xdr:cNvPr id="218192" name="Button 80" hidden="1">
              <a:extLst>
                <a:ext uri="{63B3BB69-23CF-44E3-9099-C40C66FF867C}">
                  <a14:compatExt spid="_x0000_s218192"/>
                </a:ext>
                <a:ext uri="{FF2B5EF4-FFF2-40B4-BE49-F238E27FC236}">
                  <a16:creationId xmlns:a16="http://schemas.microsoft.com/office/drawing/2014/main" id="{00000000-0008-0000-1D00-000050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Hide</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4</xdr:col>
      <xdr:colOff>175682</xdr:colOff>
      <xdr:row>60</xdr:row>
      <xdr:rowOff>17998</xdr:rowOff>
    </xdr:from>
    <xdr:to>
      <xdr:col>5</xdr:col>
      <xdr:colOff>478839</xdr:colOff>
      <xdr:row>62</xdr:row>
      <xdr:rowOff>151349</xdr:rowOff>
    </xdr:to>
    <xdr:pic>
      <xdr:nvPicPr>
        <xdr:cNvPr id="3" name="Picture 2" descr="C:\Users\lbasham\AppData\Local\Microsoft\Windows\Temporary Internet Files\Content.Outlook\AMGT183Z\1-MM-Standard-logo-small.jpg">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64932" y="12178248"/>
          <a:ext cx="1152787" cy="514351"/>
        </a:xfrm>
        <a:prstGeom prst="rect">
          <a:avLst/>
        </a:prstGeom>
        <a:noFill/>
        <a:ln>
          <a:noFill/>
        </a:ln>
      </xdr:spPr>
    </xdr:pic>
    <xdr:clientData/>
  </xdr:twoCellAnchor>
  <xdr:twoCellAnchor>
    <xdr:from>
      <xdr:col>0</xdr:col>
      <xdr:colOff>152400</xdr:colOff>
      <xdr:row>27</xdr:row>
      <xdr:rowOff>119591</xdr:rowOff>
    </xdr:from>
    <xdr:to>
      <xdr:col>8</xdr:col>
      <xdr:colOff>104775</xdr:colOff>
      <xdr:row>56</xdr:row>
      <xdr:rowOff>186266</xdr:rowOff>
    </xdr:to>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487680</xdr:colOff>
          <xdr:row>0</xdr:row>
          <xdr:rowOff>7620</xdr:rowOff>
        </xdr:from>
        <xdr:to>
          <xdr:col>1</xdr:col>
          <xdr:colOff>426720</xdr:colOff>
          <xdr:row>1</xdr:row>
          <xdr:rowOff>106680</xdr:rowOff>
        </xdr:to>
        <xdr:sp macro="" textlink="">
          <xdr:nvSpPr>
            <xdr:cNvPr id="518149" name="Button 5" hidden="1">
              <a:extLst>
                <a:ext uri="{63B3BB69-23CF-44E3-9099-C40C66FF867C}">
                  <a14:compatExt spid="_x0000_s518149"/>
                </a:ext>
                <a:ext uri="{FF2B5EF4-FFF2-40B4-BE49-F238E27FC236}">
                  <a16:creationId xmlns:a16="http://schemas.microsoft.com/office/drawing/2014/main" id="{00000000-0008-0000-1E00-000005E8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0</xdr:col>
          <xdr:colOff>434340</xdr:colOff>
          <xdr:row>1</xdr:row>
          <xdr:rowOff>106680</xdr:rowOff>
        </xdr:to>
        <xdr:sp macro="" textlink="">
          <xdr:nvSpPr>
            <xdr:cNvPr id="518150" name="Button 6" hidden="1">
              <a:extLst>
                <a:ext uri="{63B3BB69-23CF-44E3-9099-C40C66FF867C}">
                  <a14:compatExt spid="_x0000_s518150"/>
                </a:ext>
                <a:ext uri="{FF2B5EF4-FFF2-40B4-BE49-F238E27FC236}">
                  <a16:creationId xmlns:a16="http://schemas.microsoft.com/office/drawing/2014/main" id="{00000000-0008-0000-1E00-000006E807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480060</xdr:colOff>
          <xdr:row>0</xdr:row>
          <xdr:rowOff>7620</xdr:rowOff>
        </xdr:from>
        <xdr:to>
          <xdr:col>1</xdr:col>
          <xdr:colOff>914400</xdr:colOff>
          <xdr:row>1</xdr:row>
          <xdr:rowOff>106680</xdr:rowOff>
        </xdr:to>
        <xdr:sp macro="" textlink="">
          <xdr:nvSpPr>
            <xdr:cNvPr id="518151" name="Button 7" hidden="1">
              <a:extLst>
                <a:ext uri="{63B3BB69-23CF-44E3-9099-C40C66FF867C}">
                  <a14:compatExt spid="_x0000_s518151"/>
                </a:ext>
                <a:ext uri="{FF2B5EF4-FFF2-40B4-BE49-F238E27FC236}">
                  <a16:creationId xmlns:a16="http://schemas.microsoft.com/office/drawing/2014/main" id="{00000000-0008-0000-1E00-000007E8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160020</xdr:rowOff>
        </xdr:from>
        <xdr:to>
          <xdr:col>0</xdr:col>
          <xdr:colOff>441960</xdr:colOff>
          <xdr:row>2</xdr:row>
          <xdr:rowOff>15240</xdr:rowOff>
        </xdr:to>
        <xdr:sp macro="" textlink="">
          <xdr:nvSpPr>
            <xdr:cNvPr id="518152" name="Button 8" hidden="1">
              <a:extLst>
                <a:ext uri="{63B3BB69-23CF-44E3-9099-C40C66FF867C}">
                  <a14:compatExt spid="_x0000_s518152"/>
                </a:ext>
                <a:ext uri="{FF2B5EF4-FFF2-40B4-BE49-F238E27FC236}">
                  <a16:creationId xmlns:a16="http://schemas.microsoft.com/office/drawing/2014/main" id="{00000000-0008-0000-1E00-000008E8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Hide</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6</xdr:col>
      <xdr:colOff>14290</xdr:colOff>
      <xdr:row>54</xdr:row>
      <xdr:rowOff>67728</xdr:rowOff>
    </xdr:from>
    <xdr:to>
      <xdr:col>7</xdr:col>
      <xdr:colOff>397879</xdr:colOff>
      <xdr:row>57</xdr:row>
      <xdr:rowOff>74078</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1F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04623" y="12352861"/>
          <a:ext cx="1060923" cy="50588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9</xdr:col>
          <xdr:colOff>289560</xdr:colOff>
          <xdr:row>32</xdr:row>
          <xdr:rowOff>7620</xdr:rowOff>
        </xdr:from>
        <xdr:to>
          <xdr:col>10</xdr:col>
          <xdr:colOff>426720</xdr:colOff>
          <xdr:row>33</xdr:row>
          <xdr:rowOff>22860</xdr:rowOff>
        </xdr:to>
        <xdr:sp macro="" textlink="">
          <xdr:nvSpPr>
            <xdr:cNvPr id="513029" name="Check Box 5" hidden="1">
              <a:extLst>
                <a:ext uri="{63B3BB69-23CF-44E3-9099-C40C66FF867C}">
                  <a14:compatExt spid="_x0000_s513029"/>
                </a:ext>
                <a:ext uri="{FF2B5EF4-FFF2-40B4-BE49-F238E27FC236}">
                  <a16:creationId xmlns:a16="http://schemas.microsoft.com/office/drawing/2014/main" id="{00000000-0008-0000-1F00-000005D4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 Liabilities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350520</xdr:colOff>
          <xdr:row>23</xdr:row>
          <xdr:rowOff>15240</xdr:rowOff>
        </xdr:from>
        <xdr:to>
          <xdr:col>10</xdr:col>
          <xdr:colOff>480060</xdr:colOff>
          <xdr:row>24</xdr:row>
          <xdr:rowOff>15240</xdr:rowOff>
        </xdr:to>
        <xdr:sp macro="" textlink="">
          <xdr:nvSpPr>
            <xdr:cNvPr id="513031" name="Check Box 7" hidden="1">
              <a:extLst>
                <a:ext uri="{63B3BB69-23CF-44E3-9099-C40C66FF867C}">
                  <a14:compatExt spid="_x0000_s513031"/>
                </a:ext>
                <a:ext uri="{FF2B5EF4-FFF2-40B4-BE49-F238E27FC236}">
                  <a16:creationId xmlns:a16="http://schemas.microsoft.com/office/drawing/2014/main" id="{00000000-0008-0000-1F00-000007D4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 Assets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41</xdr:row>
          <xdr:rowOff>53340</xdr:rowOff>
        </xdr:from>
        <xdr:to>
          <xdr:col>7</xdr:col>
          <xdr:colOff>480060</xdr:colOff>
          <xdr:row>41</xdr:row>
          <xdr:rowOff>350520</xdr:rowOff>
        </xdr:to>
        <xdr:sp macro="" textlink="">
          <xdr:nvSpPr>
            <xdr:cNvPr id="513036" name="Option Button 12" hidden="1">
              <a:extLst>
                <a:ext uri="{63B3BB69-23CF-44E3-9099-C40C66FF867C}">
                  <a14:compatExt spid="_x0000_s513036"/>
                </a:ext>
                <a:ext uri="{FF2B5EF4-FFF2-40B4-BE49-F238E27FC236}">
                  <a16:creationId xmlns:a16="http://schemas.microsoft.com/office/drawing/2014/main" id="{00000000-0008-0000-1F00-00000CD4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312420</xdr:colOff>
          <xdr:row>41</xdr:row>
          <xdr:rowOff>45720</xdr:rowOff>
        </xdr:from>
        <xdr:to>
          <xdr:col>8</xdr:col>
          <xdr:colOff>1112520</xdr:colOff>
          <xdr:row>41</xdr:row>
          <xdr:rowOff>350520</xdr:rowOff>
        </xdr:to>
        <xdr:sp macro="" textlink="">
          <xdr:nvSpPr>
            <xdr:cNvPr id="513038" name="Option Button 14" hidden="1">
              <a:extLst>
                <a:ext uri="{63B3BB69-23CF-44E3-9099-C40C66FF867C}">
                  <a14:compatExt spid="_x0000_s513038"/>
                </a:ext>
                <a:ext uri="{FF2B5EF4-FFF2-40B4-BE49-F238E27FC236}">
                  <a16:creationId xmlns:a16="http://schemas.microsoft.com/office/drawing/2014/main" id="{00000000-0008-0000-1F00-00000ED4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xdr:colOff>
          <xdr:row>26</xdr:row>
          <xdr:rowOff>144780</xdr:rowOff>
        </xdr:from>
        <xdr:to>
          <xdr:col>8</xdr:col>
          <xdr:colOff>274320</xdr:colOff>
          <xdr:row>28</xdr:row>
          <xdr:rowOff>7620</xdr:rowOff>
        </xdr:to>
        <xdr:sp macro="" textlink="">
          <xdr:nvSpPr>
            <xdr:cNvPr id="513043" name="Check Box 19" hidden="1">
              <a:extLst>
                <a:ext uri="{63B3BB69-23CF-44E3-9099-C40C66FF867C}">
                  <a14:compatExt spid="_x0000_s513043"/>
                </a:ext>
                <a:ext uri="{FF2B5EF4-FFF2-40B4-BE49-F238E27FC236}">
                  <a16:creationId xmlns:a16="http://schemas.microsoft.com/office/drawing/2014/main" id="{00000000-0008-0000-1F00-000013D4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xdr:colOff>
          <xdr:row>0</xdr:row>
          <xdr:rowOff>7620</xdr:rowOff>
        </xdr:from>
        <xdr:to>
          <xdr:col>2</xdr:col>
          <xdr:colOff>30480</xdr:colOff>
          <xdr:row>1</xdr:row>
          <xdr:rowOff>99060</xdr:rowOff>
        </xdr:to>
        <xdr:sp macro="" textlink="">
          <xdr:nvSpPr>
            <xdr:cNvPr id="513044" name="Button 20" hidden="1">
              <a:extLst>
                <a:ext uri="{63B3BB69-23CF-44E3-9099-C40C66FF867C}">
                  <a14:compatExt spid="_x0000_s513044"/>
                </a:ext>
                <a:ext uri="{FF2B5EF4-FFF2-40B4-BE49-F238E27FC236}">
                  <a16:creationId xmlns:a16="http://schemas.microsoft.com/office/drawing/2014/main" id="{00000000-0008-0000-1F00-000014D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0</xdr:col>
          <xdr:colOff>434340</xdr:colOff>
          <xdr:row>1</xdr:row>
          <xdr:rowOff>99060</xdr:rowOff>
        </xdr:to>
        <xdr:sp macro="" textlink="">
          <xdr:nvSpPr>
            <xdr:cNvPr id="513045" name="Button 21" hidden="1">
              <a:extLst>
                <a:ext uri="{63B3BB69-23CF-44E3-9099-C40C66FF867C}">
                  <a14:compatExt spid="_x0000_s513045"/>
                </a:ext>
                <a:ext uri="{FF2B5EF4-FFF2-40B4-BE49-F238E27FC236}">
                  <a16:creationId xmlns:a16="http://schemas.microsoft.com/office/drawing/2014/main" id="{00000000-0008-0000-1F00-000015D407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0</xdr:row>
          <xdr:rowOff>7620</xdr:rowOff>
        </xdr:from>
        <xdr:to>
          <xdr:col>3</xdr:col>
          <xdr:colOff>220980</xdr:colOff>
          <xdr:row>1</xdr:row>
          <xdr:rowOff>99060</xdr:rowOff>
        </xdr:to>
        <xdr:sp macro="" textlink="">
          <xdr:nvSpPr>
            <xdr:cNvPr id="513046" name="Button 22" hidden="1">
              <a:extLst>
                <a:ext uri="{63B3BB69-23CF-44E3-9099-C40C66FF867C}">
                  <a14:compatExt spid="_x0000_s513046"/>
                </a:ext>
                <a:ext uri="{FF2B5EF4-FFF2-40B4-BE49-F238E27FC236}">
                  <a16:creationId xmlns:a16="http://schemas.microsoft.com/office/drawing/2014/main" id="{00000000-0008-0000-1F00-000016D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152400</xdr:rowOff>
        </xdr:from>
        <xdr:to>
          <xdr:col>0</xdr:col>
          <xdr:colOff>441960</xdr:colOff>
          <xdr:row>1</xdr:row>
          <xdr:rowOff>449580</xdr:rowOff>
        </xdr:to>
        <xdr:sp macro="" textlink="">
          <xdr:nvSpPr>
            <xdr:cNvPr id="513047" name="Button 23" hidden="1">
              <a:extLst>
                <a:ext uri="{63B3BB69-23CF-44E3-9099-C40C66FF867C}">
                  <a14:compatExt spid="_x0000_s513047"/>
                </a:ext>
                <a:ext uri="{FF2B5EF4-FFF2-40B4-BE49-F238E27FC236}">
                  <a16:creationId xmlns:a16="http://schemas.microsoft.com/office/drawing/2014/main" id="{00000000-0008-0000-1F00-000017D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Hide</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8</xdr:col>
      <xdr:colOff>285240</xdr:colOff>
      <xdr:row>65</xdr:row>
      <xdr:rowOff>0</xdr:rowOff>
    </xdr:from>
    <xdr:to>
      <xdr:col>10</xdr:col>
      <xdr:colOff>62616</xdr:colOff>
      <xdr:row>68</xdr:row>
      <xdr:rowOff>129542</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2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11507" y="11988800"/>
          <a:ext cx="1132042" cy="502075"/>
        </a:xfrm>
        <a:prstGeom prst="rect">
          <a:avLst/>
        </a:prstGeom>
        <a:noFill/>
        <a:ln>
          <a:noFill/>
        </a:ln>
      </xdr:spPr>
    </xdr:pic>
    <xdr:clientData/>
  </xdr:twoCellAnchor>
  <xdr:oneCellAnchor>
    <xdr:from>
      <xdr:col>8</xdr:col>
      <xdr:colOff>423333</xdr:colOff>
      <xdr:row>25</xdr:row>
      <xdr:rowOff>156633</xdr:rowOff>
    </xdr:from>
    <xdr:ext cx="65" cy="172227"/>
    <xdr:sp macro="" textlink="">
      <xdr:nvSpPr>
        <xdr:cNvPr id="3" name="TextBox 2">
          <a:extLst>
            <a:ext uri="{FF2B5EF4-FFF2-40B4-BE49-F238E27FC236}">
              <a16:creationId xmlns:a16="http://schemas.microsoft.com/office/drawing/2014/main" id="{00000000-0008-0000-2000-000003000000}"/>
            </a:ext>
          </a:extLst>
        </xdr:cNvPr>
        <xdr:cNvSpPr txBox="1"/>
      </xdr:nvSpPr>
      <xdr:spPr>
        <a:xfrm>
          <a:off x="3200400" y="571076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8</xdr:col>
      <xdr:colOff>423333</xdr:colOff>
      <xdr:row>44</xdr:row>
      <xdr:rowOff>0</xdr:rowOff>
    </xdr:from>
    <xdr:ext cx="65" cy="172227"/>
    <xdr:sp macro="" textlink="">
      <xdr:nvSpPr>
        <xdr:cNvPr id="7" name="TextBox 6">
          <a:extLst>
            <a:ext uri="{FF2B5EF4-FFF2-40B4-BE49-F238E27FC236}">
              <a16:creationId xmlns:a16="http://schemas.microsoft.com/office/drawing/2014/main" id="{00000000-0008-0000-2000-000007000000}"/>
            </a:ext>
          </a:extLst>
        </xdr:cNvPr>
        <xdr:cNvSpPr txBox="1"/>
      </xdr:nvSpPr>
      <xdr:spPr>
        <a:xfrm>
          <a:off x="3208866" y="51943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xdr:col>
          <xdr:colOff>91440</xdr:colOff>
          <xdr:row>31</xdr:row>
          <xdr:rowOff>15240</xdr:rowOff>
        </xdr:from>
        <xdr:to>
          <xdr:col>13</xdr:col>
          <xdr:colOff>518160</xdr:colOff>
          <xdr:row>31</xdr:row>
          <xdr:rowOff>228600</xdr:rowOff>
        </xdr:to>
        <xdr:sp macro="" textlink="">
          <xdr:nvSpPr>
            <xdr:cNvPr id="522256" name="Option Button 16" hidden="1">
              <a:extLst>
                <a:ext uri="{63B3BB69-23CF-44E3-9099-C40C66FF867C}">
                  <a14:compatExt spid="_x0000_s522256"/>
                </a:ext>
                <a:ext uri="{FF2B5EF4-FFF2-40B4-BE49-F238E27FC236}">
                  <a16:creationId xmlns:a16="http://schemas.microsoft.com/office/drawing/2014/main" id="{00000000-0008-0000-2000-000010F8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xdr:colOff>
          <xdr:row>33</xdr:row>
          <xdr:rowOff>15240</xdr:rowOff>
        </xdr:from>
        <xdr:to>
          <xdr:col>13</xdr:col>
          <xdr:colOff>518160</xdr:colOff>
          <xdr:row>33</xdr:row>
          <xdr:rowOff>243840</xdr:rowOff>
        </xdr:to>
        <xdr:sp macro="" textlink="">
          <xdr:nvSpPr>
            <xdr:cNvPr id="522257" name="Option Button 17" hidden="1">
              <a:extLst>
                <a:ext uri="{63B3BB69-23CF-44E3-9099-C40C66FF867C}">
                  <a14:compatExt spid="_x0000_s522257"/>
                </a:ext>
                <a:ext uri="{FF2B5EF4-FFF2-40B4-BE49-F238E27FC236}">
                  <a16:creationId xmlns:a16="http://schemas.microsoft.com/office/drawing/2014/main" id="{00000000-0008-0000-2000-000011F8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91440</xdr:colOff>
          <xdr:row>35</xdr:row>
          <xdr:rowOff>15240</xdr:rowOff>
        </xdr:from>
        <xdr:to>
          <xdr:col>14</xdr:col>
          <xdr:colOff>68580</xdr:colOff>
          <xdr:row>36</xdr:row>
          <xdr:rowOff>0</xdr:rowOff>
        </xdr:to>
        <xdr:sp macro="" textlink="">
          <xdr:nvSpPr>
            <xdr:cNvPr id="522258" name="Option Button 18" hidden="1">
              <a:extLst>
                <a:ext uri="{63B3BB69-23CF-44E3-9099-C40C66FF867C}">
                  <a14:compatExt spid="_x0000_s522258"/>
                </a:ext>
                <a:ext uri="{FF2B5EF4-FFF2-40B4-BE49-F238E27FC236}">
                  <a16:creationId xmlns:a16="http://schemas.microsoft.com/office/drawing/2014/main" id="{00000000-0008-0000-2000-000012F8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0</xdr:row>
          <xdr:rowOff>7620</xdr:rowOff>
        </xdr:from>
        <xdr:to>
          <xdr:col>2</xdr:col>
          <xdr:colOff>144780</xdr:colOff>
          <xdr:row>1</xdr:row>
          <xdr:rowOff>99060</xdr:rowOff>
        </xdr:to>
        <xdr:sp macro="" textlink="">
          <xdr:nvSpPr>
            <xdr:cNvPr id="522262" name="Button 22" hidden="1">
              <a:extLst>
                <a:ext uri="{63B3BB69-23CF-44E3-9099-C40C66FF867C}">
                  <a14:compatExt spid="_x0000_s522262"/>
                </a:ext>
                <a:ext uri="{FF2B5EF4-FFF2-40B4-BE49-F238E27FC236}">
                  <a16:creationId xmlns:a16="http://schemas.microsoft.com/office/drawing/2014/main" id="{00000000-0008-0000-2000-000016F8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1</xdr:col>
          <xdr:colOff>15240</xdr:colOff>
          <xdr:row>1</xdr:row>
          <xdr:rowOff>99060</xdr:rowOff>
        </xdr:to>
        <xdr:sp macro="" textlink="">
          <xdr:nvSpPr>
            <xdr:cNvPr id="522263" name="Button 23" hidden="1">
              <a:extLst>
                <a:ext uri="{63B3BB69-23CF-44E3-9099-C40C66FF867C}">
                  <a14:compatExt spid="_x0000_s522263"/>
                </a:ext>
                <a:ext uri="{FF2B5EF4-FFF2-40B4-BE49-F238E27FC236}">
                  <a16:creationId xmlns:a16="http://schemas.microsoft.com/office/drawing/2014/main" id="{00000000-0008-0000-2000-000017F807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198120</xdr:colOff>
          <xdr:row>0</xdr:row>
          <xdr:rowOff>7620</xdr:rowOff>
        </xdr:from>
        <xdr:to>
          <xdr:col>4</xdr:col>
          <xdr:colOff>22860</xdr:colOff>
          <xdr:row>1</xdr:row>
          <xdr:rowOff>99060</xdr:rowOff>
        </xdr:to>
        <xdr:sp macro="" textlink="">
          <xdr:nvSpPr>
            <xdr:cNvPr id="522264" name="Button 24" hidden="1">
              <a:extLst>
                <a:ext uri="{63B3BB69-23CF-44E3-9099-C40C66FF867C}">
                  <a14:compatExt spid="_x0000_s522264"/>
                </a:ext>
                <a:ext uri="{FF2B5EF4-FFF2-40B4-BE49-F238E27FC236}">
                  <a16:creationId xmlns:a16="http://schemas.microsoft.com/office/drawing/2014/main" id="{00000000-0008-0000-2000-000018F8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152400</xdr:rowOff>
        </xdr:from>
        <xdr:to>
          <xdr:col>1</xdr:col>
          <xdr:colOff>22860</xdr:colOff>
          <xdr:row>1</xdr:row>
          <xdr:rowOff>449580</xdr:rowOff>
        </xdr:to>
        <xdr:sp macro="" textlink="">
          <xdr:nvSpPr>
            <xdr:cNvPr id="522265" name="Button 25" hidden="1">
              <a:extLst>
                <a:ext uri="{63B3BB69-23CF-44E3-9099-C40C66FF867C}">
                  <a14:compatExt spid="_x0000_s522265"/>
                </a:ext>
                <a:ext uri="{FF2B5EF4-FFF2-40B4-BE49-F238E27FC236}">
                  <a16:creationId xmlns:a16="http://schemas.microsoft.com/office/drawing/2014/main" id="{00000000-0008-0000-2000-000019F8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Hide</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45720</xdr:colOff>
          <xdr:row>9</xdr:row>
          <xdr:rowOff>76200</xdr:rowOff>
        </xdr:from>
        <xdr:to>
          <xdr:col>6</xdr:col>
          <xdr:colOff>556260</xdr:colOff>
          <xdr:row>10</xdr:row>
          <xdr:rowOff>129540</xdr:rowOff>
        </xdr:to>
        <xdr:sp macro="" textlink="">
          <xdr:nvSpPr>
            <xdr:cNvPr id="557071" name="Option Button 15" hidden="1">
              <a:extLst>
                <a:ext uri="{63B3BB69-23CF-44E3-9099-C40C66FF867C}">
                  <a14:compatExt spid="_x0000_s557071"/>
                </a:ext>
                <a:ext uri="{FF2B5EF4-FFF2-40B4-BE49-F238E27FC236}">
                  <a16:creationId xmlns:a16="http://schemas.microsoft.com/office/drawing/2014/main" id="{00000000-0008-0000-2100-00000F80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579120</xdr:colOff>
          <xdr:row>9</xdr:row>
          <xdr:rowOff>76200</xdr:rowOff>
        </xdr:from>
        <xdr:to>
          <xdr:col>7</xdr:col>
          <xdr:colOff>350520</xdr:colOff>
          <xdr:row>10</xdr:row>
          <xdr:rowOff>129540</xdr:rowOff>
        </xdr:to>
        <xdr:sp macro="" textlink="">
          <xdr:nvSpPr>
            <xdr:cNvPr id="557072" name="Option Button 16" hidden="1">
              <a:extLst>
                <a:ext uri="{63B3BB69-23CF-44E3-9099-C40C66FF867C}">
                  <a14:compatExt spid="_x0000_s557072"/>
                </a:ext>
                <a:ext uri="{FF2B5EF4-FFF2-40B4-BE49-F238E27FC236}">
                  <a16:creationId xmlns:a16="http://schemas.microsoft.com/office/drawing/2014/main" id="{00000000-0008-0000-2100-0000108008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205740</xdr:colOff>
          <xdr:row>8</xdr:row>
          <xdr:rowOff>45720</xdr:rowOff>
        </xdr:from>
        <xdr:to>
          <xdr:col>8</xdr:col>
          <xdr:colOff>15240</xdr:colOff>
          <xdr:row>12</xdr:row>
          <xdr:rowOff>30480</xdr:rowOff>
        </xdr:to>
        <xdr:sp macro="" textlink="">
          <xdr:nvSpPr>
            <xdr:cNvPr id="557073" name="Group Box 17" hidden="1">
              <a:extLst>
                <a:ext uri="{63B3BB69-23CF-44E3-9099-C40C66FF867C}">
                  <a14:compatExt spid="_x0000_s557073"/>
                </a:ext>
                <a:ext uri="{FF2B5EF4-FFF2-40B4-BE49-F238E27FC236}">
                  <a16:creationId xmlns:a16="http://schemas.microsoft.com/office/drawing/2014/main" id="{00000000-0008-0000-2100-0000118008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38</a:t>
              </a:r>
            </a:p>
          </xdr:txBody>
        </xdr:sp>
        <xdr:clientData/>
      </xdr:twoCellAnchor>
    </mc:Choice>
    <mc:Fallback/>
  </mc:AlternateContent>
  <xdr:twoCellAnchor editAs="oneCell">
    <xdr:from>
      <xdr:col>6</xdr:col>
      <xdr:colOff>25401</xdr:colOff>
      <xdr:row>67</xdr:row>
      <xdr:rowOff>0</xdr:rowOff>
    </xdr:from>
    <xdr:to>
      <xdr:col>7</xdr:col>
      <xdr:colOff>536203</xdr:colOff>
      <xdr:row>72</xdr:row>
      <xdr:rowOff>129117</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2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35868" y="12327467"/>
          <a:ext cx="1162735" cy="50165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2</xdr:col>
          <xdr:colOff>335280</xdr:colOff>
          <xdr:row>0</xdr:row>
          <xdr:rowOff>7620</xdr:rowOff>
        </xdr:from>
        <xdr:to>
          <xdr:col>2</xdr:col>
          <xdr:colOff>769620</xdr:colOff>
          <xdr:row>1</xdr:row>
          <xdr:rowOff>106680</xdr:rowOff>
        </xdr:to>
        <xdr:sp macro="" textlink="">
          <xdr:nvSpPr>
            <xdr:cNvPr id="557076" name="Button 20" hidden="1">
              <a:extLst>
                <a:ext uri="{63B3BB69-23CF-44E3-9099-C40C66FF867C}">
                  <a14:compatExt spid="_x0000_s557076"/>
                </a:ext>
                <a:ext uri="{FF2B5EF4-FFF2-40B4-BE49-F238E27FC236}">
                  <a16:creationId xmlns:a16="http://schemas.microsoft.com/office/drawing/2014/main" id="{00000000-0008-0000-2100-0000148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7620</xdr:rowOff>
        </xdr:from>
        <xdr:to>
          <xdr:col>2</xdr:col>
          <xdr:colOff>281940</xdr:colOff>
          <xdr:row>1</xdr:row>
          <xdr:rowOff>106680</xdr:rowOff>
        </xdr:to>
        <xdr:sp macro="" textlink="">
          <xdr:nvSpPr>
            <xdr:cNvPr id="557077" name="Button 21" hidden="1">
              <a:extLst>
                <a:ext uri="{63B3BB69-23CF-44E3-9099-C40C66FF867C}">
                  <a14:compatExt spid="_x0000_s557077"/>
                </a:ext>
                <a:ext uri="{FF2B5EF4-FFF2-40B4-BE49-F238E27FC236}">
                  <a16:creationId xmlns:a16="http://schemas.microsoft.com/office/drawing/2014/main" id="{00000000-0008-0000-2100-0000158008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822960</xdr:colOff>
          <xdr:row>0</xdr:row>
          <xdr:rowOff>7620</xdr:rowOff>
        </xdr:from>
        <xdr:to>
          <xdr:col>3</xdr:col>
          <xdr:colOff>342900</xdr:colOff>
          <xdr:row>1</xdr:row>
          <xdr:rowOff>106680</xdr:rowOff>
        </xdr:to>
        <xdr:sp macro="" textlink="">
          <xdr:nvSpPr>
            <xdr:cNvPr id="557078" name="Button 22" hidden="1">
              <a:extLst>
                <a:ext uri="{63B3BB69-23CF-44E3-9099-C40C66FF867C}">
                  <a14:compatExt spid="_x0000_s557078"/>
                </a:ext>
                <a:ext uri="{FF2B5EF4-FFF2-40B4-BE49-F238E27FC236}">
                  <a16:creationId xmlns:a16="http://schemas.microsoft.com/office/drawing/2014/main" id="{00000000-0008-0000-2100-0000168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xdr:row>
          <xdr:rowOff>160020</xdr:rowOff>
        </xdr:from>
        <xdr:to>
          <xdr:col>2</xdr:col>
          <xdr:colOff>289560</xdr:colOff>
          <xdr:row>1</xdr:row>
          <xdr:rowOff>457200</xdr:rowOff>
        </xdr:to>
        <xdr:sp macro="" textlink="">
          <xdr:nvSpPr>
            <xdr:cNvPr id="557079" name="Button 23" hidden="1">
              <a:extLst>
                <a:ext uri="{63B3BB69-23CF-44E3-9099-C40C66FF867C}">
                  <a14:compatExt spid="_x0000_s557079"/>
                </a:ext>
                <a:ext uri="{FF2B5EF4-FFF2-40B4-BE49-F238E27FC236}">
                  <a16:creationId xmlns:a16="http://schemas.microsoft.com/office/drawing/2014/main" id="{00000000-0008-0000-2100-0000178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Hide</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205740</xdr:colOff>
          <xdr:row>8</xdr:row>
          <xdr:rowOff>45720</xdr:rowOff>
        </xdr:from>
        <xdr:to>
          <xdr:col>9</xdr:col>
          <xdr:colOff>15240</xdr:colOff>
          <xdr:row>10</xdr:row>
          <xdr:rowOff>0</xdr:rowOff>
        </xdr:to>
        <xdr:sp macro="" textlink="">
          <xdr:nvSpPr>
            <xdr:cNvPr id="749573" name="Group Box 5" hidden="1">
              <a:extLst>
                <a:ext uri="{63B3BB69-23CF-44E3-9099-C40C66FF867C}">
                  <a14:compatExt spid="_x0000_s749573"/>
                </a:ext>
                <a:ext uri="{FF2B5EF4-FFF2-40B4-BE49-F238E27FC236}">
                  <a16:creationId xmlns:a16="http://schemas.microsoft.com/office/drawing/2014/main" id="{00000000-0008-0000-2200-000005700B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38</a:t>
              </a:r>
            </a:p>
          </xdr:txBody>
        </xdr:sp>
        <xdr:clientData/>
      </xdr:twoCellAnchor>
    </mc:Choice>
    <mc:Fallback/>
  </mc:AlternateContent>
  <xdr:twoCellAnchor>
    <xdr:from>
      <xdr:col>7</xdr:col>
      <xdr:colOff>25418</xdr:colOff>
      <xdr:row>63</xdr:row>
      <xdr:rowOff>187112</xdr:rowOff>
    </xdr:from>
    <xdr:to>
      <xdr:col>8</xdr:col>
      <xdr:colOff>330207</xdr:colOff>
      <xdr:row>66</xdr:row>
      <xdr:rowOff>110068</xdr:rowOff>
    </xdr:to>
    <xdr:pic>
      <xdr:nvPicPr>
        <xdr:cNvPr id="7" name="Picture 6" descr="C:\Users\lbasham\AppData\Local\Microsoft\Windows\Temporary Internet Files\Content.Outlook\AMGT183Z\1-MM-Standard-logo-small.jpg">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75018" y="11888045"/>
          <a:ext cx="1083722" cy="507156"/>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7</xdr:col>
          <xdr:colOff>563880</xdr:colOff>
          <xdr:row>23</xdr:row>
          <xdr:rowOff>22860</xdr:rowOff>
        </xdr:from>
        <xdr:to>
          <xdr:col>10</xdr:col>
          <xdr:colOff>586740</xdr:colOff>
          <xdr:row>25</xdr:row>
          <xdr:rowOff>160020</xdr:rowOff>
        </xdr:to>
        <xdr:sp macro="" textlink="">
          <xdr:nvSpPr>
            <xdr:cNvPr id="749576" name="Check Box 8" hidden="1">
              <a:extLst>
                <a:ext uri="{63B3BB69-23CF-44E3-9099-C40C66FF867C}">
                  <a14:compatExt spid="_x0000_s749576"/>
                </a:ext>
                <a:ext uri="{FF2B5EF4-FFF2-40B4-BE49-F238E27FC236}">
                  <a16:creationId xmlns:a16="http://schemas.microsoft.com/office/drawing/2014/main" id="{00000000-0008-0000-2200-0000087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53340</xdr:colOff>
          <xdr:row>25</xdr:row>
          <xdr:rowOff>160020</xdr:rowOff>
        </xdr:from>
        <xdr:to>
          <xdr:col>15</xdr:col>
          <xdr:colOff>91440</xdr:colOff>
          <xdr:row>28</xdr:row>
          <xdr:rowOff>15240</xdr:rowOff>
        </xdr:to>
        <xdr:sp macro="" textlink="">
          <xdr:nvSpPr>
            <xdr:cNvPr id="749578" name="Check Box 10" hidden="1">
              <a:extLst>
                <a:ext uri="{63B3BB69-23CF-44E3-9099-C40C66FF867C}">
                  <a14:compatExt spid="_x0000_s749578"/>
                </a:ext>
                <a:ext uri="{FF2B5EF4-FFF2-40B4-BE49-F238E27FC236}">
                  <a16:creationId xmlns:a16="http://schemas.microsoft.com/office/drawing/2014/main" id="{00000000-0008-0000-2200-00000A7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Omit (explain)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32</xdr:row>
          <xdr:rowOff>7620</xdr:rowOff>
        </xdr:from>
        <xdr:to>
          <xdr:col>3</xdr:col>
          <xdr:colOff>53340</xdr:colOff>
          <xdr:row>32</xdr:row>
          <xdr:rowOff>190500</xdr:rowOff>
        </xdr:to>
        <xdr:sp macro="" textlink="">
          <xdr:nvSpPr>
            <xdr:cNvPr id="749579" name="Check Box 11" hidden="1">
              <a:extLst>
                <a:ext uri="{63B3BB69-23CF-44E3-9099-C40C66FF867C}">
                  <a14:compatExt spid="_x0000_s749579"/>
                </a:ext>
                <a:ext uri="{FF2B5EF4-FFF2-40B4-BE49-F238E27FC236}">
                  <a16:creationId xmlns:a16="http://schemas.microsoft.com/office/drawing/2014/main" id="{00000000-0008-0000-2200-00000B7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182880</xdr:colOff>
          <xdr:row>0</xdr:row>
          <xdr:rowOff>7620</xdr:rowOff>
        </xdr:from>
        <xdr:to>
          <xdr:col>3</xdr:col>
          <xdr:colOff>114300</xdr:colOff>
          <xdr:row>1</xdr:row>
          <xdr:rowOff>114300</xdr:rowOff>
        </xdr:to>
        <xdr:sp macro="" textlink="">
          <xdr:nvSpPr>
            <xdr:cNvPr id="749580" name="Button 12" hidden="1">
              <a:extLst>
                <a:ext uri="{63B3BB69-23CF-44E3-9099-C40C66FF867C}">
                  <a14:compatExt spid="_x0000_s749580"/>
                </a:ext>
                <a:ext uri="{FF2B5EF4-FFF2-40B4-BE49-F238E27FC236}">
                  <a16:creationId xmlns:a16="http://schemas.microsoft.com/office/drawing/2014/main" id="{00000000-0008-0000-2200-00000C7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2</xdr:col>
          <xdr:colOff>129540</xdr:colOff>
          <xdr:row>1</xdr:row>
          <xdr:rowOff>114300</xdr:rowOff>
        </xdr:to>
        <xdr:sp macro="" textlink="">
          <xdr:nvSpPr>
            <xdr:cNvPr id="749581" name="Button 13" hidden="1">
              <a:extLst>
                <a:ext uri="{63B3BB69-23CF-44E3-9099-C40C66FF867C}">
                  <a14:compatExt spid="_x0000_s749581"/>
                </a:ext>
                <a:ext uri="{FF2B5EF4-FFF2-40B4-BE49-F238E27FC236}">
                  <a16:creationId xmlns:a16="http://schemas.microsoft.com/office/drawing/2014/main" id="{00000000-0008-0000-2200-00000D700B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167640</xdr:colOff>
          <xdr:row>0</xdr:row>
          <xdr:rowOff>7620</xdr:rowOff>
        </xdr:from>
        <xdr:to>
          <xdr:col>4</xdr:col>
          <xdr:colOff>281940</xdr:colOff>
          <xdr:row>1</xdr:row>
          <xdr:rowOff>114300</xdr:rowOff>
        </xdr:to>
        <xdr:sp macro="" textlink="">
          <xdr:nvSpPr>
            <xdr:cNvPr id="749582" name="Button 14" hidden="1">
              <a:extLst>
                <a:ext uri="{63B3BB69-23CF-44E3-9099-C40C66FF867C}">
                  <a14:compatExt spid="_x0000_s749582"/>
                </a:ext>
                <a:ext uri="{FF2B5EF4-FFF2-40B4-BE49-F238E27FC236}">
                  <a16:creationId xmlns:a16="http://schemas.microsoft.com/office/drawing/2014/main" id="{00000000-0008-0000-2200-00000E7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167640</xdr:rowOff>
        </xdr:from>
        <xdr:to>
          <xdr:col>3</xdr:col>
          <xdr:colOff>22860</xdr:colOff>
          <xdr:row>2</xdr:row>
          <xdr:rowOff>0</xdr:rowOff>
        </xdr:to>
        <xdr:sp macro="" textlink="">
          <xdr:nvSpPr>
            <xdr:cNvPr id="749583" name="Button 15" hidden="1">
              <a:extLst>
                <a:ext uri="{63B3BB69-23CF-44E3-9099-C40C66FF867C}">
                  <a14:compatExt spid="_x0000_s749583"/>
                </a:ext>
                <a:ext uri="{FF2B5EF4-FFF2-40B4-BE49-F238E27FC236}">
                  <a16:creationId xmlns:a16="http://schemas.microsoft.com/office/drawing/2014/main" id="{00000000-0008-0000-2200-00000F7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Omit &amp; Hide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oneCellAnchor>
    <xdr:from>
      <xdr:col>6</xdr:col>
      <xdr:colOff>106680</xdr:colOff>
      <xdr:row>45</xdr:row>
      <xdr:rowOff>22860</xdr:rowOff>
    </xdr:from>
    <xdr:ext cx="1142204" cy="497418"/>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23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94660" y="8702040"/>
          <a:ext cx="1142204" cy="497418"/>
        </a:xfrm>
        <a:prstGeom prst="rect">
          <a:avLst/>
        </a:prstGeom>
        <a:noFill/>
        <a:ln>
          <a:noFill/>
        </a:ln>
      </xdr:spPr>
    </xdr:pic>
    <xdr:clientData/>
  </xdr:oneCellAnchor>
  <mc:AlternateContent xmlns:mc="http://schemas.openxmlformats.org/markup-compatibility/2006">
    <mc:Choice xmlns:a14="http://schemas.microsoft.com/office/drawing/2010/main" Requires="a14">
      <xdr:twoCellAnchor>
        <xdr:from>
          <xdr:col>1</xdr:col>
          <xdr:colOff>358140</xdr:colOff>
          <xdr:row>0</xdr:row>
          <xdr:rowOff>7620</xdr:rowOff>
        </xdr:from>
        <xdr:to>
          <xdr:col>3</xdr:col>
          <xdr:colOff>76200</xdr:colOff>
          <xdr:row>1</xdr:row>
          <xdr:rowOff>114300</xdr:rowOff>
        </xdr:to>
        <xdr:sp macro="" textlink="">
          <xdr:nvSpPr>
            <xdr:cNvPr id="977926" name="Button 6" hidden="1">
              <a:extLst>
                <a:ext uri="{63B3BB69-23CF-44E3-9099-C40C66FF867C}">
                  <a14:compatExt spid="_x0000_s977926"/>
                </a:ext>
                <a:ext uri="{FF2B5EF4-FFF2-40B4-BE49-F238E27FC236}">
                  <a16:creationId xmlns:a16="http://schemas.microsoft.com/office/drawing/2014/main" id="{00000000-0008-0000-2300-000006EC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1</xdr:col>
          <xdr:colOff>304800</xdr:colOff>
          <xdr:row>1</xdr:row>
          <xdr:rowOff>114300</xdr:rowOff>
        </xdr:to>
        <xdr:sp macro="" textlink="">
          <xdr:nvSpPr>
            <xdr:cNvPr id="977927" name="Button 7" hidden="1">
              <a:extLst>
                <a:ext uri="{63B3BB69-23CF-44E3-9099-C40C66FF867C}">
                  <a14:compatExt spid="_x0000_s977927"/>
                </a:ext>
                <a:ext uri="{FF2B5EF4-FFF2-40B4-BE49-F238E27FC236}">
                  <a16:creationId xmlns:a16="http://schemas.microsoft.com/office/drawing/2014/main" id="{00000000-0008-0000-2300-000007EC0E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129540</xdr:colOff>
          <xdr:row>0</xdr:row>
          <xdr:rowOff>7620</xdr:rowOff>
        </xdr:from>
        <xdr:to>
          <xdr:col>3</xdr:col>
          <xdr:colOff>563880</xdr:colOff>
          <xdr:row>1</xdr:row>
          <xdr:rowOff>114300</xdr:rowOff>
        </xdr:to>
        <xdr:sp macro="" textlink="">
          <xdr:nvSpPr>
            <xdr:cNvPr id="977928" name="Button 8" hidden="1">
              <a:extLst>
                <a:ext uri="{63B3BB69-23CF-44E3-9099-C40C66FF867C}">
                  <a14:compatExt spid="_x0000_s977928"/>
                </a:ext>
                <a:ext uri="{FF2B5EF4-FFF2-40B4-BE49-F238E27FC236}">
                  <a16:creationId xmlns:a16="http://schemas.microsoft.com/office/drawing/2014/main" id="{00000000-0008-0000-2300-000008EC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167640</xdr:rowOff>
        </xdr:from>
        <xdr:to>
          <xdr:col>1</xdr:col>
          <xdr:colOff>312420</xdr:colOff>
          <xdr:row>2</xdr:row>
          <xdr:rowOff>30480</xdr:rowOff>
        </xdr:to>
        <xdr:sp macro="" textlink="">
          <xdr:nvSpPr>
            <xdr:cNvPr id="977929" name="Button 9" hidden="1">
              <a:extLst>
                <a:ext uri="{63B3BB69-23CF-44E3-9099-C40C66FF867C}">
                  <a14:compatExt spid="_x0000_s977929"/>
                </a:ext>
                <a:ext uri="{FF2B5EF4-FFF2-40B4-BE49-F238E27FC236}">
                  <a16:creationId xmlns:a16="http://schemas.microsoft.com/office/drawing/2014/main" id="{00000000-0008-0000-2300-000009EC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Hide</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8</xdr:col>
          <xdr:colOff>0</xdr:colOff>
          <xdr:row>14</xdr:row>
          <xdr:rowOff>0</xdr:rowOff>
        </xdr:to>
        <xdr:sp macro="" textlink="">
          <xdr:nvSpPr>
            <xdr:cNvPr id="60457" name="Drop Down 41" hidden="1">
              <a:extLst>
                <a:ext uri="{63B3BB69-23CF-44E3-9099-C40C66FF867C}">
                  <a14:compatExt spid="_x0000_s60457"/>
                </a:ext>
                <a:ext uri="{FF2B5EF4-FFF2-40B4-BE49-F238E27FC236}">
                  <a16:creationId xmlns:a16="http://schemas.microsoft.com/office/drawing/2014/main" id="{00000000-0008-0000-2400-00002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146596</xdr:colOff>
      <xdr:row>61</xdr:row>
      <xdr:rowOff>147138</xdr:rowOff>
    </xdr:from>
    <xdr:to>
      <xdr:col>9</xdr:col>
      <xdr:colOff>77009</xdr:colOff>
      <xdr:row>72</xdr:row>
      <xdr:rowOff>5322</xdr:rowOff>
    </xdr:to>
    <xdr:pic>
      <xdr:nvPicPr>
        <xdr:cNvPr id="2" name="Picture 1" descr="C:\Users\lbasham\AppData\Local\Microsoft\Windows\Temporary Internet Files\Content.Outlook\AMGT183Z\1-MM-Standard-logo-small.jpg">
          <a:extLst>
            <a:ext uri="{FF2B5EF4-FFF2-40B4-BE49-F238E27FC236}">
              <a16:creationId xmlns:a16="http://schemas.microsoft.com/office/drawing/2014/main" id="{00000000-0008-0000-24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57013" y="12148638"/>
          <a:ext cx="1158079" cy="514351"/>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4</xdr:col>
          <xdr:colOff>411480</xdr:colOff>
          <xdr:row>7</xdr:row>
          <xdr:rowOff>182880</xdr:rowOff>
        </xdr:from>
        <xdr:to>
          <xdr:col>4</xdr:col>
          <xdr:colOff>807720</xdr:colOff>
          <xdr:row>9</xdr:row>
          <xdr:rowOff>30480</xdr:rowOff>
        </xdr:to>
        <xdr:sp macro="" textlink="">
          <xdr:nvSpPr>
            <xdr:cNvPr id="60418" name="Check Box 2" hidden="1">
              <a:extLst>
                <a:ext uri="{63B3BB69-23CF-44E3-9099-C40C66FF867C}">
                  <a14:compatExt spid="_x0000_s60418"/>
                </a:ext>
                <a:ext uri="{FF2B5EF4-FFF2-40B4-BE49-F238E27FC236}">
                  <a16:creationId xmlns:a16="http://schemas.microsoft.com/office/drawing/2014/main" id="{00000000-0008-0000-2400-000002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8</xdr:row>
          <xdr:rowOff>121920</xdr:rowOff>
        </xdr:from>
        <xdr:to>
          <xdr:col>4</xdr:col>
          <xdr:colOff>807720</xdr:colOff>
          <xdr:row>10</xdr:row>
          <xdr:rowOff>38100</xdr:rowOff>
        </xdr:to>
        <xdr:sp macro="" textlink="">
          <xdr:nvSpPr>
            <xdr:cNvPr id="60419" name="Check Box 3" hidden="1">
              <a:extLst>
                <a:ext uri="{63B3BB69-23CF-44E3-9099-C40C66FF867C}">
                  <a14:compatExt spid="_x0000_s60419"/>
                </a:ext>
                <a:ext uri="{FF2B5EF4-FFF2-40B4-BE49-F238E27FC236}">
                  <a16:creationId xmlns:a16="http://schemas.microsoft.com/office/drawing/2014/main" id="{00000000-0008-0000-2400-000003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9</xdr:row>
          <xdr:rowOff>121920</xdr:rowOff>
        </xdr:from>
        <xdr:to>
          <xdr:col>4</xdr:col>
          <xdr:colOff>807720</xdr:colOff>
          <xdr:row>11</xdr:row>
          <xdr:rowOff>30480</xdr:rowOff>
        </xdr:to>
        <xdr:sp macro="" textlink="">
          <xdr:nvSpPr>
            <xdr:cNvPr id="60420" name="Check Box 4" hidden="1">
              <a:extLst>
                <a:ext uri="{63B3BB69-23CF-44E3-9099-C40C66FF867C}">
                  <a14:compatExt spid="_x0000_s60420"/>
                </a:ext>
                <a:ext uri="{FF2B5EF4-FFF2-40B4-BE49-F238E27FC236}">
                  <a16:creationId xmlns:a16="http://schemas.microsoft.com/office/drawing/2014/main" id="{00000000-0008-0000-2400-000004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xdr:colOff>
          <xdr:row>7</xdr:row>
          <xdr:rowOff>106680</xdr:rowOff>
        </xdr:from>
        <xdr:to>
          <xdr:col>11</xdr:col>
          <xdr:colOff>236220</xdr:colOff>
          <xdr:row>8</xdr:row>
          <xdr:rowOff>76200</xdr:rowOff>
        </xdr:to>
        <xdr:sp macro="" textlink="">
          <xdr:nvSpPr>
            <xdr:cNvPr id="60421" name="Check Box 5" hidden="1">
              <a:extLst>
                <a:ext uri="{63B3BB69-23CF-44E3-9099-C40C66FF867C}">
                  <a14:compatExt spid="_x0000_s60421"/>
                </a:ext>
                <a:ext uri="{FF2B5EF4-FFF2-40B4-BE49-F238E27FC236}">
                  <a16:creationId xmlns:a16="http://schemas.microsoft.com/office/drawing/2014/main" id="{00000000-0008-0000-2400-000005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8</xdr:col>
          <xdr:colOff>0</xdr:colOff>
          <xdr:row>21</xdr:row>
          <xdr:rowOff>0</xdr:rowOff>
        </xdr:to>
        <xdr:sp macro="" textlink="">
          <xdr:nvSpPr>
            <xdr:cNvPr id="60543" name="Drop Down 127" hidden="1">
              <a:extLst>
                <a:ext uri="{63B3BB69-23CF-44E3-9099-C40C66FF867C}">
                  <a14:compatExt spid="_x0000_s60543"/>
                </a:ext>
                <a:ext uri="{FF2B5EF4-FFF2-40B4-BE49-F238E27FC236}">
                  <a16:creationId xmlns:a16="http://schemas.microsoft.com/office/drawing/2014/main" id="{00000000-0008-0000-2400-00007F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8</xdr:col>
          <xdr:colOff>0</xdr:colOff>
          <xdr:row>7</xdr:row>
          <xdr:rowOff>0</xdr:rowOff>
        </xdr:to>
        <xdr:sp macro="" textlink="">
          <xdr:nvSpPr>
            <xdr:cNvPr id="60544" name="Drop Down 128" hidden="1">
              <a:extLst>
                <a:ext uri="{63B3BB69-23CF-44E3-9099-C40C66FF867C}">
                  <a14:compatExt spid="_x0000_s60544"/>
                </a:ext>
                <a:ext uri="{FF2B5EF4-FFF2-40B4-BE49-F238E27FC236}">
                  <a16:creationId xmlns:a16="http://schemas.microsoft.com/office/drawing/2014/main" id="{00000000-0008-0000-2400-000080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8</xdr:col>
          <xdr:colOff>0</xdr:colOff>
          <xdr:row>28</xdr:row>
          <xdr:rowOff>0</xdr:rowOff>
        </xdr:to>
        <xdr:sp macro="" textlink="">
          <xdr:nvSpPr>
            <xdr:cNvPr id="60545" name="Drop Down 129" hidden="1">
              <a:extLst>
                <a:ext uri="{63B3BB69-23CF-44E3-9099-C40C66FF867C}">
                  <a14:compatExt spid="_x0000_s60545"/>
                </a:ext>
                <a:ext uri="{FF2B5EF4-FFF2-40B4-BE49-F238E27FC236}">
                  <a16:creationId xmlns:a16="http://schemas.microsoft.com/office/drawing/2014/main" id="{00000000-0008-0000-2400-000081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xdr:row>
          <xdr:rowOff>0</xdr:rowOff>
        </xdr:from>
        <xdr:to>
          <xdr:col>8</xdr:col>
          <xdr:colOff>0</xdr:colOff>
          <xdr:row>35</xdr:row>
          <xdr:rowOff>0</xdr:rowOff>
        </xdr:to>
        <xdr:sp macro="" textlink="">
          <xdr:nvSpPr>
            <xdr:cNvPr id="60546" name="Drop Down 130" hidden="1">
              <a:extLst>
                <a:ext uri="{63B3BB69-23CF-44E3-9099-C40C66FF867C}">
                  <a14:compatExt spid="_x0000_s60546"/>
                </a:ext>
                <a:ext uri="{FF2B5EF4-FFF2-40B4-BE49-F238E27FC236}">
                  <a16:creationId xmlns:a16="http://schemas.microsoft.com/office/drawing/2014/main" id="{00000000-0008-0000-2400-00008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41</xdr:row>
          <xdr:rowOff>0</xdr:rowOff>
        </xdr:from>
        <xdr:to>
          <xdr:col>8</xdr:col>
          <xdr:colOff>0</xdr:colOff>
          <xdr:row>42</xdr:row>
          <xdr:rowOff>0</xdr:rowOff>
        </xdr:to>
        <xdr:sp macro="" textlink="">
          <xdr:nvSpPr>
            <xdr:cNvPr id="60547" name="Drop Down 131" hidden="1">
              <a:extLst>
                <a:ext uri="{63B3BB69-23CF-44E3-9099-C40C66FF867C}">
                  <a14:compatExt spid="_x0000_s60547"/>
                </a:ext>
                <a:ext uri="{FF2B5EF4-FFF2-40B4-BE49-F238E27FC236}">
                  <a16:creationId xmlns:a16="http://schemas.microsoft.com/office/drawing/2014/main" id="{00000000-0008-0000-2400-00008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0</xdr:rowOff>
        </xdr:from>
        <xdr:to>
          <xdr:col>8</xdr:col>
          <xdr:colOff>0</xdr:colOff>
          <xdr:row>49</xdr:row>
          <xdr:rowOff>0</xdr:rowOff>
        </xdr:to>
        <xdr:sp macro="" textlink="">
          <xdr:nvSpPr>
            <xdr:cNvPr id="60548" name="Drop Down 132" hidden="1">
              <a:extLst>
                <a:ext uri="{63B3BB69-23CF-44E3-9099-C40C66FF867C}">
                  <a14:compatExt spid="_x0000_s60548"/>
                </a:ext>
                <a:ext uri="{FF2B5EF4-FFF2-40B4-BE49-F238E27FC236}">
                  <a16:creationId xmlns:a16="http://schemas.microsoft.com/office/drawing/2014/main" id="{00000000-0008-0000-2400-00008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55</xdr:row>
          <xdr:rowOff>0</xdr:rowOff>
        </xdr:from>
        <xdr:to>
          <xdr:col>8</xdr:col>
          <xdr:colOff>0</xdr:colOff>
          <xdr:row>56</xdr:row>
          <xdr:rowOff>0</xdr:rowOff>
        </xdr:to>
        <xdr:sp macro="" textlink="">
          <xdr:nvSpPr>
            <xdr:cNvPr id="60549" name="Drop Down 133" hidden="1">
              <a:extLst>
                <a:ext uri="{63B3BB69-23CF-44E3-9099-C40C66FF867C}">
                  <a14:compatExt spid="_x0000_s60549"/>
                </a:ext>
                <a:ext uri="{FF2B5EF4-FFF2-40B4-BE49-F238E27FC236}">
                  <a16:creationId xmlns:a16="http://schemas.microsoft.com/office/drawing/2014/main" id="{00000000-0008-0000-2400-00008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14</xdr:row>
          <xdr:rowOff>182880</xdr:rowOff>
        </xdr:from>
        <xdr:to>
          <xdr:col>4</xdr:col>
          <xdr:colOff>807720</xdr:colOff>
          <xdr:row>16</xdr:row>
          <xdr:rowOff>30480</xdr:rowOff>
        </xdr:to>
        <xdr:sp macro="" textlink="">
          <xdr:nvSpPr>
            <xdr:cNvPr id="60550" name="Check Box 134" hidden="1">
              <a:extLst>
                <a:ext uri="{63B3BB69-23CF-44E3-9099-C40C66FF867C}">
                  <a14:compatExt spid="_x0000_s60550"/>
                </a:ext>
                <a:ext uri="{FF2B5EF4-FFF2-40B4-BE49-F238E27FC236}">
                  <a16:creationId xmlns:a16="http://schemas.microsoft.com/office/drawing/2014/main" id="{00000000-0008-0000-2400-000086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15</xdr:row>
          <xdr:rowOff>121920</xdr:rowOff>
        </xdr:from>
        <xdr:to>
          <xdr:col>4</xdr:col>
          <xdr:colOff>807720</xdr:colOff>
          <xdr:row>17</xdr:row>
          <xdr:rowOff>38100</xdr:rowOff>
        </xdr:to>
        <xdr:sp macro="" textlink="">
          <xdr:nvSpPr>
            <xdr:cNvPr id="60551" name="Check Box 135" hidden="1">
              <a:extLst>
                <a:ext uri="{63B3BB69-23CF-44E3-9099-C40C66FF867C}">
                  <a14:compatExt spid="_x0000_s60551"/>
                </a:ext>
                <a:ext uri="{FF2B5EF4-FFF2-40B4-BE49-F238E27FC236}">
                  <a16:creationId xmlns:a16="http://schemas.microsoft.com/office/drawing/2014/main" id="{00000000-0008-0000-2400-000087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16</xdr:row>
          <xdr:rowOff>121920</xdr:rowOff>
        </xdr:from>
        <xdr:to>
          <xdr:col>4</xdr:col>
          <xdr:colOff>807720</xdr:colOff>
          <xdr:row>18</xdr:row>
          <xdr:rowOff>30480</xdr:rowOff>
        </xdr:to>
        <xdr:sp macro="" textlink="">
          <xdr:nvSpPr>
            <xdr:cNvPr id="60552" name="Check Box 136" hidden="1">
              <a:extLst>
                <a:ext uri="{63B3BB69-23CF-44E3-9099-C40C66FF867C}">
                  <a14:compatExt spid="_x0000_s60552"/>
                </a:ext>
                <a:ext uri="{FF2B5EF4-FFF2-40B4-BE49-F238E27FC236}">
                  <a16:creationId xmlns:a16="http://schemas.microsoft.com/office/drawing/2014/main" id="{00000000-0008-0000-2400-000088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21</xdr:row>
          <xdr:rowOff>182880</xdr:rowOff>
        </xdr:from>
        <xdr:to>
          <xdr:col>4</xdr:col>
          <xdr:colOff>807720</xdr:colOff>
          <xdr:row>23</xdr:row>
          <xdr:rowOff>30480</xdr:rowOff>
        </xdr:to>
        <xdr:sp macro="" textlink="">
          <xdr:nvSpPr>
            <xdr:cNvPr id="60553" name="Check Box 137" hidden="1">
              <a:extLst>
                <a:ext uri="{63B3BB69-23CF-44E3-9099-C40C66FF867C}">
                  <a14:compatExt spid="_x0000_s60553"/>
                </a:ext>
                <a:ext uri="{FF2B5EF4-FFF2-40B4-BE49-F238E27FC236}">
                  <a16:creationId xmlns:a16="http://schemas.microsoft.com/office/drawing/2014/main" id="{00000000-0008-0000-2400-000089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22</xdr:row>
          <xdr:rowOff>121920</xdr:rowOff>
        </xdr:from>
        <xdr:to>
          <xdr:col>4</xdr:col>
          <xdr:colOff>807720</xdr:colOff>
          <xdr:row>24</xdr:row>
          <xdr:rowOff>38100</xdr:rowOff>
        </xdr:to>
        <xdr:sp macro="" textlink="">
          <xdr:nvSpPr>
            <xdr:cNvPr id="60554" name="Check Box 138" hidden="1">
              <a:extLst>
                <a:ext uri="{63B3BB69-23CF-44E3-9099-C40C66FF867C}">
                  <a14:compatExt spid="_x0000_s60554"/>
                </a:ext>
                <a:ext uri="{FF2B5EF4-FFF2-40B4-BE49-F238E27FC236}">
                  <a16:creationId xmlns:a16="http://schemas.microsoft.com/office/drawing/2014/main" id="{00000000-0008-0000-2400-00008A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23</xdr:row>
          <xdr:rowOff>121920</xdr:rowOff>
        </xdr:from>
        <xdr:to>
          <xdr:col>4</xdr:col>
          <xdr:colOff>807720</xdr:colOff>
          <xdr:row>25</xdr:row>
          <xdr:rowOff>30480</xdr:rowOff>
        </xdr:to>
        <xdr:sp macro="" textlink="">
          <xdr:nvSpPr>
            <xdr:cNvPr id="60555" name="Check Box 139" hidden="1">
              <a:extLst>
                <a:ext uri="{63B3BB69-23CF-44E3-9099-C40C66FF867C}">
                  <a14:compatExt spid="_x0000_s60555"/>
                </a:ext>
                <a:ext uri="{FF2B5EF4-FFF2-40B4-BE49-F238E27FC236}">
                  <a16:creationId xmlns:a16="http://schemas.microsoft.com/office/drawing/2014/main" id="{00000000-0008-0000-2400-00008B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28</xdr:row>
          <xdr:rowOff>182880</xdr:rowOff>
        </xdr:from>
        <xdr:to>
          <xdr:col>4</xdr:col>
          <xdr:colOff>807720</xdr:colOff>
          <xdr:row>30</xdr:row>
          <xdr:rowOff>30480</xdr:rowOff>
        </xdr:to>
        <xdr:sp macro="" textlink="">
          <xdr:nvSpPr>
            <xdr:cNvPr id="60556" name="Check Box 140" hidden="1">
              <a:extLst>
                <a:ext uri="{63B3BB69-23CF-44E3-9099-C40C66FF867C}">
                  <a14:compatExt spid="_x0000_s60556"/>
                </a:ext>
                <a:ext uri="{FF2B5EF4-FFF2-40B4-BE49-F238E27FC236}">
                  <a16:creationId xmlns:a16="http://schemas.microsoft.com/office/drawing/2014/main" id="{00000000-0008-0000-2400-00008C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29</xdr:row>
          <xdr:rowOff>121920</xdr:rowOff>
        </xdr:from>
        <xdr:to>
          <xdr:col>4</xdr:col>
          <xdr:colOff>807720</xdr:colOff>
          <xdr:row>31</xdr:row>
          <xdr:rowOff>38100</xdr:rowOff>
        </xdr:to>
        <xdr:sp macro="" textlink="">
          <xdr:nvSpPr>
            <xdr:cNvPr id="60557" name="Check Box 141" hidden="1">
              <a:extLst>
                <a:ext uri="{63B3BB69-23CF-44E3-9099-C40C66FF867C}">
                  <a14:compatExt spid="_x0000_s60557"/>
                </a:ext>
                <a:ext uri="{FF2B5EF4-FFF2-40B4-BE49-F238E27FC236}">
                  <a16:creationId xmlns:a16="http://schemas.microsoft.com/office/drawing/2014/main" id="{00000000-0008-0000-2400-00008D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30</xdr:row>
          <xdr:rowOff>121920</xdr:rowOff>
        </xdr:from>
        <xdr:to>
          <xdr:col>4</xdr:col>
          <xdr:colOff>807720</xdr:colOff>
          <xdr:row>32</xdr:row>
          <xdr:rowOff>30480</xdr:rowOff>
        </xdr:to>
        <xdr:sp macro="" textlink="">
          <xdr:nvSpPr>
            <xdr:cNvPr id="60558" name="Check Box 142" hidden="1">
              <a:extLst>
                <a:ext uri="{63B3BB69-23CF-44E3-9099-C40C66FF867C}">
                  <a14:compatExt spid="_x0000_s60558"/>
                </a:ext>
                <a:ext uri="{FF2B5EF4-FFF2-40B4-BE49-F238E27FC236}">
                  <a16:creationId xmlns:a16="http://schemas.microsoft.com/office/drawing/2014/main" id="{00000000-0008-0000-2400-00008E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35</xdr:row>
          <xdr:rowOff>182880</xdr:rowOff>
        </xdr:from>
        <xdr:to>
          <xdr:col>4</xdr:col>
          <xdr:colOff>807720</xdr:colOff>
          <xdr:row>37</xdr:row>
          <xdr:rowOff>30480</xdr:rowOff>
        </xdr:to>
        <xdr:sp macro="" textlink="">
          <xdr:nvSpPr>
            <xdr:cNvPr id="60559" name="Check Box 143" hidden="1">
              <a:extLst>
                <a:ext uri="{63B3BB69-23CF-44E3-9099-C40C66FF867C}">
                  <a14:compatExt spid="_x0000_s60559"/>
                </a:ext>
                <a:ext uri="{FF2B5EF4-FFF2-40B4-BE49-F238E27FC236}">
                  <a16:creationId xmlns:a16="http://schemas.microsoft.com/office/drawing/2014/main" id="{00000000-0008-0000-2400-00008F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36</xdr:row>
          <xdr:rowOff>121920</xdr:rowOff>
        </xdr:from>
        <xdr:to>
          <xdr:col>4</xdr:col>
          <xdr:colOff>807720</xdr:colOff>
          <xdr:row>38</xdr:row>
          <xdr:rowOff>38100</xdr:rowOff>
        </xdr:to>
        <xdr:sp macro="" textlink="">
          <xdr:nvSpPr>
            <xdr:cNvPr id="60560" name="Check Box 144" hidden="1">
              <a:extLst>
                <a:ext uri="{63B3BB69-23CF-44E3-9099-C40C66FF867C}">
                  <a14:compatExt spid="_x0000_s60560"/>
                </a:ext>
                <a:ext uri="{FF2B5EF4-FFF2-40B4-BE49-F238E27FC236}">
                  <a16:creationId xmlns:a16="http://schemas.microsoft.com/office/drawing/2014/main" id="{00000000-0008-0000-2400-000090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37</xdr:row>
          <xdr:rowOff>121920</xdr:rowOff>
        </xdr:from>
        <xdr:to>
          <xdr:col>4</xdr:col>
          <xdr:colOff>807720</xdr:colOff>
          <xdr:row>39</xdr:row>
          <xdr:rowOff>30480</xdr:rowOff>
        </xdr:to>
        <xdr:sp macro="" textlink="">
          <xdr:nvSpPr>
            <xdr:cNvPr id="60561" name="Check Box 145" hidden="1">
              <a:extLst>
                <a:ext uri="{63B3BB69-23CF-44E3-9099-C40C66FF867C}">
                  <a14:compatExt spid="_x0000_s60561"/>
                </a:ext>
                <a:ext uri="{FF2B5EF4-FFF2-40B4-BE49-F238E27FC236}">
                  <a16:creationId xmlns:a16="http://schemas.microsoft.com/office/drawing/2014/main" id="{00000000-0008-0000-2400-000091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42</xdr:row>
          <xdr:rowOff>182880</xdr:rowOff>
        </xdr:from>
        <xdr:to>
          <xdr:col>4</xdr:col>
          <xdr:colOff>807720</xdr:colOff>
          <xdr:row>44</xdr:row>
          <xdr:rowOff>30480</xdr:rowOff>
        </xdr:to>
        <xdr:sp macro="" textlink="">
          <xdr:nvSpPr>
            <xdr:cNvPr id="60562" name="Check Box 146" hidden="1">
              <a:extLst>
                <a:ext uri="{63B3BB69-23CF-44E3-9099-C40C66FF867C}">
                  <a14:compatExt spid="_x0000_s60562"/>
                </a:ext>
                <a:ext uri="{FF2B5EF4-FFF2-40B4-BE49-F238E27FC236}">
                  <a16:creationId xmlns:a16="http://schemas.microsoft.com/office/drawing/2014/main" id="{00000000-0008-0000-2400-000092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43</xdr:row>
          <xdr:rowOff>121920</xdr:rowOff>
        </xdr:from>
        <xdr:to>
          <xdr:col>4</xdr:col>
          <xdr:colOff>807720</xdr:colOff>
          <xdr:row>45</xdr:row>
          <xdr:rowOff>38100</xdr:rowOff>
        </xdr:to>
        <xdr:sp macro="" textlink="">
          <xdr:nvSpPr>
            <xdr:cNvPr id="60563" name="Check Box 147" hidden="1">
              <a:extLst>
                <a:ext uri="{63B3BB69-23CF-44E3-9099-C40C66FF867C}">
                  <a14:compatExt spid="_x0000_s60563"/>
                </a:ext>
                <a:ext uri="{FF2B5EF4-FFF2-40B4-BE49-F238E27FC236}">
                  <a16:creationId xmlns:a16="http://schemas.microsoft.com/office/drawing/2014/main" id="{00000000-0008-0000-2400-000093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44</xdr:row>
          <xdr:rowOff>121920</xdr:rowOff>
        </xdr:from>
        <xdr:to>
          <xdr:col>4</xdr:col>
          <xdr:colOff>807720</xdr:colOff>
          <xdr:row>46</xdr:row>
          <xdr:rowOff>30480</xdr:rowOff>
        </xdr:to>
        <xdr:sp macro="" textlink="">
          <xdr:nvSpPr>
            <xdr:cNvPr id="60564" name="Check Box 148" hidden="1">
              <a:extLst>
                <a:ext uri="{63B3BB69-23CF-44E3-9099-C40C66FF867C}">
                  <a14:compatExt spid="_x0000_s60564"/>
                </a:ext>
                <a:ext uri="{FF2B5EF4-FFF2-40B4-BE49-F238E27FC236}">
                  <a16:creationId xmlns:a16="http://schemas.microsoft.com/office/drawing/2014/main" id="{00000000-0008-0000-2400-000094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49</xdr:row>
          <xdr:rowOff>182880</xdr:rowOff>
        </xdr:from>
        <xdr:to>
          <xdr:col>4</xdr:col>
          <xdr:colOff>807720</xdr:colOff>
          <xdr:row>51</xdr:row>
          <xdr:rowOff>30480</xdr:rowOff>
        </xdr:to>
        <xdr:sp macro="" textlink="">
          <xdr:nvSpPr>
            <xdr:cNvPr id="60565" name="Check Box 149" hidden="1">
              <a:extLst>
                <a:ext uri="{63B3BB69-23CF-44E3-9099-C40C66FF867C}">
                  <a14:compatExt spid="_x0000_s60565"/>
                </a:ext>
                <a:ext uri="{FF2B5EF4-FFF2-40B4-BE49-F238E27FC236}">
                  <a16:creationId xmlns:a16="http://schemas.microsoft.com/office/drawing/2014/main" id="{00000000-0008-0000-2400-000095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50</xdr:row>
          <xdr:rowOff>121920</xdr:rowOff>
        </xdr:from>
        <xdr:to>
          <xdr:col>4</xdr:col>
          <xdr:colOff>807720</xdr:colOff>
          <xdr:row>52</xdr:row>
          <xdr:rowOff>38100</xdr:rowOff>
        </xdr:to>
        <xdr:sp macro="" textlink="">
          <xdr:nvSpPr>
            <xdr:cNvPr id="60566" name="Check Box 150" hidden="1">
              <a:extLst>
                <a:ext uri="{63B3BB69-23CF-44E3-9099-C40C66FF867C}">
                  <a14:compatExt spid="_x0000_s60566"/>
                </a:ext>
                <a:ext uri="{FF2B5EF4-FFF2-40B4-BE49-F238E27FC236}">
                  <a16:creationId xmlns:a16="http://schemas.microsoft.com/office/drawing/2014/main" id="{00000000-0008-0000-2400-000096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51</xdr:row>
          <xdr:rowOff>121920</xdr:rowOff>
        </xdr:from>
        <xdr:to>
          <xdr:col>4</xdr:col>
          <xdr:colOff>807720</xdr:colOff>
          <xdr:row>53</xdr:row>
          <xdr:rowOff>30480</xdr:rowOff>
        </xdr:to>
        <xdr:sp macro="" textlink="">
          <xdr:nvSpPr>
            <xdr:cNvPr id="60567" name="Check Box 151" hidden="1">
              <a:extLst>
                <a:ext uri="{63B3BB69-23CF-44E3-9099-C40C66FF867C}">
                  <a14:compatExt spid="_x0000_s60567"/>
                </a:ext>
                <a:ext uri="{FF2B5EF4-FFF2-40B4-BE49-F238E27FC236}">
                  <a16:creationId xmlns:a16="http://schemas.microsoft.com/office/drawing/2014/main" id="{00000000-0008-0000-2400-000097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56</xdr:row>
          <xdr:rowOff>182880</xdr:rowOff>
        </xdr:from>
        <xdr:to>
          <xdr:col>4</xdr:col>
          <xdr:colOff>807720</xdr:colOff>
          <xdr:row>58</xdr:row>
          <xdr:rowOff>30480</xdr:rowOff>
        </xdr:to>
        <xdr:sp macro="" textlink="">
          <xdr:nvSpPr>
            <xdr:cNvPr id="60568" name="Check Box 152" hidden="1">
              <a:extLst>
                <a:ext uri="{63B3BB69-23CF-44E3-9099-C40C66FF867C}">
                  <a14:compatExt spid="_x0000_s60568"/>
                </a:ext>
                <a:ext uri="{FF2B5EF4-FFF2-40B4-BE49-F238E27FC236}">
                  <a16:creationId xmlns:a16="http://schemas.microsoft.com/office/drawing/2014/main" id="{00000000-0008-0000-2400-000098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57</xdr:row>
          <xdr:rowOff>121920</xdr:rowOff>
        </xdr:from>
        <xdr:to>
          <xdr:col>4</xdr:col>
          <xdr:colOff>807720</xdr:colOff>
          <xdr:row>59</xdr:row>
          <xdr:rowOff>38100</xdr:rowOff>
        </xdr:to>
        <xdr:sp macro="" textlink="">
          <xdr:nvSpPr>
            <xdr:cNvPr id="60569" name="Check Box 153" hidden="1">
              <a:extLst>
                <a:ext uri="{63B3BB69-23CF-44E3-9099-C40C66FF867C}">
                  <a14:compatExt spid="_x0000_s60569"/>
                </a:ext>
                <a:ext uri="{FF2B5EF4-FFF2-40B4-BE49-F238E27FC236}">
                  <a16:creationId xmlns:a16="http://schemas.microsoft.com/office/drawing/2014/main" id="{00000000-0008-0000-2400-000099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411480</xdr:colOff>
          <xdr:row>58</xdr:row>
          <xdr:rowOff>121920</xdr:rowOff>
        </xdr:from>
        <xdr:to>
          <xdr:col>4</xdr:col>
          <xdr:colOff>807720</xdr:colOff>
          <xdr:row>60</xdr:row>
          <xdr:rowOff>30480</xdr:rowOff>
        </xdr:to>
        <xdr:sp macro="" textlink="">
          <xdr:nvSpPr>
            <xdr:cNvPr id="60570" name="Check Box 154" hidden="1">
              <a:extLst>
                <a:ext uri="{63B3BB69-23CF-44E3-9099-C40C66FF867C}">
                  <a14:compatExt spid="_x0000_s60570"/>
                </a:ext>
                <a:ext uri="{FF2B5EF4-FFF2-40B4-BE49-F238E27FC236}">
                  <a16:creationId xmlns:a16="http://schemas.microsoft.com/office/drawing/2014/main" id="{00000000-0008-0000-2400-00009A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xdr:colOff>
          <xdr:row>14</xdr:row>
          <xdr:rowOff>106680</xdr:rowOff>
        </xdr:from>
        <xdr:to>
          <xdr:col>11</xdr:col>
          <xdr:colOff>236220</xdr:colOff>
          <xdr:row>15</xdr:row>
          <xdr:rowOff>76200</xdr:rowOff>
        </xdr:to>
        <xdr:sp macro="" textlink="">
          <xdr:nvSpPr>
            <xdr:cNvPr id="60571" name="Check Box 155" hidden="1">
              <a:extLst>
                <a:ext uri="{63B3BB69-23CF-44E3-9099-C40C66FF867C}">
                  <a14:compatExt spid="_x0000_s60571"/>
                </a:ext>
                <a:ext uri="{FF2B5EF4-FFF2-40B4-BE49-F238E27FC236}">
                  <a16:creationId xmlns:a16="http://schemas.microsoft.com/office/drawing/2014/main" id="{00000000-0008-0000-2400-00009B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xdr:colOff>
          <xdr:row>21</xdr:row>
          <xdr:rowOff>106680</xdr:rowOff>
        </xdr:from>
        <xdr:to>
          <xdr:col>11</xdr:col>
          <xdr:colOff>236220</xdr:colOff>
          <xdr:row>22</xdr:row>
          <xdr:rowOff>76200</xdr:rowOff>
        </xdr:to>
        <xdr:sp macro="" textlink="">
          <xdr:nvSpPr>
            <xdr:cNvPr id="60572" name="Check Box 156" hidden="1">
              <a:extLst>
                <a:ext uri="{63B3BB69-23CF-44E3-9099-C40C66FF867C}">
                  <a14:compatExt spid="_x0000_s60572"/>
                </a:ext>
                <a:ext uri="{FF2B5EF4-FFF2-40B4-BE49-F238E27FC236}">
                  <a16:creationId xmlns:a16="http://schemas.microsoft.com/office/drawing/2014/main" id="{00000000-0008-0000-2400-00009C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xdr:colOff>
          <xdr:row>28</xdr:row>
          <xdr:rowOff>106680</xdr:rowOff>
        </xdr:from>
        <xdr:to>
          <xdr:col>11</xdr:col>
          <xdr:colOff>236220</xdr:colOff>
          <xdr:row>29</xdr:row>
          <xdr:rowOff>76200</xdr:rowOff>
        </xdr:to>
        <xdr:sp macro="" textlink="">
          <xdr:nvSpPr>
            <xdr:cNvPr id="60573" name="Check Box 157" hidden="1">
              <a:extLst>
                <a:ext uri="{63B3BB69-23CF-44E3-9099-C40C66FF867C}">
                  <a14:compatExt spid="_x0000_s60573"/>
                </a:ext>
                <a:ext uri="{FF2B5EF4-FFF2-40B4-BE49-F238E27FC236}">
                  <a16:creationId xmlns:a16="http://schemas.microsoft.com/office/drawing/2014/main" id="{00000000-0008-0000-2400-00009D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xdr:colOff>
          <xdr:row>35</xdr:row>
          <xdr:rowOff>106680</xdr:rowOff>
        </xdr:from>
        <xdr:to>
          <xdr:col>11</xdr:col>
          <xdr:colOff>236220</xdr:colOff>
          <xdr:row>36</xdr:row>
          <xdr:rowOff>76200</xdr:rowOff>
        </xdr:to>
        <xdr:sp macro="" textlink="">
          <xdr:nvSpPr>
            <xdr:cNvPr id="60574" name="Check Box 158" hidden="1">
              <a:extLst>
                <a:ext uri="{63B3BB69-23CF-44E3-9099-C40C66FF867C}">
                  <a14:compatExt spid="_x0000_s60574"/>
                </a:ext>
                <a:ext uri="{FF2B5EF4-FFF2-40B4-BE49-F238E27FC236}">
                  <a16:creationId xmlns:a16="http://schemas.microsoft.com/office/drawing/2014/main" id="{00000000-0008-0000-2400-00009E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xdr:colOff>
          <xdr:row>42</xdr:row>
          <xdr:rowOff>106680</xdr:rowOff>
        </xdr:from>
        <xdr:to>
          <xdr:col>11</xdr:col>
          <xdr:colOff>236220</xdr:colOff>
          <xdr:row>43</xdr:row>
          <xdr:rowOff>76200</xdr:rowOff>
        </xdr:to>
        <xdr:sp macro="" textlink="">
          <xdr:nvSpPr>
            <xdr:cNvPr id="60575" name="Check Box 159" hidden="1">
              <a:extLst>
                <a:ext uri="{63B3BB69-23CF-44E3-9099-C40C66FF867C}">
                  <a14:compatExt spid="_x0000_s60575"/>
                </a:ext>
                <a:ext uri="{FF2B5EF4-FFF2-40B4-BE49-F238E27FC236}">
                  <a16:creationId xmlns:a16="http://schemas.microsoft.com/office/drawing/2014/main" id="{00000000-0008-0000-2400-00009F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xdr:colOff>
          <xdr:row>49</xdr:row>
          <xdr:rowOff>106680</xdr:rowOff>
        </xdr:from>
        <xdr:to>
          <xdr:col>11</xdr:col>
          <xdr:colOff>236220</xdr:colOff>
          <xdr:row>50</xdr:row>
          <xdr:rowOff>76200</xdr:rowOff>
        </xdr:to>
        <xdr:sp macro="" textlink="">
          <xdr:nvSpPr>
            <xdr:cNvPr id="60576" name="Check Box 160" hidden="1">
              <a:extLst>
                <a:ext uri="{63B3BB69-23CF-44E3-9099-C40C66FF867C}">
                  <a14:compatExt spid="_x0000_s60576"/>
                </a:ext>
                <a:ext uri="{FF2B5EF4-FFF2-40B4-BE49-F238E27FC236}">
                  <a16:creationId xmlns:a16="http://schemas.microsoft.com/office/drawing/2014/main" id="{00000000-0008-0000-2400-0000A0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xdr:colOff>
          <xdr:row>56</xdr:row>
          <xdr:rowOff>106680</xdr:rowOff>
        </xdr:from>
        <xdr:to>
          <xdr:col>11</xdr:col>
          <xdr:colOff>236220</xdr:colOff>
          <xdr:row>57</xdr:row>
          <xdr:rowOff>76200</xdr:rowOff>
        </xdr:to>
        <xdr:sp macro="" textlink="">
          <xdr:nvSpPr>
            <xdr:cNvPr id="60577" name="Check Box 161" hidden="1">
              <a:extLst>
                <a:ext uri="{63B3BB69-23CF-44E3-9099-C40C66FF867C}">
                  <a14:compatExt spid="_x0000_s60577"/>
                </a:ext>
                <a:ext uri="{FF2B5EF4-FFF2-40B4-BE49-F238E27FC236}">
                  <a16:creationId xmlns:a16="http://schemas.microsoft.com/office/drawing/2014/main" id="{00000000-0008-0000-2400-0000A1E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0</xdr:row>
          <xdr:rowOff>7620</xdr:rowOff>
        </xdr:from>
        <xdr:to>
          <xdr:col>3</xdr:col>
          <xdr:colOff>571500</xdr:colOff>
          <xdr:row>1</xdr:row>
          <xdr:rowOff>106680</xdr:rowOff>
        </xdr:to>
        <xdr:sp macro="" textlink="">
          <xdr:nvSpPr>
            <xdr:cNvPr id="60582" name="Button 166" hidden="1">
              <a:extLst>
                <a:ext uri="{63B3BB69-23CF-44E3-9099-C40C66FF867C}">
                  <a14:compatExt spid="_x0000_s60582"/>
                </a:ext>
                <a:ext uri="{FF2B5EF4-FFF2-40B4-BE49-F238E27FC236}">
                  <a16:creationId xmlns:a16="http://schemas.microsoft.com/office/drawing/2014/main" id="{00000000-0008-0000-2400-0000A6E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3</xdr:col>
          <xdr:colOff>83820</xdr:colOff>
          <xdr:row>1</xdr:row>
          <xdr:rowOff>106680</xdr:rowOff>
        </xdr:to>
        <xdr:sp macro="" textlink="">
          <xdr:nvSpPr>
            <xdr:cNvPr id="60583" name="Button 167" hidden="1">
              <a:extLst>
                <a:ext uri="{63B3BB69-23CF-44E3-9099-C40C66FF867C}">
                  <a14:compatExt spid="_x0000_s60583"/>
                </a:ext>
                <a:ext uri="{FF2B5EF4-FFF2-40B4-BE49-F238E27FC236}">
                  <a16:creationId xmlns:a16="http://schemas.microsoft.com/office/drawing/2014/main" id="{00000000-0008-0000-2400-0000A7EC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624840</xdr:colOff>
          <xdr:row>0</xdr:row>
          <xdr:rowOff>7620</xdr:rowOff>
        </xdr:from>
        <xdr:to>
          <xdr:col>4</xdr:col>
          <xdr:colOff>304800</xdr:colOff>
          <xdr:row>1</xdr:row>
          <xdr:rowOff>106680</xdr:rowOff>
        </xdr:to>
        <xdr:sp macro="" textlink="">
          <xdr:nvSpPr>
            <xdr:cNvPr id="60584" name="Button 168" hidden="1">
              <a:extLst>
                <a:ext uri="{63B3BB69-23CF-44E3-9099-C40C66FF867C}">
                  <a14:compatExt spid="_x0000_s60584"/>
                </a:ext>
                <a:ext uri="{FF2B5EF4-FFF2-40B4-BE49-F238E27FC236}">
                  <a16:creationId xmlns:a16="http://schemas.microsoft.com/office/drawing/2014/main" id="{00000000-0008-0000-2400-0000A8E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160020</xdr:rowOff>
        </xdr:from>
        <xdr:to>
          <xdr:col>3</xdr:col>
          <xdr:colOff>91440</xdr:colOff>
          <xdr:row>2</xdr:row>
          <xdr:rowOff>0</xdr:rowOff>
        </xdr:to>
        <xdr:sp macro="" textlink="">
          <xdr:nvSpPr>
            <xdr:cNvPr id="60585" name="Button 169" hidden="1">
              <a:extLst>
                <a:ext uri="{63B3BB69-23CF-44E3-9099-C40C66FF867C}">
                  <a14:compatExt spid="_x0000_s60585"/>
                </a:ext>
                <a:ext uri="{FF2B5EF4-FFF2-40B4-BE49-F238E27FC236}">
                  <a16:creationId xmlns:a16="http://schemas.microsoft.com/office/drawing/2014/main" id="{00000000-0008-0000-2400-0000A9E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Hide</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99060</xdr:colOff>
          <xdr:row>9</xdr:row>
          <xdr:rowOff>0</xdr:rowOff>
        </xdr:from>
        <xdr:to>
          <xdr:col>7</xdr:col>
          <xdr:colOff>495300</xdr:colOff>
          <xdr:row>10</xdr:row>
          <xdr:rowOff>30480</xdr:rowOff>
        </xdr:to>
        <xdr:sp macro="" textlink="">
          <xdr:nvSpPr>
            <xdr:cNvPr id="62467" name="Check Box 3" hidden="1">
              <a:extLst>
                <a:ext uri="{63B3BB69-23CF-44E3-9099-C40C66FF867C}">
                  <a14:compatExt spid="_x0000_s62467"/>
                </a:ext>
                <a:ext uri="{FF2B5EF4-FFF2-40B4-BE49-F238E27FC236}">
                  <a16:creationId xmlns:a16="http://schemas.microsoft.com/office/drawing/2014/main" id="{00000000-0008-0000-2500-000003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312420</xdr:colOff>
          <xdr:row>9</xdr:row>
          <xdr:rowOff>0</xdr:rowOff>
        </xdr:from>
        <xdr:to>
          <xdr:col>9</xdr:col>
          <xdr:colOff>38100</xdr:colOff>
          <xdr:row>10</xdr:row>
          <xdr:rowOff>30480</xdr:rowOff>
        </xdr:to>
        <xdr:sp macro="" textlink="">
          <xdr:nvSpPr>
            <xdr:cNvPr id="62468" name="Check Box 4" hidden="1">
              <a:extLst>
                <a:ext uri="{63B3BB69-23CF-44E3-9099-C40C66FF867C}">
                  <a14:compatExt spid="_x0000_s62468"/>
                </a:ext>
                <a:ext uri="{FF2B5EF4-FFF2-40B4-BE49-F238E27FC236}">
                  <a16:creationId xmlns:a16="http://schemas.microsoft.com/office/drawing/2014/main" id="{00000000-0008-0000-2500-000004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563880</xdr:colOff>
          <xdr:row>9</xdr:row>
          <xdr:rowOff>0</xdr:rowOff>
        </xdr:from>
        <xdr:to>
          <xdr:col>12</xdr:col>
          <xdr:colOff>60960</xdr:colOff>
          <xdr:row>10</xdr:row>
          <xdr:rowOff>30480</xdr:rowOff>
        </xdr:to>
        <xdr:sp macro="" textlink="">
          <xdr:nvSpPr>
            <xdr:cNvPr id="62470" name="Check Box 6" hidden="1">
              <a:extLst>
                <a:ext uri="{63B3BB69-23CF-44E3-9099-C40C66FF867C}">
                  <a14:compatExt spid="_x0000_s62470"/>
                </a:ext>
                <a:ext uri="{FF2B5EF4-FFF2-40B4-BE49-F238E27FC236}">
                  <a16:creationId xmlns:a16="http://schemas.microsoft.com/office/drawing/2014/main" id="{00000000-0008-0000-2500-000006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99060</xdr:colOff>
          <xdr:row>6</xdr:row>
          <xdr:rowOff>266700</xdr:rowOff>
        </xdr:from>
        <xdr:to>
          <xdr:col>7</xdr:col>
          <xdr:colOff>495300</xdr:colOff>
          <xdr:row>8</xdr:row>
          <xdr:rowOff>7620</xdr:rowOff>
        </xdr:to>
        <xdr:sp macro="" textlink="">
          <xdr:nvSpPr>
            <xdr:cNvPr id="62471" name="Check Box 7" hidden="1">
              <a:extLst>
                <a:ext uri="{63B3BB69-23CF-44E3-9099-C40C66FF867C}">
                  <a14:compatExt spid="_x0000_s62471"/>
                </a:ext>
                <a:ext uri="{FF2B5EF4-FFF2-40B4-BE49-F238E27FC236}">
                  <a16:creationId xmlns:a16="http://schemas.microsoft.com/office/drawing/2014/main" id="{00000000-0008-0000-2500-000007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312420</xdr:colOff>
          <xdr:row>6</xdr:row>
          <xdr:rowOff>266700</xdr:rowOff>
        </xdr:from>
        <xdr:to>
          <xdr:col>9</xdr:col>
          <xdr:colOff>38100</xdr:colOff>
          <xdr:row>8</xdr:row>
          <xdr:rowOff>7620</xdr:rowOff>
        </xdr:to>
        <xdr:sp macro="" textlink="">
          <xdr:nvSpPr>
            <xdr:cNvPr id="62472" name="Check Box 8" hidden="1">
              <a:extLst>
                <a:ext uri="{63B3BB69-23CF-44E3-9099-C40C66FF867C}">
                  <a14:compatExt spid="_x0000_s62472"/>
                </a:ext>
                <a:ext uri="{FF2B5EF4-FFF2-40B4-BE49-F238E27FC236}">
                  <a16:creationId xmlns:a16="http://schemas.microsoft.com/office/drawing/2014/main" id="{00000000-0008-0000-2500-000008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106680</xdr:colOff>
          <xdr:row>23</xdr:row>
          <xdr:rowOff>190500</xdr:rowOff>
        </xdr:from>
        <xdr:to>
          <xdr:col>7</xdr:col>
          <xdr:colOff>502920</xdr:colOff>
          <xdr:row>25</xdr:row>
          <xdr:rowOff>22860</xdr:rowOff>
        </xdr:to>
        <xdr:sp macro="" textlink="">
          <xdr:nvSpPr>
            <xdr:cNvPr id="62473" name="Check Box 9" hidden="1">
              <a:extLst>
                <a:ext uri="{63B3BB69-23CF-44E3-9099-C40C66FF867C}">
                  <a14:compatExt spid="_x0000_s62473"/>
                </a:ext>
                <a:ext uri="{FF2B5EF4-FFF2-40B4-BE49-F238E27FC236}">
                  <a16:creationId xmlns:a16="http://schemas.microsoft.com/office/drawing/2014/main" id="{00000000-0008-0000-2500-000009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327660</xdr:colOff>
          <xdr:row>23</xdr:row>
          <xdr:rowOff>190500</xdr:rowOff>
        </xdr:from>
        <xdr:to>
          <xdr:col>9</xdr:col>
          <xdr:colOff>45720</xdr:colOff>
          <xdr:row>25</xdr:row>
          <xdr:rowOff>22860</xdr:rowOff>
        </xdr:to>
        <xdr:sp macro="" textlink="">
          <xdr:nvSpPr>
            <xdr:cNvPr id="62474" name="Check Box 10" hidden="1">
              <a:extLst>
                <a:ext uri="{63B3BB69-23CF-44E3-9099-C40C66FF867C}">
                  <a14:compatExt spid="_x0000_s62474"/>
                </a:ext>
                <a:ext uri="{FF2B5EF4-FFF2-40B4-BE49-F238E27FC236}">
                  <a16:creationId xmlns:a16="http://schemas.microsoft.com/office/drawing/2014/main" id="{00000000-0008-0000-2500-00000A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571500</xdr:colOff>
          <xdr:row>23</xdr:row>
          <xdr:rowOff>190500</xdr:rowOff>
        </xdr:from>
        <xdr:to>
          <xdr:col>12</xdr:col>
          <xdr:colOff>68580</xdr:colOff>
          <xdr:row>25</xdr:row>
          <xdr:rowOff>22860</xdr:rowOff>
        </xdr:to>
        <xdr:sp macro="" textlink="">
          <xdr:nvSpPr>
            <xdr:cNvPr id="62475" name="Check Box 11" hidden="1">
              <a:extLst>
                <a:ext uri="{63B3BB69-23CF-44E3-9099-C40C66FF867C}">
                  <a14:compatExt spid="_x0000_s62475"/>
                </a:ext>
                <a:ext uri="{FF2B5EF4-FFF2-40B4-BE49-F238E27FC236}">
                  <a16:creationId xmlns:a16="http://schemas.microsoft.com/office/drawing/2014/main" id="{00000000-0008-0000-2500-00000B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5</xdr:col>
      <xdr:colOff>200566</xdr:colOff>
      <xdr:row>60</xdr:row>
      <xdr:rowOff>147958</xdr:rowOff>
    </xdr:from>
    <xdr:to>
      <xdr:col>7</xdr:col>
      <xdr:colOff>51603</xdr:colOff>
      <xdr:row>63</xdr:row>
      <xdr:rowOff>98429</xdr:rowOff>
    </xdr:to>
    <xdr:pic>
      <xdr:nvPicPr>
        <xdr:cNvPr id="14" name="Picture 13" descr="C:\Users\lbasham\AppData\Local\Microsoft\Windows\Temporary Internet Files\Content.Outlook\AMGT183Z\1-MM-Standard-logo-small.jpg">
          <a:extLst>
            <a:ext uri="{FF2B5EF4-FFF2-40B4-BE49-F238E27FC236}">
              <a16:creationId xmlns:a16="http://schemas.microsoft.com/office/drawing/2014/main" id="{00000000-0008-0000-2500-00000E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60699" y="11992825"/>
          <a:ext cx="1146437" cy="509271"/>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137160</xdr:colOff>
          <xdr:row>0</xdr:row>
          <xdr:rowOff>7620</xdr:rowOff>
        </xdr:from>
        <xdr:to>
          <xdr:col>2</xdr:col>
          <xdr:colOff>137160</xdr:colOff>
          <xdr:row>1</xdr:row>
          <xdr:rowOff>106680</xdr:rowOff>
        </xdr:to>
        <xdr:sp macro="" textlink="">
          <xdr:nvSpPr>
            <xdr:cNvPr id="62480" name="Button 16" hidden="1">
              <a:extLst>
                <a:ext uri="{63B3BB69-23CF-44E3-9099-C40C66FF867C}">
                  <a14:compatExt spid="_x0000_s62480"/>
                </a:ext>
                <a:ext uri="{FF2B5EF4-FFF2-40B4-BE49-F238E27FC236}">
                  <a16:creationId xmlns:a16="http://schemas.microsoft.com/office/drawing/2014/main" id="{00000000-0008-0000-2500-000010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7620</xdr:rowOff>
        </xdr:from>
        <xdr:to>
          <xdr:col>1</xdr:col>
          <xdr:colOff>83820</xdr:colOff>
          <xdr:row>1</xdr:row>
          <xdr:rowOff>106680</xdr:rowOff>
        </xdr:to>
        <xdr:sp macro="" textlink="">
          <xdr:nvSpPr>
            <xdr:cNvPr id="62481" name="Button 17" hidden="1">
              <a:extLst>
                <a:ext uri="{63B3BB69-23CF-44E3-9099-C40C66FF867C}">
                  <a14:compatExt spid="_x0000_s62481"/>
                </a:ext>
                <a:ext uri="{FF2B5EF4-FFF2-40B4-BE49-F238E27FC236}">
                  <a16:creationId xmlns:a16="http://schemas.microsoft.com/office/drawing/2014/main" id="{00000000-0008-0000-2500-000011F4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US" sz="1400" b="0" i="0" u="none" strike="noStrike" baseline="0">
                  <a:solidFill>
                    <a:srgbClr val="0066CC"/>
                  </a:solidFill>
                  <a:latin typeface="Webdings"/>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0</xdr:row>
          <xdr:rowOff>7620</xdr:rowOff>
        </xdr:from>
        <xdr:to>
          <xdr:col>3</xdr:col>
          <xdr:colOff>243840</xdr:colOff>
          <xdr:row>1</xdr:row>
          <xdr:rowOff>106680</xdr:rowOff>
        </xdr:to>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2500-000012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1</xdr:row>
          <xdr:rowOff>160020</xdr:rowOff>
        </xdr:from>
        <xdr:to>
          <xdr:col>1</xdr:col>
          <xdr:colOff>91440</xdr:colOff>
          <xdr:row>2</xdr:row>
          <xdr:rowOff>0</xdr:rowOff>
        </xdr:to>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2500-000013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66CC"/>
                  </a:solidFill>
                  <a:latin typeface="Calibri"/>
                  <a:ea typeface="Calibri"/>
                  <a:cs typeface="Calibri"/>
                </a:rPr>
                <a:t>Hide</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7.xml"/><Relationship Id="rId21" Type="http://schemas.openxmlformats.org/officeDocument/2006/relationships/ctrlProp" Target="../ctrlProps/ctrlProp22.xml"/><Relationship Id="rId42" Type="http://schemas.openxmlformats.org/officeDocument/2006/relationships/ctrlProp" Target="../ctrlProps/ctrlProp43.xml"/><Relationship Id="rId47" Type="http://schemas.openxmlformats.org/officeDocument/2006/relationships/ctrlProp" Target="../ctrlProps/ctrlProp48.xml"/><Relationship Id="rId63" Type="http://schemas.openxmlformats.org/officeDocument/2006/relationships/ctrlProp" Target="../ctrlProps/ctrlProp64.xml"/><Relationship Id="rId68" Type="http://schemas.openxmlformats.org/officeDocument/2006/relationships/ctrlProp" Target="../ctrlProps/ctrlProp69.xml"/><Relationship Id="rId7" Type="http://schemas.openxmlformats.org/officeDocument/2006/relationships/ctrlProp" Target="../ctrlProps/ctrlProp8.xml"/><Relationship Id="rId71" Type="http://schemas.openxmlformats.org/officeDocument/2006/relationships/ctrlProp" Target="../ctrlProps/ctrlProp72.xml"/><Relationship Id="rId2" Type="http://schemas.openxmlformats.org/officeDocument/2006/relationships/drawing" Target="../drawings/drawing2.xml"/><Relationship Id="rId16" Type="http://schemas.openxmlformats.org/officeDocument/2006/relationships/ctrlProp" Target="../ctrlProps/ctrlProp17.xml"/><Relationship Id="rId29" Type="http://schemas.openxmlformats.org/officeDocument/2006/relationships/ctrlProp" Target="../ctrlProps/ctrlProp30.xml"/><Relationship Id="rId11" Type="http://schemas.openxmlformats.org/officeDocument/2006/relationships/ctrlProp" Target="../ctrlProps/ctrlProp12.xml"/><Relationship Id="rId24" Type="http://schemas.openxmlformats.org/officeDocument/2006/relationships/ctrlProp" Target="../ctrlProps/ctrlProp25.xml"/><Relationship Id="rId32" Type="http://schemas.openxmlformats.org/officeDocument/2006/relationships/ctrlProp" Target="../ctrlProps/ctrlProp33.xml"/><Relationship Id="rId37" Type="http://schemas.openxmlformats.org/officeDocument/2006/relationships/ctrlProp" Target="../ctrlProps/ctrlProp38.xml"/><Relationship Id="rId40" Type="http://schemas.openxmlformats.org/officeDocument/2006/relationships/ctrlProp" Target="../ctrlProps/ctrlProp41.xml"/><Relationship Id="rId45" Type="http://schemas.openxmlformats.org/officeDocument/2006/relationships/ctrlProp" Target="../ctrlProps/ctrlProp46.xml"/><Relationship Id="rId53" Type="http://schemas.openxmlformats.org/officeDocument/2006/relationships/ctrlProp" Target="../ctrlProps/ctrlProp54.xml"/><Relationship Id="rId58" Type="http://schemas.openxmlformats.org/officeDocument/2006/relationships/ctrlProp" Target="../ctrlProps/ctrlProp59.xml"/><Relationship Id="rId66" Type="http://schemas.openxmlformats.org/officeDocument/2006/relationships/ctrlProp" Target="../ctrlProps/ctrlProp67.xml"/><Relationship Id="rId5" Type="http://schemas.openxmlformats.org/officeDocument/2006/relationships/ctrlProp" Target="../ctrlProps/ctrlProp6.xml"/><Relationship Id="rId61" Type="http://schemas.openxmlformats.org/officeDocument/2006/relationships/ctrlProp" Target="../ctrlProps/ctrlProp62.xml"/><Relationship Id="rId19" Type="http://schemas.openxmlformats.org/officeDocument/2006/relationships/ctrlProp" Target="../ctrlProps/ctrlProp2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ctrlProp" Target="../ctrlProps/ctrlProp28.xml"/><Relationship Id="rId30" Type="http://schemas.openxmlformats.org/officeDocument/2006/relationships/ctrlProp" Target="../ctrlProps/ctrlProp31.xml"/><Relationship Id="rId35" Type="http://schemas.openxmlformats.org/officeDocument/2006/relationships/ctrlProp" Target="../ctrlProps/ctrlProp36.xml"/><Relationship Id="rId43" Type="http://schemas.openxmlformats.org/officeDocument/2006/relationships/ctrlProp" Target="../ctrlProps/ctrlProp44.xml"/><Relationship Id="rId48" Type="http://schemas.openxmlformats.org/officeDocument/2006/relationships/ctrlProp" Target="../ctrlProps/ctrlProp49.xml"/><Relationship Id="rId56" Type="http://schemas.openxmlformats.org/officeDocument/2006/relationships/ctrlProp" Target="../ctrlProps/ctrlProp57.xml"/><Relationship Id="rId64" Type="http://schemas.openxmlformats.org/officeDocument/2006/relationships/ctrlProp" Target="../ctrlProps/ctrlProp65.xml"/><Relationship Id="rId69" Type="http://schemas.openxmlformats.org/officeDocument/2006/relationships/ctrlProp" Target="../ctrlProps/ctrlProp70.xml"/><Relationship Id="rId8" Type="http://schemas.openxmlformats.org/officeDocument/2006/relationships/ctrlProp" Target="../ctrlProps/ctrlProp9.xml"/><Relationship Id="rId51" Type="http://schemas.openxmlformats.org/officeDocument/2006/relationships/ctrlProp" Target="../ctrlProps/ctrlProp52.xml"/><Relationship Id="rId72" Type="http://schemas.openxmlformats.org/officeDocument/2006/relationships/comments" Target="../comments1.xml"/><Relationship Id="rId3" Type="http://schemas.openxmlformats.org/officeDocument/2006/relationships/vmlDrawing" Target="../drawings/vmlDrawing2.v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33" Type="http://schemas.openxmlformats.org/officeDocument/2006/relationships/ctrlProp" Target="../ctrlProps/ctrlProp34.xml"/><Relationship Id="rId38" Type="http://schemas.openxmlformats.org/officeDocument/2006/relationships/ctrlProp" Target="../ctrlProps/ctrlProp39.xml"/><Relationship Id="rId46" Type="http://schemas.openxmlformats.org/officeDocument/2006/relationships/ctrlProp" Target="../ctrlProps/ctrlProp47.xml"/><Relationship Id="rId59" Type="http://schemas.openxmlformats.org/officeDocument/2006/relationships/ctrlProp" Target="../ctrlProps/ctrlProp60.xml"/><Relationship Id="rId67" Type="http://schemas.openxmlformats.org/officeDocument/2006/relationships/ctrlProp" Target="../ctrlProps/ctrlProp68.xml"/><Relationship Id="rId20" Type="http://schemas.openxmlformats.org/officeDocument/2006/relationships/ctrlProp" Target="../ctrlProps/ctrlProp21.xml"/><Relationship Id="rId41" Type="http://schemas.openxmlformats.org/officeDocument/2006/relationships/ctrlProp" Target="../ctrlProps/ctrlProp42.xml"/><Relationship Id="rId54" Type="http://schemas.openxmlformats.org/officeDocument/2006/relationships/ctrlProp" Target="../ctrlProps/ctrlProp55.xml"/><Relationship Id="rId62" Type="http://schemas.openxmlformats.org/officeDocument/2006/relationships/ctrlProp" Target="../ctrlProps/ctrlProp63.xml"/><Relationship Id="rId70"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7.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ctrlProp" Target="../ctrlProps/ctrlProp29.xml"/><Relationship Id="rId36" Type="http://schemas.openxmlformats.org/officeDocument/2006/relationships/ctrlProp" Target="../ctrlProps/ctrlProp37.xml"/><Relationship Id="rId49" Type="http://schemas.openxmlformats.org/officeDocument/2006/relationships/ctrlProp" Target="../ctrlProps/ctrlProp50.xml"/><Relationship Id="rId57" Type="http://schemas.openxmlformats.org/officeDocument/2006/relationships/ctrlProp" Target="../ctrlProps/ctrlProp58.xml"/><Relationship Id="rId10" Type="http://schemas.openxmlformats.org/officeDocument/2006/relationships/ctrlProp" Target="../ctrlProps/ctrlProp11.xml"/><Relationship Id="rId31" Type="http://schemas.openxmlformats.org/officeDocument/2006/relationships/ctrlProp" Target="../ctrlProps/ctrlProp32.xml"/><Relationship Id="rId44" Type="http://schemas.openxmlformats.org/officeDocument/2006/relationships/ctrlProp" Target="../ctrlProps/ctrlProp45.xml"/><Relationship Id="rId52" Type="http://schemas.openxmlformats.org/officeDocument/2006/relationships/ctrlProp" Target="../ctrlProps/ctrlProp53.xml"/><Relationship Id="rId60" Type="http://schemas.openxmlformats.org/officeDocument/2006/relationships/ctrlProp" Target="../ctrlProps/ctrlProp61.xml"/><Relationship Id="rId65" Type="http://schemas.openxmlformats.org/officeDocument/2006/relationships/ctrlProp" Target="../ctrlProps/ctrlProp66.xml"/><Relationship Id="rId4" Type="http://schemas.openxmlformats.org/officeDocument/2006/relationships/ctrlProp" Target="../ctrlProps/ctrlProp5.xml"/><Relationship Id="rId9" Type="http://schemas.openxmlformats.org/officeDocument/2006/relationships/ctrlProp" Target="../ctrlProps/ctrlProp10.xml"/><Relationship Id="rId13" Type="http://schemas.openxmlformats.org/officeDocument/2006/relationships/ctrlProp" Target="../ctrlProps/ctrlProp14.xml"/><Relationship Id="rId18" Type="http://schemas.openxmlformats.org/officeDocument/2006/relationships/ctrlProp" Target="../ctrlProps/ctrlProp19.xml"/><Relationship Id="rId39" Type="http://schemas.openxmlformats.org/officeDocument/2006/relationships/ctrlProp" Target="../ctrlProps/ctrlProp40.xml"/><Relationship Id="rId34" Type="http://schemas.openxmlformats.org/officeDocument/2006/relationships/ctrlProp" Target="../ctrlProps/ctrlProp35.xml"/><Relationship Id="rId50" Type="http://schemas.openxmlformats.org/officeDocument/2006/relationships/ctrlProp" Target="../ctrlProps/ctrlProp51.xml"/><Relationship Id="rId55" Type="http://schemas.openxmlformats.org/officeDocument/2006/relationships/ctrlProp" Target="../ctrlProps/ctrlProp5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9" Type="http://schemas.openxmlformats.org/officeDocument/2006/relationships/ctrlProp" Target="../ctrlProps/ctrlProp113.xml"/><Relationship Id="rId21" Type="http://schemas.openxmlformats.org/officeDocument/2006/relationships/ctrlProp" Target="../ctrlProps/ctrlProp95.xml"/><Relationship Id="rId34" Type="http://schemas.openxmlformats.org/officeDocument/2006/relationships/ctrlProp" Target="../ctrlProps/ctrlProp108.xml"/><Relationship Id="rId42" Type="http://schemas.openxmlformats.org/officeDocument/2006/relationships/ctrlProp" Target="../ctrlProps/ctrlProp116.xml"/><Relationship Id="rId47" Type="http://schemas.openxmlformats.org/officeDocument/2006/relationships/ctrlProp" Target="../ctrlProps/ctrlProp121.xml"/><Relationship Id="rId50" Type="http://schemas.openxmlformats.org/officeDocument/2006/relationships/ctrlProp" Target="../ctrlProps/ctrlProp124.xml"/><Relationship Id="rId55" Type="http://schemas.openxmlformats.org/officeDocument/2006/relationships/comments" Target="../comments2.xml"/><Relationship Id="rId7" Type="http://schemas.openxmlformats.org/officeDocument/2006/relationships/ctrlProp" Target="../ctrlProps/ctrlProp81.xml"/><Relationship Id="rId2" Type="http://schemas.openxmlformats.org/officeDocument/2006/relationships/drawing" Target="../drawings/drawing5.xml"/><Relationship Id="rId16" Type="http://schemas.openxmlformats.org/officeDocument/2006/relationships/ctrlProp" Target="../ctrlProps/ctrlProp90.xml"/><Relationship Id="rId29" Type="http://schemas.openxmlformats.org/officeDocument/2006/relationships/ctrlProp" Target="../ctrlProps/ctrlProp103.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37" Type="http://schemas.openxmlformats.org/officeDocument/2006/relationships/ctrlProp" Target="../ctrlProps/ctrlProp111.xml"/><Relationship Id="rId40" Type="http://schemas.openxmlformats.org/officeDocument/2006/relationships/ctrlProp" Target="../ctrlProps/ctrlProp114.xml"/><Relationship Id="rId45" Type="http://schemas.openxmlformats.org/officeDocument/2006/relationships/ctrlProp" Target="../ctrlProps/ctrlProp119.xml"/><Relationship Id="rId53" Type="http://schemas.openxmlformats.org/officeDocument/2006/relationships/ctrlProp" Target="../ctrlProps/ctrlProp127.xml"/><Relationship Id="rId5" Type="http://schemas.openxmlformats.org/officeDocument/2006/relationships/ctrlProp" Target="../ctrlProps/ctrlProp79.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4" Type="http://schemas.openxmlformats.org/officeDocument/2006/relationships/ctrlProp" Target="../ctrlProps/ctrlProp118.xml"/><Relationship Id="rId52" Type="http://schemas.openxmlformats.org/officeDocument/2006/relationships/ctrlProp" Target="../ctrlProps/ctrlProp126.xml"/><Relationship Id="rId4" Type="http://schemas.openxmlformats.org/officeDocument/2006/relationships/ctrlProp" Target="../ctrlProps/ctrlProp78.x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35" Type="http://schemas.openxmlformats.org/officeDocument/2006/relationships/ctrlProp" Target="../ctrlProps/ctrlProp109.xml"/><Relationship Id="rId43" Type="http://schemas.openxmlformats.org/officeDocument/2006/relationships/ctrlProp" Target="../ctrlProps/ctrlProp117.xml"/><Relationship Id="rId48" Type="http://schemas.openxmlformats.org/officeDocument/2006/relationships/ctrlProp" Target="../ctrlProps/ctrlProp122.xml"/><Relationship Id="rId8" Type="http://schemas.openxmlformats.org/officeDocument/2006/relationships/ctrlProp" Target="../ctrlProps/ctrlProp82.xml"/><Relationship Id="rId51" Type="http://schemas.openxmlformats.org/officeDocument/2006/relationships/ctrlProp" Target="../ctrlProps/ctrlProp125.xml"/><Relationship Id="rId3" Type="http://schemas.openxmlformats.org/officeDocument/2006/relationships/vmlDrawing" Target="../drawings/vmlDrawing5.v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38" Type="http://schemas.openxmlformats.org/officeDocument/2006/relationships/ctrlProp" Target="../ctrlProps/ctrlProp112.xml"/><Relationship Id="rId46" Type="http://schemas.openxmlformats.org/officeDocument/2006/relationships/ctrlProp" Target="../ctrlProps/ctrlProp120.xml"/><Relationship Id="rId20" Type="http://schemas.openxmlformats.org/officeDocument/2006/relationships/ctrlProp" Target="../ctrlProps/ctrlProp94.xml"/><Relationship Id="rId41" Type="http://schemas.openxmlformats.org/officeDocument/2006/relationships/ctrlProp" Target="../ctrlProps/ctrlProp115.xml"/><Relationship Id="rId54" Type="http://schemas.openxmlformats.org/officeDocument/2006/relationships/ctrlProp" Target="../ctrlProps/ctrlProp128.xml"/><Relationship Id="rId1" Type="http://schemas.openxmlformats.org/officeDocument/2006/relationships/printerSettings" Target="../printerSettings/printerSettings6.bin"/><Relationship Id="rId6" Type="http://schemas.openxmlformats.org/officeDocument/2006/relationships/ctrlProp" Target="../ctrlProps/ctrlProp80.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36" Type="http://schemas.openxmlformats.org/officeDocument/2006/relationships/ctrlProp" Target="../ctrlProps/ctrlProp110.xml"/><Relationship Id="rId49" Type="http://schemas.openxmlformats.org/officeDocument/2006/relationships/ctrlProp" Target="../ctrlProps/ctrlProp12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33.xml"/><Relationship Id="rId13" Type="http://schemas.openxmlformats.org/officeDocument/2006/relationships/ctrlProp" Target="../ctrlProps/ctrlProp138.xml"/><Relationship Id="rId18" Type="http://schemas.openxmlformats.org/officeDocument/2006/relationships/ctrlProp" Target="../ctrlProps/ctrlProp143.xml"/><Relationship Id="rId3" Type="http://schemas.openxmlformats.org/officeDocument/2006/relationships/vmlDrawing" Target="../drawings/vmlDrawing6.vml"/><Relationship Id="rId7" Type="http://schemas.openxmlformats.org/officeDocument/2006/relationships/ctrlProp" Target="../ctrlProps/ctrlProp132.xml"/><Relationship Id="rId12" Type="http://schemas.openxmlformats.org/officeDocument/2006/relationships/ctrlProp" Target="../ctrlProps/ctrlProp137.xml"/><Relationship Id="rId17" Type="http://schemas.openxmlformats.org/officeDocument/2006/relationships/ctrlProp" Target="../ctrlProps/ctrlProp142.xml"/><Relationship Id="rId2" Type="http://schemas.openxmlformats.org/officeDocument/2006/relationships/drawing" Target="../drawings/drawing6.xml"/><Relationship Id="rId16" Type="http://schemas.openxmlformats.org/officeDocument/2006/relationships/ctrlProp" Target="../ctrlProps/ctrlProp141.xml"/><Relationship Id="rId20" Type="http://schemas.openxmlformats.org/officeDocument/2006/relationships/ctrlProp" Target="../ctrlProps/ctrlProp145.xml"/><Relationship Id="rId1" Type="http://schemas.openxmlformats.org/officeDocument/2006/relationships/printerSettings" Target="../printerSettings/printerSettings7.bin"/><Relationship Id="rId6" Type="http://schemas.openxmlformats.org/officeDocument/2006/relationships/ctrlProp" Target="../ctrlProps/ctrlProp131.xml"/><Relationship Id="rId11" Type="http://schemas.openxmlformats.org/officeDocument/2006/relationships/ctrlProp" Target="../ctrlProps/ctrlProp136.xml"/><Relationship Id="rId5" Type="http://schemas.openxmlformats.org/officeDocument/2006/relationships/ctrlProp" Target="../ctrlProps/ctrlProp130.xml"/><Relationship Id="rId15" Type="http://schemas.openxmlformats.org/officeDocument/2006/relationships/ctrlProp" Target="../ctrlProps/ctrlProp140.xml"/><Relationship Id="rId10" Type="http://schemas.openxmlformats.org/officeDocument/2006/relationships/ctrlProp" Target="../ctrlProps/ctrlProp135.xml"/><Relationship Id="rId19" Type="http://schemas.openxmlformats.org/officeDocument/2006/relationships/ctrlProp" Target="../ctrlProps/ctrlProp144.xml"/><Relationship Id="rId4" Type="http://schemas.openxmlformats.org/officeDocument/2006/relationships/ctrlProp" Target="../ctrlProps/ctrlProp129.xml"/><Relationship Id="rId9" Type="http://schemas.openxmlformats.org/officeDocument/2006/relationships/ctrlProp" Target="../ctrlProps/ctrlProp134.xml"/><Relationship Id="rId14" Type="http://schemas.openxmlformats.org/officeDocument/2006/relationships/ctrlProp" Target="../ctrlProps/ctrlProp13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0.xml"/><Relationship Id="rId13" Type="http://schemas.openxmlformats.org/officeDocument/2006/relationships/ctrlProp" Target="../ctrlProps/ctrlProp155.xml"/><Relationship Id="rId3" Type="http://schemas.openxmlformats.org/officeDocument/2006/relationships/vmlDrawing" Target="../drawings/vmlDrawing7.vml"/><Relationship Id="rId7" Type="http://schemas.openxmlformats.org/officeDocument/2006/relationships/ctrlProp" Target="../ctrlProps/ctrlProp149.xml"/><Relationship Id="rId12" Type="http://schemas.openxmlformats.org/officeDocument/2006/relationships/ctrlProp" Target="../ctrlProps/ctrlProp15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48.xml"/><Relationship Id="rId11" Type="http://schemas.openxmlformats.org/officeDocument/2006/relationships/ctrlProp" Target="../ctrlProps/ctrlProp153.xml"/><Relationship Id="rId5" Type="http://schemas.openxmlformats.org/officeDocument/2006/relationships/ctrlProp" Target="../ctrlProps/ctrlProp147.xml"/><Relationship Id="rId10" Type="http://schemas.openxmlformats.org/officeDocument/2006/relationships/ctrlProp" Target="../ctrlProps/ctrlProp152.xml"/><Relationship Id="rId4" Type="http://schemas.openxmlformats.org/officeDocument/2006/relationships/ctrlProp" Target="../ctrlProps/ctrlProp146.xml"/><Relationship Id="rId9" Type="http://schemas.openxmlformats.org/officeDocument/2006/relationships/ctrlProp" Target="../ctrlProps/ctrlProp151.xml"/><Relationship Id="rId1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60.xml"/><Relationship Id="rId3" Type="http://schemas.openxmlformats.org/officeDocument/2006/relationships/vmlDrawing" Target="../drawings/vmlDrawing8.vml"/><Relationship Id="rId7" Type="http://schemas.openxmlformats.org/officeDocument/2006/relationships/ctrlProp" Target="../ctrlProps/ctrlProp159.xml"/><Relationship Id="rId12" Type="http://schemas.openxmlformats.org/officeDocument/2006/relationships/comments" Target="../comments4.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58.xml"/><Relationship Id="rId11" Type="http://schemas.openxmlformats.org/officeDocument/2006/relationships/ctrlProp" Target="../ctrlProps/ctrlProp163.xml"/><Relationship Id="rId5" Type="http://schemas.openxmlformats.org/officeDocument/2006/relationships/ctrlProp" Target="../ctrlProps/ctrlProp157.xml"/><Relationship Id="rId10" Type="http://schemas.openxmlformats.org/officeDocument/2006/relationships/ctrlProp" Target="../ctrlProps/ctrlProp162.xml"/><Relationship Id="rId4" Type="http://schemas.openxmlformats.org/officeDocument/2006/relationships/ctrlProp" Target="../ctrlProps/ctrlProp156.xml"/><Relationship Id="rId9" Type="http://schemas.openxmlformats.org/officeDocument/2006/relationships/ctrlProp" Target="../ctrlProps/ctrlProp16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68.xml"/><Relationship Id="rId13" Type="http://schemas.openxmlformats.org/officeDocument/2006/relationships/comments" Target="../comments5.xml"/><Relationship Id="rId3" Type="http://schemas.openxmlformats.org/officeDocument/2006/relationships/vmlDrawing" Target="../drawings/vmlDrawing9.vml"/><Relationship Id="rId7" Type="http://schemas.openxmlformats.org/officeDocument/2006/relationships/ctrlProp" Target="../ctrlProps/ctrlProp167.xml"/><Relationship Id="rId12" Type="http://schemas.openxmlformats.org/officeDocument/2006/relationships/ctrlProp" Target="../ctrlProps/ctrlProp172.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66.xml"/><Relationship Id="rId11" Type="http://schemas.openxmlformats.org/officeDocument/2006/relationships/ctrlProp" Target="../ctrlProps/ctrlProp171.xml"/><Relationship Id="rId5" Type="http://schemas.openxmlformats.org/officeDocument/2006/relationships/ctrlProp" Target="../ctrlProps/ctrlProp165.xml"/><Relationship Id="rId10" Type="http://schemas.openxmlformats.org/officeDocument/2006/relationships/ctrlProp" Target="../ctrlProps/ctrlProp170.xml"/><Relationship Id="rId4" Type="http://schemas.openxmlformats.org/officeDocument/2006/relationships/ctrlProp" Target="../ctrlProps/ctrlProp164.xml"/><Relationship Id="rId9" Type="http://schemas.openxmlformats.org/officeDocument/2006/relationships/ctrlProp" Target="../ctrlProps/ctrlProp16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77.xml"/><Relationship Id="rId13" Type="http://schemas.openxmlformats.org/officeDocument/2006/relationships/ctrlProp" Target="../ctrlProps/ctrlProp182.xml"/><Relationship Id="rId18" Type="http://schemas.openxmlformats.org/officeDocument/2006/relationships/ctrlProp" Target="../ctrlProps/ctrlProp187.xml"/><Relationship Id="rId26" Type="http://schemas.openxmlformats.org/officeDocument/2006/relationships/ctrlProp" Target="../ctrlProps/ctrlProp195.xml"/><Relationship Id="rId3" Type="http://schemas.openxmlformats.org/officeDocument/2006/relationships/vmlDrawing" Target="../drawings/vmlDrawing10.vml"/><Relationship Id="rId21" Type="http://schemas.openxmlformats.org/officeDocument/2006/relationships/ctrlProp" Target="../ctrlProps/ctrlProp190.xml"/><Relationship Id="rId7" Type="http://schemas.openxmlformats.org/officeDocument/2006/relationships/ctrlProp" Target="../ctrlProps/ctrlProp176.xml"/><Relationship Id="rId12" Type="http://schemas.openxmlformats.org/officeDocument/2006/relationships/ctrlProp" Target="../ctrlProps/ctrlProp181.xml"/><Relationship Id="rId17" Type="http://schemas.openxmlformats.org/officeDocument/2006/relationships/ctrlProp" Target="../ctrlProps/ctrlProp186.xml"/><Relationship Id="rId25" Type="http://schemas.openxmlformats.org/officeDocument/2006/relationships/ctrlProp" Target="../ctrlProps/ctrlProp194.xml"/><Relationship Id="rId2" Type="http://schemas.openxmlformats.org/officeDocument/2006/relationships/drawing" Target="../drawings/drawing10.xml"/><Relationship Id="rId16" Type="http://schemas.openxmlformats.org/officeDocument/2006/relationships/ctrlProp" Target="../ctrlProps/ctrlProp185.xml"/><Relationship Id="rId20" Type="http://schemas.openxmlformats.org/officeDocument/2006/relationships/ctrlProp" Target="../ctrlProps/ctrlProp189.xml"/><Relationship Id="rId29" Type="http://schemas.openxmlformats.org/officeDocument/2006/relationships/ctrlProp" Target="../ctrlProps/ctrlProp198.xml"/><Relationship Id="rId1" Type="http://schemas.openxmlformats.org/officeDocument/2006/relationships/printerSettings" Target="../printerSettings/printerSettings11.bin"/><Relationship Id="rId6" Type="http://schemas.openxmlformats.org/officeDocument/2006/relationships/ctrlProp" Target="../ctrlProps/ctrlProp175.xml"/><Relationship Id="rId11" Type="http://schemas.openxmlformats.org/officeDocument/2006/relationships/ctrlProp" Target="../ctrlProps/ctrlProp180.xml"/><Relationship Id="rId24" Type="http://schemas.openxmlformats.org/officeDocument/2006/relationships/ctrlProp" Target="../ctrlProps/ctrlProp193.xml"/><Relationship Id="rId5" Type="http://schemas.openxmlformats.org/officeDocument/2006/relationships/ctrlProp" Target="../ctrlProps/ctrlProp174.xml"/><Relationship Id="rId15" Type="http://schemas.openxmlformats.org/officeDocument/2006/relationships/ctrlProp" Target="../ctrlProps/ctrlProp184.xml"/><Relationship Id="rId23" Type="http://schemas.openxmlformats.org/officeDocument/2006/relationships/ctrlProp" Target="../ctrlProps/ctrlProp192.xml"/><Relationship Id="rId28" Type="http://schemas.openxmlformats.org/officeDocument/2006/relationships/ctrlProp" Target="../ctrlProps/ctrlProp197.xml"/><Relationship Id="rId10" Type="http://schemas.openxmlformats.org/officeDocument/2006/relationships/ctrlProp" Target="../ctrlProps/ctrlProp179.xml"/><Relationship Id="rId19" Type="http://schemas.openxmlformats.org/officeDocument/2006/relationships/ctrlProp" Target="../ctrlProps/ctrlProp188.xml"/><Relationship Id="rId31" Type="http://schemas.openxmlformats.org/officeDocument/2006/relationships/ctrlProp" Target="../ctrlProps/ctrlProp200.xml"/><Relationship Id="rId4" Type="http://schemas.openxmlformats.org/officeDocument/2006/relationships/ctrlProp" Target="../ctrlProps/ctrlProp173.xml"/><Relationship Id="rId9" Type="http://schemas.openxmlformats.org/officeDocument/2006/relationships/ctrlProp" Target="../ctrlProps/ctrlProp178.xml"/><Relationship Id="rId14" Type="http://schemas.openxmlformats.org/officeDocument/2006/relationships/ctrlProp" Target="../ctrlProps/ctrlProp183.xml"/><Relationship Id="rId22" Type="http://schemas.openxmlformats.org/officeDocument/2006/relationships/ctrlProp" Target="../ctrlProps/ctrlProp191.xml"/><Relationship Id="rId27" Type="http://schemas.openxmlformats.org/officeDocument/2006/relationships/ctrlProp" Target="../ctrlProps/ctrlProp196.xml"/><Relationship Id="rId30" Type="http://schemas.openxmlformats.org/officeDocument/2006/relationships/ctrlProp" Target="../ctrlProps/ctrlProp199.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05.xml"/><Relationship Id="rId13" Type="http://schemas.openxmlformats.org/officeDocument/2006/relationships/ctrlProp" Target="../ctrlProps/ctrlProp210.xml"/><Relationship Id="rId18" Type="http://schemas.openxmlformats.org/officeDocument/2006/relationships/comments" Target="../comments6.xml"/><Relationship Id="rId3" Type="http://schemas.openxmlformats.org/officeDocument/2006/relationships/vmlDrawing" Target="../drawings/vmlDrawing11.vml"/><Relationship Id="rId7" Type="http://schemas.openxmlformats.org/officeDocument/2006/relationships/ctrlProp" Target="../ctrlProps/ctrlProp204.xml"/><Relationship Id="rId12" Type="http://schemas.openxmlformats.org/officeDocument/2006/relationships/ctrlProp" Target="../ctrlProps/ctrlProp209.xml"/><Relationship Id="rId17" Type="http://schemas.openxmlformats.org/officeDocument/2006/relationships/ctrlProp" Target="../ctrlProps/ctrlProp214.xml"/><Relationship Id="rId2" Type="http://schemas.openxmlformats.org/officeDocument/2006/relationships/drawing" Target="../drawings/drawing11.xml"/><Relationship Id="rId16" Type="http://schemas.openxmlformats.org/officeDocument/2006/relationships/ctrlProp" Target="../ctrlProps/ctrlProp213.xml"/><Relationship Id="rId1" Type="http://schemas.openxmlformats.org/officeDocument/2006/relationships/printerSettings" Target="../printerSettings/printerSettings12.bin"/><Relationship Id="rId6" Type="http://schemas.openxmlformats.org/officeDocument/2006/relationships/ctrlProp" Target="../ctrlProps/ctrlProp203.xml"/><Relationship Id="rId11" Type="http://schemas.openxmlformats.org/officeDocument/2006/relationships/ctrlProp" Target="../ctrlProps/ctrlProp208.xml"/><Relationship Id="rId5" Type="http://schemas.openxmlformats.org/officeDocument/2006/relationships/ctrlProp" Target="../ctrlProps/ctrlProp202.xml"/><Relationship Id="rId15" Type="http://schemas.openxmlformats.org/officeDocument/2006/relationships/ctrlProp" Target="../ctrlProps/ctrlProp212.xml"/><Relationship Id="rId10" Type="http://schemas.openxmlformats.org/officeDocument/2006/relationships/ctrlProp" Target="../ctrlProps/ctrlProp207.xml"/><Relationship Id="rId4" Type="http://schemas.openxmlformats.org/officeDocument/2006/relationships/ctrlProp" Target="../ctrlProps/ctrlProp201.xml"/><Relationship Id="rId9" Type="http://schemas.openxmlformats.org/officeDocument/2006/relationships/ctrlProp" Target="../ctrlProps/ctrlProp206.xml"/><Relationship Id="rId14" Type="http://schemas.openxmlformats.org/officeDocument/2006/relationships/ctrlProp" Target="../ctrlProps/ctrlProp21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19.xml"/><Relationship Id="rId3" Type="http://schemas.openxmlformats.org/officeDocument/2006/relationships/vmlDrawing" Target="../drawings/vmlDrawing12.vml"/><Relationship Id="rId7" Type="http://schemas.openxmlformats.org/officeDocument/2006/relationships/ctrlProp" Target="../ctrlProps/ctrlProp21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17.xml"/><Relationship Id="rId5" Type="http://schemas.openxmlformats.org/officeDocument/2006/relationships/ctrlProp" Target="../ctrlProps/ctrlProp216.xml"/><Relationship Id="rId4" Type="http://schemas.openxmlformats.org/officeDocument/2006/relationships/ctrlProp" Target="../ctrlProps/ctrlProp215.xml"/><Relationship Id="rId9" Type="http://schemas.openxmlformats.org/officeDocument/2006/relationships/ctrlProp" Target="../ctrlProps/ctrlProp22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25.xml"/><Relationship Id="rId13" Type="http://schemas.openxmlformats.org/officeDocument/2006/relationships/ctrlProp" Target="../ctrlProps/ctrlProp230.xml"/><Relationship Id="rId3" Type="http://schemas.openxmlformats.org/officeDocument/2006/relationships/vmlDrawing" Target="../drawings/vmlDrawing13.vml"/><Relationship Id="rId7" Type="http://schemas.openxmlformats.org/officeDocument/2006/relationships/ctrlProp" Target="../ctrlProps/ctrlProp224.xml"/><Relationship Id="rId12" Type="http://schemas.openxmlformats.org/officeDocument/2006/relationships/ctrlProp" Target="../ctrlProps/ctrlProp22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23.xml"/><Relationship Id="rId11" Type="http://schemas.openxmlformats.org/officeDocument/2006/relationships/ctrlProp" Target="../ctrlProps/ctrlProp228.xml"/><Relationship Id="rId5" Type="http://schemas.openxmlformats.org/officeDocument/2006/relationships/ctrlProp" Target="../ctrlProps/ctrlProp222.xml"/><Relationship Id="rId10" Type="http://schemas.openxmlformats.org/officeDocument/2006/relationships/ctrlProp" Target="../ctrlProps/ctrlProp227.xml"/><Relationship Id="rId4" Type="http://schemas.openxmlformats.org/officeDocument/2006/relationships/ctrlProp" Target="../ctrlProps/ctrlProp221.xml"/><Relationship Id="rId9" Type="http://schemas.openxmlformats.org/officeDocument/2006/relationships/ctrlProp" Target="../ctrlProps/ctrlProp226.xml"/><Relationship Id="rId14" Type="http://schemas.openxmlformats.org/officeDocument/2006/relationships/ctrlProp" Target="../ctrlProps/ctrlProp23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36.xml"/><Relationship Id="rId13" Type="http://schemas.openxmlformats.org/officeDocument/2006/relationships/ctrlProp" Target="../ctrlProps/ctrlProp241.xml"/><Relationship Id="rId3" Type="http://schemas.openxmlformats.org/officeDocument/2006/relationships/vmlDrawing" Target="../drawings/vmlDrawing14.vml"/><Relationship Id="rId7" Type="http://schemas.openxmlformats.org/officeDocument/2006/relationships/ctrlProp" Target="../ctrlProps/ctrlProp235.xml"/><Relationship Id="rId12" Type="http://schemas.openxmlformats.org/officeDocument/2006/relationships/ctrlProp" Target="../ctrlProps/ctrlProp240.x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trlProp" Target="../ctrlProps/ctrlProp234.xml"/><Relationship Id="rId11" Type="http://schemas.openxmlformats.org/officeDocument/2006/relationships/ctrlProp" Target="../ctrlProps/ctrlProp239.xml"/><Relationship Id="rId5" Type="http://schemas.openxmlformats.org/officeDocument/2006/relationships/ctrlProp" Target="../ctrlProps/ctrlProp233.xml"/><Relationship Id="rId15" Type="http://schemas.openxmlformats.org/officeDocument/2006/relationships/comments" Target="../comments7.xml"/><Relationship Id="rId10" Type="http://schemas.openxmlformats.org/officeDocument/2006/relationships/ctrlProp" Target="../ctrlProps/ctrlProp238.xml"/><Relationship Id="rId4" Type="http://schemas.openxmlformats.org/officeDocument/2006/relationships/ctrlProp" Target="../ctrlProps/ctrlProp232.xml"/><Relationship Id="rId9" Type="http://schemas.openxmlformats.org/officeDocument/2006/relationships/ctrlProp" Target="../ctrlProps/ctrlProp237.xml"/><Relationship Id="rId14" Type="http://schemas.openxmlformats.org/officeDocument/2006/relationships/ctrlProp" Target="../ctrlProps/ctrlProp242.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45.xml"/><Relationship Id="rId3" Type="http://schemas.openxmlformats.org/officeDocument/2006/relationships/printerSettings" Target="../printerSettings/printerSettings16.bin"/><Relationship Id="rId7" Type="http://schemas.openxmlformats.org/officeDocument/2006/relationships/ctrlProp" Target="../ctrlProps/ctrlProp244.xml"/><Relationship Id="rId2" Type="http://schemas.openxmlformats.org/officeDocument/2006/relationships/hyperlink" Target="https://www.travel.dod.mil/Allowances/Basic-Allowance-for-Housing/BAH-Rate-Lookup/" TargetMode="External"/><Relationship Id="rId1" Type="http://schemas.openxmlformats.org/officeDocument/2006/relationships/hyperlink" Target="https://www.travel.dod.mil/Allowances/Basic-Allowance-for-Housing/BAH-Rate-Lookup/" TargetMode="External"/><Relationship Id="rId6" Type="http://schemas.openxmlformats.org/officeDocument/2006/relationships/ctrlProp" Target="../ctrlProps/ctrlProp243.xml"/><Relationship Id="rId5" Type="http://schemas.openxmlformats.org/officeDocument/2006/relationships/vmlDrawing" Target="../drawings/vmlDrawing15.vml"/><Relationship Id="rId10" Type="http://schemas.openxmlformats.org/officeDocument/2006/relationships/ctrlProp" Target="../ctrlProps/ctrlProp247.xml"/><Relationship Id="rId4" Type="http://schemas.openxmlformats.org/officeDocument/2006/relationships/drawing" Target="../drawings/drawing15.xml"/><Relationship Id="rId9" Type="http://schemas.openxmlformats.org/officeDocument/2006/relationships/ctrlProp" Target="../ctrlProps/ctrlProp24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52.xml"/><Relationship Id="rId13" Type="http://schemas.openxmlformats.org/officeDocument/2006/relationships/ctrlProp" Target="../ctrlProps/ctrlProp257.xml"/><Relationship Id="rId3" Type="http://schemas.openxmlformats.org/officeDocument/2006/relationships/vmlDrawing" Target="../drawings/vmlDrawing16.vml"/><Relationship Id="rId7" Type="http://schemas.openxmlformats.org/officeDocument/2006/relationships/ctrlProp" Target="../ctrlProps/ctrlProp251.xml"/><Relationship Id="rId12" Type="http://schemas.openxmlformats.org/officeDocument/2006/relationships/ctrlProp" Target="../ctrlProps/ctrlProp256.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ctrlProp" Target="../ctrlProps/ctrlProp250.xml"/><Relationship Id="rId11" Type="http://schemas.openxmlformats.org/officeDocument/2006/relationships/ctrlProp" Target="../ctrlProps/ctrlProp255.xml"/><Relationship Id="rId5" Type="http://schemas.openxmlformats.org/officeDocument/2006/relationships/ctrlProp" Target="../ctrlProps/ctrlProp249.xml"/><Relationship Id="rId10" Type="http://schemas.openxmlformats.org/officeDocument/2006/relationships/ctrlProp" Target="../ctrlProps/ctrlProp254.xml"/><Relationship Id="rId4" Type="http://schemas.openxmlformats.org/officeDocument/2006/relationships/ctrlProp" Target="../ctrlProps/ctrlProp248.xml"/><Relationship Id="rId9" Type="http://schemas.openxmlformats.org/officeDocument/2006/relationships/ctrlProp" Target="../ctrlProps/ctrlProp253.xml"/><Relationship Id="rId14"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61.xml"/><Relationship Id="rId13" Type="http://schemas.openxmlformats.org/officeDocument/2006/relationships/ctrlProp" Target="../ctrlProps/ctrlProp266.xml"/><Relationship Id="rId3" Type="http://schemas.openxmlformats.org/officeDocument/2006/relationships/drawing" Target="../drawings/drawing17.xml"/><Relationship Id="rId7" Type="http://schemas.openxmlformats.org/officeDocument/2006/relationships/ctrlProp" Target="../ctrlProps/ctrlProp260.xml"/><Relationship Id="rId12" Type="http://schemas.openxmlformats.org/officeDocument/2006/relationships/ctrlProp" Target="../ctrlProps/ctrlProp265.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ctrlProp" Target="../ctrlProps/ctrlProp259.xml"/><Relationship Id="rId11" Type="http://schemas.openxmlformats.org/officeDocument/2006/relationships/ctrlProp" Target="../ctrlProps/ctrlProp264.xml"/><Relationship Id="rId5" Type="http://schemas.openxmlformats.org/officeDocument/2006/relationships/ctrlProp" Target="../ctrlProps/ctrlProp258.xml"/><Relationship Id="rId15" Type="http://schemas.openxmlformats.org/officeDocument/2006/relationships/comments" Target="../comments9.xml"/><Relationship Id="rId10" Type="http://schemas.openxmlformats.org/officeDocument/2006/relationships/ctrlProp" Target="../ctrlProps/ctrlProp263.xml"/><Relationship Id="rId4" Type="http://schemas.openxmlformats.org/officeDocument/2006/relationships/vmlDrawing" Target="../drawings/vmlDrawing17.vml"/><Relationship Id="rId9" Type="http://schemas.openxmlformats.org/officeDocument/2006/relationships/ctrlProp" Target="../ctrlProps/ctrlProp262.xml"/><Relationship Id="rId14" Type="http://schemas.openxmlformats.org/officeDocument/2006/relationships/ctrlProp" Target="../ctrlProps/ctrlProp267.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72.xml"/><Relationship Id="rId13" Type="http://schemas.openxmlformats.org/officeDocument/2006/relationships/ctrlProp" Target="../ctrlProps/ctrlProp277.xml"/><Relationship Id="rId18" Type="http://schemas.openxmlformats.org/officeDocument/2006/relationships/comments" Target="../comments10.xml"/><Relationship Id="rId3" Type="http://schemas.openxmlformats.org/officeDocument/2006/relationships/vmlDrawing" Target="../drawings/vmlDrawing18.vml"/><Relationship Id="rId7" Type="http://schemas.openxmlformats.org/officeDocument/2006/relationships/ctrlProp" Target="../ctrlProps/ctrlProp271.xml"/><Relationship Id="rId12" Type="http://schemas.openxmlformats.org/officeDocument/2006/relationships/ctrlProp" Target="../ctrlProps/ctrlProp276.xml"/><Relationship Id="rId17" Type="http://schemas.openxmlformats.org/officeDocument/2006/relationships/ctrlProp" Target="../ctrlProps/ctrlProp281.xml"/><Relationship Id="rId2" Type="http://schemas.openxmlformats.org/officeDocument/2006/relationships/drawing" Target="../drawings/drawing18.xml"/><Relationship Id="rId16" Type="http://schemas.openxmlformats.org/officeDocument/2006/relationships/ctrlProp" Target="../ctrlProps/ctrlProp280.xml"/><Relationship Id="rId1" Type="http://schemas.openxmlformats.org/officeDocument/2006/relationships/printerSettings" Target="../printerSettings/printerSettings21.bin"/><Relationship Id="rId6" Type="http://schemas.openxmlformats.org/officeDocument/2006/relationships/ctrlProp" Target="../ctrlProps/ctrlProp270.xml"/><Relationship Id="rId11" Type="http://schemas.openxmlformats.org/officeDocument/2006/relationships/ctrlProp" Target="../ctrlProps/ctrlProp275.xml"/><Relationship Id="rId5" Type="http://schemas.openxmlformats.org/officeDocument/2006/relationships/ctrlProp" Target="../ctrlProps/ctrlProp269.xml"/><Relationship Id="rId15" Type="http://schemas.openxmlformats.org/officeDocument/2006/relationships/ctrlProp" Target="../ctrlProps/ctrlProp279.xml"/><Relationship Id="rId10" Type="http://schemas.openxmlformats.org/officeDocument/2006/relationships/ctrlProp" Target="../ctrlProps/ctrlProp274.xml"/><Relationship Id="rId4" Type="http://schemas.openxmlformats.org/officeDocument/2006/relationships/ctrlProp" Target="../ctrlProps/ctrlProp268.xml"/><Relationship Id="rId9" Type="http://schemas.openxmlformats.org/officeDocument/2006/relationships/ctrlProp" Target="../ctrlProps/ctrlProp273.xml"/><Relationship Id="rId14" Type="http://schemas.openxmlformats.org/officeDocument/2006/relationships/ctrlProp" Target="../ctrlProps/ctrlProp278.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82.xml"/><Relationship Id="rId13" Type="http://schemas.openxmlformats.org/officeDocument/2006/relationships/ctrlProp" Target="../ctrlProps/ctrlProp287.xml"/><Relationship Id="rId3" Type="http://schemas.openxmlformats.org/officeDocument/2006/relationships/hyperlink" Target="https://guide.freddiemac.com/app/guide/section/5304.1" TargetMode="External"/><Relationship Id="rId7" Type="http://schemas.openxmlformats.org/officeDocument/2006/relationships/vmlDrawing" Target="../drawings/vmlDrawing19.vml"/><Relationship Id="rId12" Type="http://schemas.openxmlformats.org/officeDocument/2006/relationships/ctrlProp" Target="../ctrlProps/ctrlProp286.xml"/><Relationship Id="rId17" Type="http://schemas.openxmlformats.org/officeDocument/2006/relationships/comments" Target="../comments11.xml"/><Relationship Id="rId2" Type="http://schemas.openxmlformats.org/officeDocument/2006/relationships/hyperlink" Target="https://hub.movement.com/spaces/42/operations-training/files/38260/operations-newsletter-march-2024" TargetMode="External"/><Relationship Id="rId16" Type="http://schemas.openxmlformats.org/officeDocument/2006/relationships/ctrlProp" Target="../ctrlProps/ctrlProp290.xml"/><Relationship Id="rId1" Type="http://schemas.openxmlformats.org/officeDocument/2006/relationships/printerSettings" Target="../printerSettings/printerSettings22.bin"/><Relationship Id="rId6" Type="http://schemas.openxmlformats.org/officeDocument/2006/relationships/drawing" Target="../drawings/drawing19.xml"/><Relationship Id="rId11" Type="http://schemas.openxmlformats.org/officeDocument/2006/relationships/ctrlProp" Target="../ctrlProps/ctrlProp285.xml"/><Relationship Id="rId5" Type="http://schemas.openxmlformats.org/officeDocument/2006/relationships/printerSettings" Target="../printerSettings/printerSettings23.bin"/><Relationship Id="rId15" Type="http://schemas.openxmlformats.org/officeDocument/2006/relationships/ctrlProp" Target="../ctrlProps/ctrlProp289.xml"/><Relationship Id="rId10" Type="http://schemas.openxmlformats.org/officeDocument/2006/relationships/ctrlProp" Target="../ctrlProps/ctrlProp284.xml"/><Relationship Id="rId4" Type="http://schemas.openxmlformats.org/officeDocument/2006/relationships/hyperlink" Target="https://selling-guide.fanniemae.com/sel/b3-3.2-01/underwriting-factors-and-documentation-self-employed-borrower" TargetMode="External"/><Relationship Id="rId9" Type="http://schemas.openxmlformats.org/officeDocument/2006/relationships/ctrlProp" Target="../ctrlProps/ctrlProp283.xml"/><Relationship Id="rId14" Type="http://schemas.openxmlformats.org/officeDocument/2006/relationships/ctrlProp" Target="../ctrlProps/ctrlProp288.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93.xml"/><Relationship Id="rId13" Type="http://schemas.openxmlformats.org/officeDocument/2006/relationships/ctrlProp" Target="../ctrlProps/ctrlProp298.xml"/><Relationship Id="rId3" Type="http://schemas.openxmlformats.org/officeDocument/2006/relationships/printerSettings" Target="../printerSettings/printerSettings24.bin"/><Relationship Id="rId7" Type="http://schemas.openxmlformats.org/officeDocument/2006/relationships/ctrlProp" Target="../ctrlProps/ctrlProp292.xml"/><Relationship Id="rId12" Type="http://schemas.openxmlformats.org/officeDocument/2006/relationships/ctrlProp" Target="../ctrlProps/ctrlProp297.xml"/><Relationship Id="rId2" Type="http://schemas.openxmlformats.org/officeDocument/2006/relationships/hyperlink" Target="https://guide.freddiemac.com/app/guide/section/5304.1" TargetMode="External"/><Relationship Id="rId1" Type="http://schemas.openxmlformats.org/officeDocument/2006/relationships/hyperlink" Target="https://selling-guide.fanniemae.com/sel/b3-3.2-01/underwriting-factors-and-documentation-self-employed-borrower" TargetMode="External"/><Relationship Id="rId6" Type="http://schemas.openxmlformats.org/officeDocument/2006/relationships/ctrlProp" Target="../ctrlProps/ctrlProp291.xml"/><Relationship Id="rId11" Type="http://schemas.openxmlformats.org/officeDocument/2006/relationships/ctrlProp" Target="../ctrlProps/ctrlProp296.xml"/><Relationship Id="rId5" Type="http://schemas.openxmlformats.org/officeDocument/2006/relationships/vmlDrawing" Target="../drawings/vmlDrawing20.vml"/><Relationship Id="rId15" Type="http://schemas.openxmlformats.org/officeDocument/2006/relationships/comments" Target="../comments12.xml"/><Relationship Id="rId10" Type="http://schemas.openxmlformats.org/officeDocument/2006/relationships/ctrlProp" Target="../ctrlProps/ctrlProp295.xml"/><Relationship Id="rId4" Type="http://schemas.openxmlformats.org/officeDocument/2006/relationships/drawing" Target="../drawings/drawing20.xml"/><Relationship Id="rId9" Type="http://schemas.openxmlformats.org/officeDocument/2006/relationships/ctrlProp" Target="../ctrlProps/ctrlProp294.xml"/><Relationship Id="rId14" Type="http://schemas.openxmlformats.org/officeDocument/2006/relationships/ctrlProp" Target="../ctrlProps/ctrlProp299.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302.xml"/><Relationship Id="rId13" Type="http://schemas.openxmlformats.org/officeDocument/2006/relationships/ctrlProp" Target="../ctrlProps/ctrlProp307.xml"/><Relationship Id="rId3" Type="http://schemas.openxmlformats.org/officeDocument/2006/relationships/printerSettings" Target="../printerSettings/printerSettings25.bin"/><Relationship Id="rId7" Type="http://schemas.openxmlformats.org/officeDocument/2006/relationships/ctrlProp" Target="../ctrlProps/ctrlProp301.xml"/><Relationship Id="rId12" Type="http://schemas.openxmlformats.org/officeDocument/2006/relationships/ctrlProp" Target="../ctrlProps/ctrlProp306.xml"/><Relationship Id="rId2" Type="http://schemas.openxmlformats.org/officeDocument/2006/relationships/hyperlink" Target="https://guide.freddiemac.com/app/guide/section/5304.1" TargetMode="External"/><Relationship Id="rId1" Type="http://schemas.openxmlformats.org/officeDocument/2006/relationships/hyperlink" Target="https://selling-guide.fanniemae.com/sel/b3-3.2-01/underwriting-factors-and-documentation-self-employed-borrower" TargetMode="External"/><Relationship Id="rId6" Type="http://schemas.openxmlformats.org/officeDocument/2006/relationships/ctrlProp" Target="../ctrlProps/ctrlProp300.xml"/><Relationship Id="rId11" Type="http://schemas.openxmlformats.org/officeDocument/2006/relationships/ctrlProp" Target="../ctrlProps/ctrlProp305.xml"/><Relationship Id="rId5" Type="http://schemas.openxmlformats.org/officeDocument/2006/relationships/vmlDrawing" Target="../drawings/vmlDrawing21.vml"/><Relationship Id="rId15" Type="http://schemas.openxmlformats.org/officeDocument/2006/relationships/comments" Target="../comments13.xml"/><Relationship Id="rId10" Type="http://schemas.openxmlformats.org/officeDocument/2006/relationships/ctrlProp" Target="../ctrlProps/ctrlProp304.xml"/><Relationship Id="rId4" Type="http://schemas.openxmlformats.org/officeDocument/2006/relationships/drawing" Target="../drawings/drawing21.xml"/><Relationship Id="rId9" Type="http://schemas.openxmlformats.org/officeDocument/2006/relationships/ctrlProp" Target="../ctrlProps/ctrlProp303.xml"/><Relationship Id="rId14" Type="http://schemas.openxmlformats.org/officeDocument/2006/relationships/ctrlProp" Target="../ctrlProps/ctrlProp30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311.xml"/><Relationship Id="rId13" Type="http://schemas.openxmlformats.org/officeDocument/2006/relationships/ctrlProp" Target="../ctrlProps/ctrlProp316.xml"/><Relationship Id="rId18" Type="http://schemas.openxmlformats.org/officeDocument/2006/relationships/comments" Target="../comments14.xml"/><Relationship Id="rId3" Type="http://schemas.openxmlformats.org/officeDocument/2006/relationships/printerSettings" Target="../printerSettings/printerSettings26.bin"/><Relationship Id="rId7" Type="http://schemas.openxmlformats.org/officeDocument/2006/relationships/ctrlProp" Target="../ctrlProps/ctrlProp310.xml"/><Relationship Id="rId12" Type="http://schemas.openxmlformats.org/officeDocument/2006/relationships/ctrlProp" Target="../ctrlProps/ctrlProp315.xml"/><Relationship Id="rId17" Type="http://schemas.openxmlformats.org/officeDocument/2006/relationships/ctrlProp" Target="../ctrlProps/ctrlProp320.xml"/><Relationship Id="rId2" Type="http://schemas.openxmlformats.org/officeDocument/2006/relationships/hyperlink" Target="https://guide.freddiemac.com/app/guide/section/5304.1" TargetMode="External"/><Relationship Id="rId16" Type="http://schemas.openxmlformats.org/officeDocument/2006/relationships/ctrlProp" Target="../ctrlProps/ctrlProp319.xml"/><Relationship Id="rId1" Type="http://schemas.openxmlformats.org/officeDocument/2006/relationships/hyperlink" Target="https://selling-guide.fanniemae.com/sel/b3-3.2-01/underwriting-factors-and-documentation-self-employed-borrower" TargetMode="External"/><Relationship Id="rId6" Type="http://schemas.openxmlformats.org/officeDocument/2006/relationships/ctrlProp" Target="../ctrlProps/ctrlProp309.xml"/><Relationship Id="rId11" Type="http://schemas.openxmlformats.org/officeDocument/2006/relationships/ctrlProp" Target="../ctrlProps/ctrlProp314.xml"/><Relationship Id="rId5" Type="http://schemas.openxmlformats.org/officeDocument/2006/relationships/vmlDrawing" Target="../drawings/vmlDrawing22.vml"/><Relationship Id="rId15" Type="http://schemas.openxmlformats.org/officeDocument/2006/relationships/ctrlProp" Target="../ctrlProps/ctrlProp318.xml"/><Relationship Id="rId10" Type="http://schemas.openxmlformats.org/officeDocument/2006/relationships/ctrlProp" Target="../ctrlProps/ctrlProp313.xml"/><Relationship Id="rId4" Type="http://schemas.openxmlformats.org/officeDocument/2006/relationships/drawing" Target="../drawings/drawing22.xml"/><Relationship Id="rId9" Type="http://schemas.openxmlformats.org/officeDocument/2006/relationships/ctrlProp" Target="../ctrlProps/ctrlProp312.xml"/><Relationship Id="rId14" Type="http://schemas.openxmlformats.org/officeDocument/2006/relationships/ctrlProp" Target="../ctrlProps/ctrlProp317.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23.xml"/><Relationship Id="rId13" Type="http://schemas.openxmlformats.org/officeDocument/2006/relationships/ctrlProp" Target="../ctrlProps/ctrlProp328.xml"/><Relationship Id="rId3" Type="http://schemas.openxmlformats.org/officeDocument/2006/relationships/printerSettings" Target="../printerSettings/printerSettings27.bin"/><Relationship Id="rId7" Type="http://schemas.openxmlformats.org/officeDocument/2006/relationships/ctrlProp" Target="../ctrlProps/ctrlProp322.xml"/><Relationship Id="rId12" Type="http://schemas.openxmlformats.org/officeDocument/2006/relationships/ctrlProp" Target="../ctrlProps/ctrlProp327.xml"/><Relationship Id="rId2" Type="http://schemas.openxmlformats.org/officeDocument/2006/relationships/hyperlink" Target="https://guide.freddiemac.com/app/guide/section/5304.1" TargetMode="External"/><Relationship Id="rId1" Type="http://schemas.openxmlformats.org/officeDocument/2006/relationships/hyperlink" Target="https://selling-guide.fanniemae.com/sel/b3-3.2-01/underwriting-factors-and-documentation-self-employed-borrower" TargetMode="External"/><Relationship Id="rId6" Type="http://schemas.openxmlformats.org/officeDocument/2006/relationships/ctrlProp" Target="../ctrlProps/ctrlProp321.xml"/><Relationship Id="rId11" Type="http://schemas.openxmlformats.org/officeDocument/2006/relationships/ctrlProp" Target="../ctrlProps/ctrlProp326.xml"/><Relationship Id="rId5" Type="http://schemas.openxmlformats.org/officeDocument/2006/relationships/vmlDrawing" Target="../drawings/vmlDrawing23.vml"/><Relationship Id="rId15" Type="http://schemas.openxmlformats.org/officeDocument/2006/relationships/comments" Target="../comments15.xml"/><Relationship Id="rId10" Type="http://schemas.openxmlformats.org/officeDocument/2006/relationships/ctrlProp" Target="../ctrlProps/ctrlProp325.xml"/><Relationship Id="rId4" Type="http://schemas.openxmlformats.org/officeDocument/2006/relationships/drawing" Target="../drawings/drawing23.xml"/><Relationship Id="rId9" Type="http://schemas.openxmlformats.org/officeDocument/2006/relationships/ctrlProp" Target="../ctrlProps/ctrlProp324.xml"/><Relationship Id="rId14" Type="http://schemas.openxmlformats.org/officeDocument/2006/relationships/ctrlProp" Target="../ctrlProps/ctrlProp329.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34.xml"/><Relationship Id="rId13" Type="http://schemas.openxmlformats.org/officeDocument/2006/relationships/ctrlProp" Target="../ctrlProps/ctrlProp339.xml"/><Relationship Id="rId3" Type="http://schemas.openxmlformats.org/officeDocument/2006/relationships/vmlDrawing" Target="../drawings/vmlDrawing24.vml"/><Relationship Id="rId7" Type="http://schemas.openxmlformats.org/officeDocument/2006/relationships/ctrlProp" Target="../ctrlProps/ctrlProp333.xml"/><Relationship Id="rId12" Type="http://schemas.openxmlformats.org/officeDocument/2006/relationships/ctrlProp" Target="../ctrlProps/ctrlProp338.xml"/><Relationship Id="rId2" Type="http://schemas.openxmlformats.org/officeDocument/2006/relationships/drawing" Target="../drawings/drawing24.xml"/><Relationship Id="rId1" Type="http://schemas.openxmlformats.org/officeDocument/2006/relationships/printerSettings" Target="../printerSettings/printerSettings28.bin"/><Relationship Id="rId6" Type="http://schemas.openxmlformats.org/officeDocument/2006/relationships/ctrlProp" Target="../ctrlProps/ctrlProp332.xml"/><Relationship Id="rId11" Type="http://schemas.openxmlformats.org/officeDocument/2006/relationships/ctrlProp" Target="../ctrlProps/ctrlProp337.xml"/><Relationship Id="rId5" Type="http://schemas.openxmlformats.org/officeDocument/2006/relationships/ctrlProp" Target="../ctrlProps/ctrlProp331.xml"/><Relationship Id="rId10" Type="http://schemas.openxmlformats.org/officeDocument/2006/relationships/ctrlProp" Target="../ctrlProps/ctrlProp336.xml"/><Relationship Id="rId4" Type="http://schemas.openxmlformats.org/officeDocument/2006/relationships/ctrlProp" Target="../ctrlProps/ctrlProp330.xml"/><Relationship Id="rId9" Type="http://schemas.openxmlformats.org/officeDocument/2006/relationships/ctrlProp" Target="../ctrlProps/ctrlProp335.xml"/><Relationship Id="rId14" Type="http://schemas.openxmlformats.org/officeDocument/2006/relationships/comments" Target="../comments16.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44.xml"/><Relationship Id="rId13" Type="http://schemas.openxmlformats.org/officeDocument/2006/relationships/ctrlProp" Target="../ctrlProps/ctrlProp349.xml"/><Relationship Id="rId18" Type="http://schemas.openxmlformats.org/officeDocument/2006/relationships/ctrlProp" Target="../ctrlProps/ctrlProp354.xml"/><Relationship Id="rId3" Type="http://schemas.openxmlformats.org/officeDocument/2006/relationships/vmlDrawing" Target="../drawings/vmlDrawing25.vml"/><Relationship Id="rId21" Type="http://schemas.openxmlformats.org/officeDocument/2006/relationships/comments" Target="../comments17.xml"/><Relationship Id="rId7" Type="http://schemas.openxmlformats.org/officeDocument/2006/relationships/ctrlProp" Target="../ctrlProps/ctrlProp343.xml"/><Relationship Id="rId12" Type="http://schemas.openxmlformats.org/officeDocument/2006/relationships/ctrlProp" Target="../ctrlProps/ctrlProp348.xml"/><Relationship Id="rId17" Type="http://schemas.openxmlformats.org/officeDocument/2006/relationships/ctrlProp" Target="../ctrlProps/ctrlProp353.xml"/><Relationship Id="rId2" Type="http://schemas.openxmlformats.org/officeDocument/2006/relationships/drawing" Target="../drawings/drawing25.xml"/><Relationship Id="rId16" Type="http://schemas.openxmlformats.org/officeDocument/2006/relationships/ctrlProp" Target="../ctrlProps/ctrlProp352.xml"/><Relationship Id="rId20" Type="http://schemas.openxmlformats.org/officeDocument/2006/relationships/ctrlProp" Target="../ctrlProps/ctrlProp356.xml"/><Relationship Id="rId1" Type="http://schemas.openxmlformats.org/officeDocument/2006/relationships/printerSettings" Target="../printerSettings/printerSettings29.bin"/><Relationship Id="rId6" Type="http://schemas.openxmlformats.org/officeDocument/2006/relationships/ctrlProp" Target="../ctrlProps/ctrlProp342.xml"/><Relationship Id="rId11" Type="http://schemas.openxmlformats.org/officeDocument/2006/relationships/ctrlProp" Target="../ctrlProps/ctrlProp347.xml"/><Relationship Id="rId5" Type="http://schemas.openxmlformats.org/officeDocument/2006/relationships/ctrlProp" Target="../ctrlProps/ctrlProp341.xml"/><Relationship Id="rId15" Type="http://schemas.openxmlformats.org/officeDocument/2006/relationships/ctrlProp" Target="../ctrlProps/ctrlProp351.xml"/><Relationship Id="rId10" Type="http://schemas.openxmlformats.org/officeDocument/2006/relationships/ctrlProp" Target="../ctrlProps/ctrlProp346.xml"/><Relationship Id="rId19" Type="http://schemas.openxmlformats.org/officeDocument/2006/relationships/ctrlProp" Target="../ctrlProps/ctrlProp355.xml"/><Relationship Id="rId4" Type="http://schemas.openxmlformats.org/officeDocument/2006/relationships/ctrlProp" Target="../ctrlProps/ctrlProp340.xml"/><Relationship Id="rId9" Type="http://schemas.openxmlformats.org/officeDocument/2006/relationships/ctrlProp" Target="../ctrlProps/ctrlProp345.xml"/><Relationship Id="rId14" Type="http://schemas.openxmlformats.org/officeDocument/2006/relationships/ctrlProp" Target="../ctrlProps/ctrlProp350.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361.xml"/><Relationship Id="rId13" Type="http://schemas.openxmlformats.org/officeDocument/2006/relationships/ctrlProp" Target="../ctrlProps/ctrlProp366.xml"/><Relationship Id="rId18" Type="http://schemas.openxmlformats.org/officeDocument/2006/relationships/comments" Target="../comments18.xml"/><Relationship Id="rId3" Type="http://schemas.openxmlformats.org/officeDocument/2006/relationships/vmlDrawing" Target="../drawings/vmlDrawing26.vml"/><Relationship Id="rId7" Type="http://schemas.openxmlformats.org/officeDocument/2006/relationships/ctrlProp" Target="../ctrlProps/ctrlProp360.xml"/><Relationship Id="rId12" Type="http://schemas.openxmlformats.org/officeDocument/2006/relationships/ctrlProp" Target="../ctrlProps/ctrlProp365.xml"/><Relationship Id="rId17" Type="http://schemas.openxmlformats.org/officeDocument/2006/relationships/ctrlProp" Target="../ctrlProps/ctrlProp370.xml"/><Relationship Id="rId2" Type="http://schemas.openxmlformats.org/officeDocument/2006/relationships/drawing" Target="../drawings/drawing26.xml"/><Relationship Id="rId16" Type="http://schemas.openxmlformats.org/officeDocument/2006/relationships/ctrlProp" Target="../ctrlProps/ctrlProp369.xml"/><Relationship Id="rId1" Type="http://schemas.openxmlformats.org/officeDocument/2006/relationships/printerSettings" Target="../printerSettings/printerSettings30.bin"/><Relationship Id="rId6" Type="http://schemas.openxmlformats.org/officeDocument/2006/relationships/ctrlProp" Target="../ctrlProps/ctrlProp359.xml"/><Relationship Id="rId11" Type="http://schemas.openxmlformats.org/officeDocument/2006/relationships/ctrlProp" Target="../ctrlProps/ctrlProp364.xml"/><Relationship Id="rId5" Type="http://schemas.openxmlformats.org/officeDocument/2006/relationships/ctrlProp" Target="../ctrlProps/ctrlProp358.xml"/><Relationship Id="rId15" Type="http://schemas.openxmlformats.org/officeDocument/2006/relationships/ctrlProp" Target="../ctrlProps/ctrlProp368.xml"/><Relationship Id="rId10" Type="http://schemas.openxmlformats.org/officeDocument/2006/relationships/ctrlProp" Target="../ctrlProps/ctrlProp363.xml"/><Relationship Id="rId4" Type="http://schemas.openxmlformats.org/officeDocument/2006/relationships/ctrlProp" Target="../ctrlProps/ctrlProp357.xml"/><Relationship Id="rId9" Type="http://schemas.openxmlformats.org/officeDocument/2006/relationships/ctrlProp" Target="../ctrlProps/ctrlProp362.xml"/><Relationship Id="rId14" Type="http://schemas.openxmlformats.org/officeDocument/2006/relationships/ctrlProp" Target="../ctrlProps/ctrlProp367.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375.xml"/><Relationship Id="rId3" Type="http://schemas.openxmlformats.org/officeDocument/2006/relationships/vmlDrawing" Target="../drawings/vmlDrawing27.vml"/><Relationship Id="rId7" Type="http://schemas.openxmlformats.org/officeDocument/2006/relationships/ctrlProp" Target="../ctrlProps/ctrlProp374.xml"/><Relationship Id="rId2" Type="http://schemas.openxmlformats.org/officeDocument/2006/relationships/drawing" Target="../drawings/drawing27.xml"/><Relationship Id="rId1" Type="http://schemas.openxmlformats.org/officeDocument/2006/relationships/printerSettings" Target="../printerSettings/printerSettings31.bin"/><Relationship Id="rId6" Type="http://schemas.openxmlformats.org/officeDocument/2006/relationships/ctrlProp" Target="../ctrlProps/ctrlProp373.xml"/><Relationship Id="rId5" Type="http://schemas.openxmlformats.org/officeDocument/2006/relationships/ctrlProp" Target="../ctrlProps/ctrlProp372.xml"/><Relationship Id="rId4" Type="http://schemas.openxmlformats.org/officeDocument/2006/relationships/ctrlProp" Target="../ctrlProps/ctrlProp371.xml"/><Relationship Id="rId9" Type="http://schemas.openxmlformats.org/officeDocument/2006/relationships/ctrlProp" Target="../ctrlProps/ctrlProp376.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386.xml"/><Relationship Id="rId18" Type="http://schemas.openxmlformats.org/officeDocument/2006/relationships/ctrlProp" Target="../ctrlProps/ctrlProp391.xml"/><Relationship Id="rId26" Type="http://schemas.openxmlformats.org/officeDocument/2006/relationships/ctrlProp" Target="../ctrlProps/ctrlProp399.xml"/><Relationship Id="rId39" Type="http://schemas.openxmlformats.org/officeDocument/2006/relationships/ctrlProp" Target="../ctrlProps/ctrlProp412.xml"/><Relationship Id="rId21" Type="http://schemas.openxmlformats.org/officeDocument/2006/relationships/ctrlProp" Target="../ctrlProps/ctrlProp394.xml"/><Relationship Id="rId34" Type="http://schemas.openxmlformats.org/officeDocument/2006/relationships/ctrlProp" Target="../ctrlProps/ctrlProp407.xml"/><Relationship Id="rId42" Type="http://schemas.openxmlformats.org/officeDocument/2006/relationships/ctrlProp" Target="../ctrlProps/ctrlProp415.xml"/><Relationship Id="rId47" Type="http://schemas.openxmlformats.org/officeDocument/2006/relationships/ctrlProp" Target="../ctrlProps/ctrlProp420.xml"/><Relationship Id="rId50" Type="http://schemas.openxmlformats.org/officeDocument/2006/relationships/ctrlProp" Target="../ctrlProps/ctrlProp423.xml"/><Relationship Id="rId55" Type="http://schemas.openxmlformats.org/officeDocument/2006/relationships/ctrlProp" Target="../ctrlProps/ctrlProp428.xml"/><Relationship Id="rId7" Type="http://schemas.openxmlformats.org/officeDocument/2006/relationships/ctrlProp" Target="../ctrlProps/ctrlProp380.xml"/><Relationship Id="rId2" Type="http://schemas.openxmlformats.org/officeDocument/2006/relationships/drawing" Target="../drawings/drawing28.xml"/><Relationship Id="rId16" Type="http://schemas.openxmlformats.org/officeDocument/2006/relationships/ctrlProp" Target="../ctrlProps/ctrlProp389.xml"/><Relationship Id="rId29" Type="http://schemas.openxmlformats.org/officeDocument/2006/relationships/ctrlProp" Target="../ctrlProps/ctrlProp402.xml"/><Relationship Id="rId11" Type="http://schemas.openxmlformats.org/officeDocument/2006/relationships/ctrlProp" Target="../ctrlProps/ctrlProp384.xml"/><Relationship Id="rId24" Type="http://schemas.openxmlformats.org/officeDocument/2006/relationships/ctrlProp" Target="../ctrlProps/ctrlProp397.xml"/><Relationship Id="rId32" Type="http://schemas.openxmlformats.org/officeDocument/2006/relationships/ctrlProp" Target="../ctrlProps/ctrlProp405.xml"/><Relationship Id="rId37" Type="http://schemas.openxmlformats.org/officeDocument/2006/relationships/ctrlProp" Target="../ctrlProps/ctrlProp410.xml"/><Relationship Id="rId40" Type="http://schemas.openxmlformats.org/officeDocument/2006/relationships/ctrlProp" Target="../ctrlProps/ctrlProp413.xml"/><Relationship Id="rId45" Type="http://schemas.openxmlformats.org/officeDocument/2006/relationships/ctrlProp" Target="../ctrlProps/ctrlProp418.xml"/><Relationship Id="rId53" Type="http://schemas.openxmlformats.org/officeDocument/2006/relationships/ctrlProp" Target="../ctrlProps/ctrlProp426.xml"/><Relationship Id="rId5" Type="http://schemas.openxmlformats.org/officeDocument/2006/relationships/ctrlProp" Target="../ctrlProps/ctrlProp378.xml"/><Relationship Id="rId19" Type="http://schemas.openxmlformats.org/officeDocument/2006/relationships/ctrlProp" Target="../ctrlProps/ctrlProp392.xml"/><Relationship Id="rId4" Type="http://schemas.openxmlformats.org/officeDocument/2006/relationships/ctrlProp" Target="../ctrlProps/ctrlProp377.xml"/><Relationship Id="rId9" Type="http://schemas.openxmlformats.org/officeDocument/2006/relationships/ctrlProp" Target="../ctrlProps/ctrlProp382.xml"/><Relationship Id="rId14" Type="http://schemas.openxmlformats.org/officeDocument/2006/relationships/ctrlProp" Target="../ctrlProps/ctrlProp387.xml"/><Relationship Id="rId22" Type="http://schemas.openxmlformats.org/officeDocument/2006/relationships/ctrlProp" Target="../ctrlProps/ctrlProp395.xml"/><Relationship Id="rId27" Type="http://schemas.openxmlformats.org/officeDocument/2006/relationships/ctrlProp" Target="../ctrlProps/ctrlProp400.xml"/><Relationship Id="rId30" Type="http://schemas.openxmlformats.org/officeDocument/2006/relationships/ctrlProp" Target="../ctrlProps/ctrlProp403.xml"/><Relationship Id="rId35" Type="http://schemas.openxmlformats.org/officeDocument/2006/relationships/ctrlProp" Target="../ctrlProps/ctrlProp408.xml"/><Relationship Id="rId43" Type="http://schemas.openxmlformats.org/officeDocument/2006/relationships/ctrlProp" Target="../ctrlProps/ctrlProp416.xml"/><Relationship Id="rId48" Type="http://schemas.openxmlformats.org/officeDocument/2006/relationships/ctrlProp" Target="../ctrlProps/ctrlProp421.xml"/><Relationship Id="rId56" Type="http://schemas.openxmlformats.org/officeDocument/2006/relationships/ctrlProp" Target="../ctrlProps/ctrlProp429.xml"/><Relationship Id="rId8" Type="http://schemas.openxmlformats.org/officeDocument/2006/relationships/ctrlProp" Target="../ctrlProps/ctrlProp381.xml"/><Relationship Id="rId51" Type="http://schemas.openxmlformats.org/officeDocument/2006/relationships/ctrlProp" Target="../ctrlProps/ctrlProp424.xml"/><Relationship Id="rId3" Type="http://schemas.openxmlformats.org/officeDocument/2006/relationships/vmlDrawing" Target="../drawings/vmlDrawing28.vml"/><Relationship Id="rId12" Type="http://schemas.openxmlformats.org/officeDocument/2006/relationships/ctrlProp" Target="../ctrlProps/ctrlProp385.xml"/><Relationship Id="rId17" Type="http://schemas.openxmlformats.org/officeDocument/2006/relationships/ctrlProp" Target="../ctrlProps/ctrlProp390.xml"/><Relationship Id="rId25" Type="http://schemas.openxmlformats.org/officeDocument/2006/relationships/ctrlProp" Target="../ctrlProps/ctrlProp398.xml"/><Relationship Id="rId33" Type="http://schemas.openxmlformats.org/officeDocument/2006/relationships/ctrlProp" Target="../ctrlProps/ctrlProp406.xml"/><Relationship Id="rId38" Type="http://schemas.openxmlformats.org/officeDocument/2006/relationships/ctrlProp" Target="../ctrlProps/ctrlProp411.xml"/><Relationship Id="rId46" Type="http://schemas.openxmlformats.org/officeDocument/2006/relationships/ctrlProp" Target="../ctrlProps/ctrlProp419.xml"/><Relationship Id="rId20" Type="http://schemas.openxmlformats.org/officeDocument/2006/relationships/ctrlProp" Target="../ctrlProps/ctrlProp393.xml"/><Relationship Id="rId41" Type="http://schemas.openxmlformats.org/officeDocument/2006/relationships/ctrlProp" Target="../ctrlProps/ctrlProp414.xml"/><Relationship Id="rId54" Type="http://schemas.openxmlformats.org/officeDocument/2006/relationships/ctrlProp" Target="../ctrlProps/ctrlProp427.xml"/><Relationship Id="rId1" Type="http://schemas.openxmlformats.org/officeDocument/2006/relationships/printerSettings" Target="../printerSettings/printerSettings32.bin"/><Relationship Id="rId6" Type="http://schemas.openxmlformats.org/officeDocument/2006/relationships/ctrlProp" Target="../ctrlProps/ctrlProp379.xml"/><Relationship Id="rId15" Type="http://schemas.openxmlformats.org/officeDocument/2006/relationships/ctrlProp" Target="../ctrlProps/ctrlProp388.xml"/><Relationship Id="rId23" Type="http://schemas.openxmlformats.org/officeDocument/2006/relationships/ctrlProp" Target="../ctrlProps/ctrlProp396.xml"/><Relationship Id="rId28" Type="http://schemas.openxmlformats.org/officeDocument/2006/relationships/ctrlProp" Target="../ctrlProps/ctrlProp401.xml"/><Relationship Id="rId36" Type="http://schemas.openxmlformats.org/officeDocument/2006/relationships/ctrlProp" Target="../ctrlProps/ctrlProp409.xml"/><Relationship Id="rId49" Type="http://schemas.openxmlformats.org/officeDocument/2006/relationships/ctrlProp" Target="../ctrlProps/ctrlProp422.xml"/><Relationship Id="rId57" Type="http://schemas.openxmlformats.org/officeDocument/2006/relationships/ctrlProp" Target="../ctrlProps/ctrlProp430.xml"/><Relationship Id="rId10" Type="http://schemas.openxmlformats.org/officeDocument/2006/relationships/ctrlProp" Target="../ctrlProps/ctrlProp383.xml"/><Relationship Id="rId31" Type="http://schemas.openxmlformats.org/officeDocument/2006/relationships/ctrlProp" Target="../ctrlProps/ctrlProp404.xml"/><Relationship Id="rId44" Type="http://schemas.openxmlformats.org/officeDocument/2006/relationships/ctrlProp" Target="../ctrlProps/ctrlProp417.xml"/><Relationship Id="rId52" Type="http://schemas.openxmlformats.org/officeDocument/2006/relationships/ctrlProp" Target="../ctrlProps/ctrlProp425.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ctrlProp" Target="../ctrlProps/ctrlProp434.xml"/><Relationship Id="rId2" Type="http://schemas.openxmlformats.org/officeDocument/2006/relationships/drawing" Target="../drawings/drawing29.xml"/><Relationship Id="rId1" Type="http://schemas.openxmlformats.org/officeDocument/2006/relationships/printerSettings" Target="../printerSettings/printerSettings33.bin"/><Relationship Id="rId6" Type="http://schemas.openxmlformats.org/officeDocument/2006/relationships/ctrlProp" Target="../ctrlProps/ctrlProp433.xml"/><Relationship Id="rId5" Type="http://schemas.openxmlformats.org/officeDocument/2006/relationships/ctrlProp" Target="../ctrlProps/ctrlProp432.xml"/><Relationship Id="rId4" Type="http://schemas.openxmlformats.org/officeDocument/2006/relationships/ctrlProp" Target="../ctrlProps/ctrlProp431.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439.xml"/><Relationship Id="rId13" Type="http://schemas.openxmlformats.org/officeDocument/2006/relationships/comments" Target="../comments19.xml"/><Relationship Id="rId3" Type="http://schemas.openxmlformats.org/officeDocument/2006/relationships/vmlDrawing" Target="../drawings/vmlDrawing30.vml"/><Relationship Id="rId7" Type="http://schemas.openxmlformats.org/officeDocument/2006/relationships/ctrlProp" Target="../ctrlProps/ctrlProp438.xml"/><Relationship Id="rId12" Type="http://schemas.openxmlformats.org/officeDocument/2006/relationships/ctrlProp" Target="../ctrlProps/ctrlProp443.xml"/><Relationship Id="rId2" Type="http://schemas.openxmlformats.org/officeDocument/2006/relationships/drawing" Target="../drawings/drawing30.xml"/><Relationship Id="rId1" Type="http://schemas.openxmlformats.org/officeDocument/2006/relationships/printerSettings" Target="../printerSettings/printerSettings34.bin"/><Relationship Id="rId6" Type="http://schemas.openxmlformats.org/officeDocument/2006/relationships/ctrlProp" Target="../ctrlProps/ctrlProp437.xml"/><Relationship Id="rId11" Type="http://schemas.openxmlformats.org/officeDocument/2006/relationships/ctrlProp" Target="../ctrlProps/ctrlProp442.xml"/><Relationship Id="rId5" Type="http://schemas.openxmlformats.org/officeDocument/2006/relationships/ctrlProp" Target="../ctrlProps/ctrlProp436.xml"/><Relationship Id="rId10" Type="http://schemas.openxmlformats.org/officeDocument/2006/relationships/ctrlProp" Target="../ctrlProps/ctrlProp441.xml"/><Relationship Id="rId4" Type="http://schemas.openxmlformats.org/officeDocument/2006/relationships/ctrlProp" Target="../ctrlProps/ctrlProp435.xml"/><Relationship Id="rId9" Type="http://schemas.openxmlformats.org/officeDocument/2006/relationships/ctrlProp" Target="../ctrlProps/ctrlProp440.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448.xml"/><Relationship Id="rId3" Type="http://schemas.openxmlformats.org/officeDocument/2006/relationships/vmlDrawing" Target="../drawings/vmlDrawing31.vml"/><Relationship Id="rId7" Type="http://schemas.openxmlformats.org/officeDocument/2006/relationships/ctrlProp" Target="../ctrlProps/ctrlProp447.xml"/><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trlProp" Target="../ctrlProps/ctrlProp446.xml"/><Relationship Id="rId11" Type="http://schemas.openxmlformats.org/officeDocument/2006/relationships/comments" Target="../comments20.xml"/><Relationship Id="rId5" Type="http://schemas.openxmlformats.org/officeDocument/2006/relationships/ctrlProp" Target="../ctrlProps/ctrlProp445.xml"/><Relationship Id="rId10" Type="http://schemas.openxmlformats.org/officeDocument/2006/relationships/ctrlProp" Target="../ctrlProps/ctrlProp450.xml"/><Relationship Id="rId4" Type="http://schemas.openxmlformats.org/officeDocument/2006/relationships/ctrlProp" Target="../ctrlProps/ctrlProp444.xml"/><Relationship Id="rId9" Type="http://schemas.openxmlformats.org/officeDocument/2006/relationships/ctrlProp" Target="../ctrlProps/ctrlProp449.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455.xml"/><Relationship Id="rId3" Type="http://schemas.openxmlformats.org/officeDocument/2006/relationships/vmlDrawing" Target="../drawings/vmlDrawing32.vml"/><Relationship Id="rId7" Type="http://schemas.openxmlformats.org/officeDocument/2006/relationships/ctrlProp" Target="../ctrlProps/ctrlProp454.xml"/><Relationship Id="rId2" Type="http://schemas.openxmlformats.org/officeDocument/2006/relationships/drawing" Target="../drawings/drawing32.xml"/><Relationship Id="rId1" Type="http://schemas.openxmlformats.org/officeDocument/2006/relationships/printerSettings" Target="../printerSettings/printerSettings36.bin"/><Relationship Id="rId6" Type="http://schemas.openxmlformats.org/officeDocument/2006/relationships/ctrlProp" Target="../ctrlProps/ctrlProp453.xml"/><Relationship Id="rId5" Type="http://schemas.openxmlformats.org/officeDocument/2006/relationships/ctrlProp" Target="../ctrlProps/ctrlProp452.xml"/><Relationship Id="rId10" Type="http://schemas.openxmlformats.org/officeDocument/2006/relationships/ctrlProp" Target="../ctrlProps/ctrlProp457.xml"/><Relationship Id="rId4" Type="http://schemas.openxmlformats.org/officeDocument/2006/relationships/ctrlProp" Target="../ctrlProps/ctrlProp451.xml"/><Relationship Id="rId9" Type="http://schemas.openxmlformats.org/officeDocument/2006/relationships/ctrlProp" Target="../ctrlProps/ctrlProp456.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462.xml"/><Relationship Id="rId3" Type="http://schemas.openxmlformats.org/officeDocument/2006/relationships/vmlDrawing" Target="../drawings/vmlDrawing33.vml"/><Relationship Id="rId7" Type="http://schemas.openxmlformats.org/officeDocument/2006/relationships/ctrlProp" Target="../ctrlProps/ctrlProp461.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trlProp" Target="../ctrlProps/ctrlProp460.xml"/><Relationship Id="rId11" Type="http://schemas.openxmlformats.org/officeDocument/2006/relationships/ctrlProp" Target="../ctrlProps/ctrlProp465.xml"/><Relationship Id="rId5" Type="http://schemas.openxmlformats.org/officeDocument/2006/relationships/ctrlProp" Target="../ctrlProps/ctrlProp459.xml"/><Relationship Id="rId10" Type="http://schemas.openxmlformats.org/officeDocument/2006/relationships/ctrlProp" Target="../ctrlProps/ctrlProp464.xml"/><Relationship Id="rId4" Type="http://schemas.openxmlformats.org/officeDocument/2006/relationships/ctrlProp" Target="../ctrlProps/ctrlProp458.xml"/><Relationship Id="rId9" Type="http://schemas.openxmlformats.org/officeDocument/2006/relationships/ctrlProp" Target="../ctrlProps/ctrlProp463.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4.vml"/><Relationship Id="rId7" Type="http://schemas.openxmlformats.org/officeDocument/2006/relationships/ctrlProp" Target="../ctrlProps/ctrlProp469.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trlProp" Target="../ctrlProps/ctrlProp468.xml"/><Relationship Id="rId5" Type="http://schemas.openxmlformats.org/officeDocument/2006/relationships/ctrlProp" Target="../ctrlProps/ctrlProp467.xml"/><Relationship Id="rId4" Type="http://schemas.openxmlformats.org/officeDocument/2006/relationships/ctrlProp" Target="../ctrlProps/ctrlProp466.xml"/></Relationships>
</file>

<file path=xl/worksheets/_rels/sheet37.xml.rels><?xml version="1.0" encoding="UTF-8" standalone="yes"?>
<Relationships xmlns="http://schemas.openxmlformats.org/package/2006/relationships"><Relationship Id="rId13" Type="http://schemas.openxmlformats.org/officeDocument/2006/relationships/ctrlProp" Target="../ctrlProps/ctrlProp479.xml"/><Relationship Id="rId18" Type="http://schemas.openxmlformats.org/officeDocument/2006/relationships/ctrlProp" Target="../ctrlProps/ctrlProp484.xml"/><Relationship Id="rId26" Type="http://schemas.openxmlformats.org/officeDocument/2006/relationships/ctrlProp" Target="../ctrlProps/ctrlProp492.xml"/><Relationship Id="rId39" Type="http://schemas.openxmlformats.org/officeDocument/2006/relationships/ctrlProp" Target="../ctrlProps/ctrlProp505.xml"/><Relationship Id="rId21" Type="http://schemas.openxmlformats.org/officeDocument/2006/relationships/ctrlProp" Target="../ctrlProps/ctrlProp487.xml"/><Relationship Id="rId34" Type="http://schemas.openxmlformats.org/officeDocument/2006/relationships/ctrlProp" Target="../ctrlProps/ctrlProp500.xml"/><Relationship Id="rId42" Type="http://schemas.openxmlformats.org/officeDocument/2006/relationships/ctrlProp" Target="../ctrlProps/ctrlProp508.xml"/><Relationship Id="rId47" Type="http://schemas.openxmlformats.org/officeDocument/2006/relationships/ctrlProp" Target="../ctrlProps/ctrlProp513.xml"/><Relationship Id="rId7" Type="http://schemas.openxmlformats.org/officeDocument/2006/relationships/ctrlProp" Target="../ctrlProps/ctrlProp473.xml"/><Relationship Id="rId2" Type="http://schemas.openxmlformats.org/officeDocument/2006/relationships/drawing" Target="../drawings/drawing35.xml"/><Relationship Id="rId16" Type="http://schemas.openxmlformats.org/officeDocument/2006/relationships/ctrlProp" Target="../ctrlProps/ctrlProp482.xml"/><Relationship Id="rId29" Type="http://schemas.openxmlformats.org/officeDocument/2006/relationships/ctrlProp" Target="../ctrlProps/ctrlProp495.xml"/><Relationship Id="rId1" Type="http://schemas.openxmlformats.org/officeDocument/2006/relationships/printerSettings" Target="../printerSettings/printerSettings39.bin"/><Relationship Id="rId6" Type="http://schemas.openxmlformats.org/officeDocument/2006/relationships/ctrlProp" Target="../ctrlProps/ctrlProp472.xml"/><Relationship Id="rId11" Type="http://schemas.openxmlformats.org/officeDocument/2006/relationships/ctrlProp" Target="../ctrlProps/ctrlProp477.xml"/><Relationship Id="rId24" Type="http://schemas.openxmlformats.org/officeDocument/2006/relationships/ctrlProp" Target="../ctrlProps/ctrlProp490.xml"/><Relationship Id="rId32" Type="http://schemas.openxmlformats.org/officeDocument/2006/relationships/ctrlProp" Target="../ctrlProps/ctrlProp498.xml"/><Relationship Id="rId37" Type="http://schemas.openxmlformats.org/officeDocument/2006/relationships/ctrlProp" Target="../ctrlProps/ctrlProp503.xml"/><Relationship Id="rId40" Type="http://schemas.openxmlformats.org/officeDocument/2006/relationships/ctrlProp" Target="../ctrlProps/ctrlProp506.xml"/><Relationship Id="rId45" Type="http://schemas.openxmlformats.org/officeDocument/2006/relationships/ctrlProp" Target="../ctrlProps/ctrlProp511.xml"/><Relationship Id="rId5" Type="http://schemas.openxmlformats.org/officeDocument/2006/relationships/ctrlProp" Target="../ctrlProps/ctrlProp471.xml"/><Relationship Id="rId15" Type="http://schemas.openxmlformats.org/officeDocument/2006/relationships/ctrlProp" Target="../ctrlProps/ctrlProp481.xml"/><Relationship Id="rId23" Type="http://schemas.openxmlformats.org/officeDocument/2006/relationships/ctrlProp" Target="../ctrlProps/ctrlProp489.xml"/><Relationship Id="rId28" Type="http://schemas.openxmlformats.org/officeDocument/2006/relationships/ctrlProp" Target="../ctrlProps/ctrlProp494.xml"/><Relationship Id="rId36" Type="http://schemas.openxmlformats.org/officeDocument/2006/relationships/ctrlProp" Target="../ctrlProps/ctrlProp502.xml"/><Relationship Id="rId10" Type="http://schemas.openxmlformats.org/officeDocument/2006/relationships/ctrlProp" Target="../ctrlProps/ctrlProp476.xml"/><Relationship Id="rId19" Type="http://schemas.openxmlformats.org/officeDocument/2006/relationships/ctrlProp" Target="../ctrlProps/ctrlProp485.xml"/><Relationship Id="rId31" Type="http://schemas.openxmlformats.org/officeDocument/2006/relationships/ctrlProp" Target="../ctrlProps/ctrlProp497.xml"/><Relationship Id="rId44" Type="http://schemas.openxmlformats.org/officeDocument/2006/relationships/ctrlProp" Target="../ctrlProps/ctrlProp510.xml"/><Relationship Id="rId4" Type="http://schemas.openxmlformats.org/officeDocument/2006/relationships/ctrlProp" Target="../ctrlProps/ctrlProp470.xml"/><Relationship Id="rId9" Type="http://schemas.openxmlformats.org/officeDocument/2006/relationships/ctrlProp" Target="../ctrlProps/ctrlProp475.xml"/><Relationship Id="rId14" Type="http://schemas.openxmlformats.org/officeDocument/2006/relationships/ctrlProp" Target="../ctrlProps/ctrlProp480.xml"/><Relationship Id="rId22" Type="http://schemas.openxmlformats.org/officeDocument/2006/relationships/ctrlProp" Target="../ctrlProps/ctrlProp488.xml"/><Relationship Id="rId27" Type="http://schemas.openxmlformats.org/officeDocument/2006/relationships/ctrlProp" Target="../ctrlProps/ctrlProp493.xml"/><Relationship Id="rId30" Type="http://schemas.openxmlformats.org/officeDocument/2006/relationships/ctrlProp" Target="../ctrlProps/ctrlProp496.xml"/><Relationship Id="rId35" Type="http://schemas.openxmlformats.org/officeDocument/2006/relationships/ctrlProp" Target="../ctrlProps/ctrlProp501.xml"/><Relationship Id="rId43" Type="http://schemas.openxmlformats.org/officeDocument/2006/relationships/ctrlProp" Target="../ctrlProps/ctrlProp509.xml"/><Relationship Id="rId8" Type="http://schemas.openxmlformats.org/officeDocument/2006/relationships/ctrlProp" Target="../ctrlProps/ctrlProp474.xml"/><Relationship Id="rId3" Type="http://schemas.openxmlformats.org/officeDocument/2006/relationships/vmlDrawing" Target="../drawings/vmlDrawing35.vml"/><Relationship Id="rId12" Type="http://schemas.openxmlformats.org/officeDocument/2006/relationships/ctrlProp" Target="../ctrlProps/ctrlProp478.xml"/><Relationship Id="rId17" Type="http://schemas.openxmlformats.org/officeDocument/2006/relationships/ctrlProp" Target="../ctrlProps/ctrlProp483.xml"/><Relationship Id="rId25" Type="http://schemas.openxmlformats.org/officeDocument/2006/relationships/ctrlProp" Target="../ctrlProps/ctrlProp491.xml"/><Relationship Id="rId33" Type="http://schemas.openxmlformats.org/officeDocument/2006/relationships/ctrlProp" Target="../ctrlProps/ctrlProp499.xml"/><Relationship Id="rId38" Type="http://schemas.openxmlformats.org/officeDocument/2006/relationships/ctrlProp" Target="../ctrlProps/ctrlProp504.xml"/><Relationship Id="rId46" Type="http://schemas.openxmlformats.org/officeDocument/2006/relationships/ctrlProp" Target="../ctrlProps/ctrlProp512.xml"/><Relationship Id="rId20" Type="http://schemas.openxmlformats.org/officeDocument/2006/relationships/ctrlProp" Target="../ctrlProps/ctrlProp486.xml"/><Relationship Id="rId41" Type="http://schemas.openxmlformats.org/officeDocument/2006/relationships/ctrlProp" Target="../ctrlProps/ctrlProp507.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518.xml"/><Relationship Id="rId13" Type="http://schemas.openxmlformats.org/officeDocument/2006/relationships/ctrlProp" Target="../ctrlProps/ctrlProp523.xml"/><Relationship Id="rId3" Type="http://schemas.openxmlformats.org/officeDocument/2006/relationships/vmlDrawing" Target="../drawings/vmlDrawing36.vml"/><Relationship Id="rId7" Type="http://schemas.openxmlformats.org/officeDocument/2006/relationships/ctrlProp" Target="../ctrlProps/ctrlProp517.xml"/><Relationship Id="rId12" Type="http://schemas.openxmlformats.org/officeDocument/2006/relationships/ctrlProp" Target="../ctrlProps/ctrlProp522.xml"/><Relationship Id="rId2" Type="http://schemas.openxmlformats.org/officeDocument/2006/relationships/drawing" Target="../drawings/drawing36.xml"/><Relationship Id="rId1" Type="http://schemas.openxmlformats.org/officeDocument/2006/relationships/printerSettings" Target="../printerSettings/printerSettings40.bin"/><Relationship Id="rId6" Type="http://schemas.openxmlformats.org/officeDocument/2006/relationships/ctrlProp" Target="../ctrlProps/ctrlProp516.xml"/><Relationship Id="rId11" Type="http://schemas.openxmlformats.org/officeDocument/2006/relationships/ctrlProp" Target="../ctrlProps/ctrlProp521.xml"/><Relationship Id="rId5" Type="http://schemas.openxmlformats.org/officeDocument/2006/relationships/ctrlProp" Target="../ctrlProps/ctrlProp515.xml"/><Relationship Id="rId15" Type="http://schemas.openxmlformats.org/officeDocument/2006/relationships/ctrlProp" Target="../ctrlProps/ctrlProp525.xml"/><Relationship Id="rId10" Type="http://schemas.openxmlformats.org/officeDocument/2006/relationships/ctrlProp" Target="../ctrlProps/ctrlProp520.xml"/><Relationship Id="rId4" Type="http://schemas.openxmlformats.org/officeDocument/2006/relationships/ctrlProp" Target="../ctrlProps/ctrlProp514.xml"/><Relationship Id="rId9" Type="http://schemas.openxmlformats.org/officeDocument/2006/relationships/ctrlProp" Target="../ctrlProps/ctrlProp519.xml"/><Relationship Id="rId14" Type="http://schemas.openxmlformats.org/officeDocument/2006/relationships/ctrlProp" Target="../ctrlProps/ctrlProp5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H376"/>
  <sheetViews>
    <sheetView showGridLines="0" showRowColHeaders="0" tabSelected="1" showRuler="0" view="pageLayout" zoomScaleNormal="100" workbookViewId="0">
      <selection activeCell="E105" sqref="E105"/>
    </sheetView>
  </sheetViews>
  <sheetFormatPr defaultColWidth="9.109375" defaultRowHeight="16.5" customHeight="1" x14ac:dyDescent="0.3"/>
  <cols>
    <col min="1" max="1" width="0.5546875" style="67" customWidth="1"/>
    <col min="2" max="2" width="10" style="30" customWidth="1"/>
    <col min="3" max="3" width="45.44140625" style="30" customWidth="1"/>
    <col min="4" max="4" width="41.109375" style="30" customWidth="1"/>
    <col min="5" max="5" width="10.21875" style="30" customWidth="1"/>
    <col min="6" max="16384" width="9.109375" style="30"/>
  </cols>
  <sheetData>
    <row r="1" spans="1:5" ht="15" customHeight="1" x14ac:dyDescent="0.3"/>
    <row r="2" spans="1:5" ht="26.25" customHeight="1" x14ac:dyDescent="0.3">
      <c r="A2" s="1207" t="s">
        <v>473</v>
      </c>
      <c r="B2" s="1207"/>
      <c r="C2" s="1207"/>
      <c r="D2" s="1207"/>
      <c r="E2" s="1207"/>
    </row>
    <row r="3" spans="1:5" ht="21" customHeight="1" x14ac:dyDescent="0.3">
      <c r="A3" s="1208"/>
      <c r="B3" s="1208"/>
      <c r="C3" s="1208"/>
      <c r="D3" s="1208"/>
      <c r="E3" s="1208"/>
    </row>
    <row r="4" spans="1:5" ht="2.4" customHeight="1" x14ac:dyDescent="0.3">
      <c r="B4" s="470"/>
    </row>
    <row r="5" spans="1:5" ht="13.8" customHeight="1" x14ac:dyDescent="0.3">
      <c r="B5" s="74"/>
      <c r="C5" s="1209" t="s">
        <v>479</v>
      </c>
      <c r="D5" s="1209"/>
      <c r="E5" s="75"/>
    </row>
    <row r="6" spans="1:5" ht="13.8" customHeight="1" x14ac:dyDescent="0.3">
      <c r="B6" s="75"/>
      <c r="C6" s="1209" t="s">
        <v>877</v>
      </c>
      <c r="D6" s="1209"/>
      <c r="E6" s="291"/>
    </row>
    <row r="7" spans="1:5" ht="7.8" customHeight="1" x14ac:dyDescent="0.3">
      <c r="B7" s="75"/>
      <c r="C7" s="488"/>
      <c r="D7" s="488"/>
      <c r="E7" s="291"/>
    </row>
    <row r="8" spans="1:5" ht="15.6" customHeight="1" x14ac:dyDescent="0.3">
      <c r="A8" s="1210" t="s">
        <v>1449</v>
      </c>
      <c r="B8" s="1210"/>
      <c r="C8" s="1210"/>
      <c r="D8" s="1210"/>
      <c r="E8" s="1210"/>
    </row>
    <row r="9" spans="1:5" ht="9.6" customHeight="1" x14ac:dyDescent="0.3">
      <c r="A9" s="1213" t="s">
        <v>1452</v>
      </c>
      <c r="B9" s="1213"/>
      <c r="C9" s="1213"/>
      <c r="D9" s="1213"/>
      <c r="E9" s="1213"/>
    </row>
    <row r="10" spans="1:5" ht="46.2" customHeight="1" x14ac:dyDescent="0.3">
      <c r="A10" s="1213"/>
      <c r="B10" s="1213"/>
      <c r="C10" s="1213"/>
      <c r="D10" s="1213"/>
      <c r="E10" s="1213"/>
    </row>
    <row r="11" spans="1:5" ht="11.4" customHeight="1" x14ac:dyDescent="0.3">
      <c r="A11" s="1213"/>
      <c r="B11" s="1213"/>
      <c r="C11" s="1213"/>
      <c r="D11" s="1213"/>
      <c r="E11" s="1213"/>
    </row>
    <row r="12" spans="1:5" ht="31.5" customHeight="1" x14ac:dyDescent="0.3">
      <c r="A12" s="287"/>
      <c r="B12" s="1206" t="s">
        <v>495</v>
      </c>
      <c r="C12" s="1206"/>
      <c r="D12" s="1206"/>
      <c r="E12" s="1206"/>
    </row>
    <row r="13" spans="1:5" ht="8.25" customHeight="1" x14ac:dyDescent="0.3">
      <c r="A13" s="287"/>
      <c r="B13" s="289"/>
      <c r="C13" s="289"/>
      <c r="D13" s="289"/>
      <c r="E13" s="289"/>
    </row>
    <row r="14" spans="1:5" ht="62.25" customHeight="1" x14ac:dyDescent="0.3">
      <c r="A14" s="287"/>
      <c r="B14" s="1203" t="s">
        <v>517</v>
      </c>
      <c r="C14" s="1203"/>
      <c r="D14" s="1203"/>
      <c r="E14" s="1203"/>
    </row>
    <row r="15" spans="1:5" ht="8.25" customHeight="1" x14ac:dyDescent="0.3">
      <c r="A15" s="287"/>
      <c r="B15" s="294"/>
      <c r="C15" s="294"/>
      <c r="D15" s="290"/>
      <c r="E15" s="290"/>
    </row>
    <row r="16" spans="1:5" ht="61.2" customHeight="1" x14ac:dyDescent="0.3">
      <c r="A16" s="287"/>
      <c r="B16" s="1203" t="s">
        <v>494</v>
      </c>
      <c r="C16" s="1203"/>
      <c r="D16" s="1203"/>
      <c r="E16" s="1203"/>
    </row>
    <row r="17" spans="1:5" ht="30" customHeight="1" x14ac:dyDescent="0.3">
      <c r="A17" s="1211" t="s">
        <v>474</v>
      </c>
      <c r="B17" s="1211"/>
      <c r="C17" s="1211"/>
      <c r="D17" s="1211"/>
      <c r="E17" s="1211"/>
    </row>
    <row r="18" spans="1:5" ht="56.4" customHeight="1" x14ac:dyDescent="0.3">
      <c r="A18" s="287"/>
      <c r="B18" s="1203" t="s">
        <v>1321</v>
      </c>
      <c r="C18" s="1203"/>
      <c r="D18" s="1203"/>
      <c r="E18" s="1203"/>
    </row>
    <row r="19" spans="1:5" ht="10.5" customHeight="1" x14ac:dyDescent="0.3">
      <c r="A19" s="287"/>
      <c r="B19" s="294"/>
      <c r="C19" s="294"/>
      <c r="D19" s="290"/>
      <c r="E19" s="290"/>
    </row>
    <row r="20" spans="1:5" ht="46.5" customHeight="1" x14ac:dyDescent="0.3">
      <c r="A20" s="287"/>
      <c r="B20" s="1203" t="s">
        <v>485</v>
      </c>
      <c r="C20" s="1203"/>
      <c r="D20" s="1203"/>
      <c r="E20" s="1203"/>
    </row>
    <row r="21" spans="1:5" ht="10.5" customHeight="1" x14ac:dyDescent="0.3">
      <c r="A21" s="287"/>
      <c r="B21" s="288"/>
      <c r="C21" s="288"/>
      <c r="D21" s="288"/>
      <c r="E21" s="288"/>
    </row>
    <row r="22" spans="1:5" ht="46.5" customHeight="1" x14ac:dyDescent="0.3">
      <c r="A22" s="287"/>
      <c r="B22" s="1203" t="s">
        <v>484</v>
      </c>
      <c r="C22" s="1203"/>
      <c r="D22" s="1203"/>
      <c r="E22" s="1203"/>
    </row>
    <row r="23" spans="1:5" ht="4.5" customHeight="1" x14ac:dyDescent="0.3">
      <c r="A23" s="287"/>
      <c r="B23" s="288"/>
      <c r="C23" s="288"/>
      <c r="D23" s="288"/>
      <c r="E23" s="288"/>
    </row>
    <row r="24" spans="1:5" ht="33" customHeight="1" x14ac:dyDescent="0.3">
      <c r="A24" s="287"/>
      <c r="B24" s="1212" t="s">
        <v>496</v>
      </c>
      <c r="C24" s="1212"/>
      <c r="D24" s="1212"/>
      <c r="E24" s="1212"/>
    </row>
    <row r="25" spans="1:5" ht="33" customHeight="1" x14ac:dyDescent="0.3">
      <c r="A25" s="287"/>
      <c r="B25" s="1212" t="s">
        <v>482</v>
      </c>
      <c r="C25" s="1212"/>
      <c r="D25" s="1212"/>
      <c r="E25" s="1212"/>
    </row>
    <row r="26" spans="1:5" ht="33" customHeight="1" x14ac:dyDescent="0.3">
      <c r="A26" s="287"/>
      <c r="B26" s="1212" t="s">
        <v>480</v>
      </c>
      <c r="C26" s="1212"/>
      <c r="D26" s="1212"/>
      <c r="E26" s="1212"/>
    </row>
    <row r="27" spans="1:5" ht="6" customHeight="1" x14ac:dyDescent="0.3">
      <c r="A27" s="287"/>
      <c r="B27" s="288"/>
      <c r="C27" s="288"/>
      <c r="D27" s="288"/>
      <c r="E27" s="288"/>
    </row>
    <row r="28" spans="1:5" ht="18" customHeight="1" x14ac:dyDescent="0.3">
      <c r="A28" s="287"/>
      <c r="B28" s="1203" t="s">
        <v>549</v>
      </c>
      <c r="C28" s="1203"/>
      <c r="D28" s="1203"/>
      <c r="E28" s="1203"/>
    </row>
    <row r="29" spans="1:5" ht="6" customHeight="1" x14ac:dyDescent="0.3">
      <c r="A29" s="287"/>
      <c r="B29" s="288"/>
      <c r="C29" s="288"/>
      <c r="D29" s="288"/>
      <c r="E29" s="288"/>
    </row>
    <row r="30" spans="1:5" ht="33" customHeight="1" x14ac:dyDescent="0.3">
      <c r="A30" s="287"/>
      <c r="B30" s="1203" t="s">
        <v>483</v>
      </c>
      <c r="C30" s="1203"/>
      <c r="D30" s="1203"/>
      <c r="E30" s="1203"/>
    </row>
    <row r="31" spans="1:5" ht="3" customHeight="1" x14ac:dyDescent="0.3">
      <c r="A31" s="30"/>
    </row>
    <row r="32" spans="1:5" ht="28.2" customHeight="1" x14ac:dyDescent="0.3">
      <c r="A32" s="1211" t="s">
        <v>501</v>
      </c>
      <c r="B32" s="1211"/>
      <c r="C32" s="1211"/>
      <c r="D32" s="1211"/>
      <c r="E32" s="1211"/>
    </row>
    <row r="33" spans="1:5" ht="16.5" customHeight="1" x14ac:dyDescent="0.3">
      <c r="A33" s="30"/>
      <c r="B33" s="1219" t="s">
        <v>497</v>
      </c>
      <c r="C33" s="1219"/>
      <c r="D33" s="1216" t="s">
        <v>498</v>
      </c>
      <c r="E33" s="1216"/>
    </row>
    <row r="34" spans="1:5" ht="12.6" customHeight="1" x14ac:dyDescent="0.3">
      <c r="A34" s="30"/>
      <c r="B34" s="1215" t="s">
        <v>505</v>
      </c>
      <c r="C34" s="1215"/>
      <c r="D34" s="1214" t="s">
        <v>515</v>
      </c>
      <c r="E34" s="1214"/>
    </row>
    <row r="35" spans="1:5" ht="12.6" customHeight="1" x14ac:dyDescent="0.3">
      <c r="A35" s="30"/>
      <c r="B35" s="1215" t="s">
        <v>507</v>
      </c>
      <c r="C35" s="1215"/>
      <c r="D35" s="1214" t="s">
        <v>514</v>
      </c>
      <c r="E35" s="1214"/>
    </row>
    <row r="36" spans="1:5" ht="12.6" customHeight="1" x14ac:dyDescent="0.3">
      <c r="A36" s="30"/>
      <c r="B36" s="1215" t="s">
        <v>506</v>
      </c>
      <c r="C36" s="1215"/>
      <c r="D36" s="1214" t="s">
        <v>1067</v>
      </c>
      <c r="E36" s="1214"/>
    </row>
    <row r="37" spans="1:5" ht="12.6" customHeight="1" x14ac:dyDescent="0.3">
      <c r="A37" s="30"/>
      <c r="B37" s="1215"/>
      <c r="C37" s="1215"/>
      <c r="D37" s="1214" t="s">
        <v>1308</v>
      </c>
      <c r="E37" s="1214"/>
    </row>
    <row r="38" spans="1:5" ht="15" customHeight="1" x14ac:dyDescent="0.3">
      <c r="A38" s="30"/>
      <c r="B38" s="1217" t="s">
        <v>500</v>
      </c>
      <c r="C38" s="1217"/>
      <c r="D38" s="872"/>
      <c r="E38" s="872"/>
    </row>
    <row r="39" spans="1:5" ht="12.6" customHeight="1" x14ac:dyDescent="0.3">
      <c r="A39" s="30"/>
      <c r="B39" s="1215" t="s">
        <v>1363</v>
      </c>
      <c r="C39" s="1215"/>
      <c r="D39" s="1218" t="s">
        <v>499</v>
      </c>
      <c r="E39" s="1218"/>
    </row>
    <row r="40" spans="1:5" ht="12.6" customHeight="1" x14ac:dyDescent="0.3">
      <c r="A40" s="30"/>
      <c r="B40" s="1215" t="s">
        <v>509</v>
      </c>
      <c r="C40" s="1215"/>
      <c r="D40" s="1214" t="s">
        <v>516</v>
      </c>
      <c r="E40" s="1214"/>
    </row>
    <row r="41" spans="1:5" ht="12.6" customHeight="1" x14ac:dyDescent="0.3">
      <c r="A41" s="30"/>
      <c r="B41" s="1215" t="s">
        <v>508</v>
      </c>
      <c r="C41" s="1215"/>
      <c r="D41" s="1214" t="s">
        <v>513</v>
      </c>
      <c r="E41" s="1214"/>
    </row>
    <row r="42" spans="1:5" ht="12.6" customHeight="1" x14ac:dyDescent="0.3">
      <c r="A42" s="30"/>
      <c r="B42" s="1215" t="s">
        <v>897</v>
      </c>
      <c r="C42" s="1215"/>
      <c r="D42" s="1214" t="s">
        <v>512</v>
      </c>
      <c r="E42" s="1214"/>
    </row>
    <row r="43" spans="1:5" ht="12.6" customHeight="1" x14ac:dyDescent="0.3">
      <c r="A43" s="30"/>
      <c r="B43" s="1215" t="s">
        <v>1062</v>
      </c>
      <c r="C43" s="1215"/>
      <c r="D43" s="1214" t="s">
        <v>511</v>
      </c>
      <c r="E43" s="1214"/>
    </row>
    <row r="44" spans="1:5" ht="12.6" customHeight="1" x14ac:dyDescent="0.3">
      <c r="A44" s="30"/>
      <c r="B44" s="1215" t="s">
        <v>1013</v>
      </c>
      <c r="C44" s="1215"/>
      <c r="D44" s="1214" t="s">
        <v>510</v>
      </c>
      <c r="E44" s="1214"/>
    </row>
    <row r="45" spans="1:5" ht="12.6" customHeight="1" x14ac:dyDescent="0.3">
      <c r="A45" s="30"/>
      <c r="B45" s="1215" t="s">
        <v>1012</v>
      </c>
      <c r="C45" s="1215"/>
      <c r="D45" s="1214" t="s">
        <v>832</v>
      </c>
      <c r="E45" s="1214"/>
    </row>
    <row r="46" spans="1:5" ht="12.6" customHeight="1" x14ac:dyDescent="0.3">
      <c r="A46" s="30"/>
      <c r="B46" s="1215" t="s">
        <v>1131</v>
      </c>
      <c r="C46" s="1215"/>
      <c r="D46" s="872"/>
      <c r="E46" s="872"/>
    </row>
    <row r="47" spans="1:5" ht="12.6" customHeight="1" x14ac:dyDescent="0.3">
      <c r="A47" s="30"/>
      <c r="B47" s="1215" t="s">
        <v>1097</v>
      </c>
      <c r="C47" s="1215"/>
      <c r="D47" s="1133"/>
      <c r="E47" s="1133"/>
    </row>
    <row r="48" spans="1:5" ht="12.6" customHeight="1" x14ac:dyDescent="0.3">
      <c r="A48" s="30"/>
      <c r="B48" s="1215" t="s">
        <v>1362</v>
      </c>
      <c r="C48" s="1215"/>
      <c r="D48" s="1133"/>
      <c r="E48" s="1133"/>
    </row>
    <row r="49" spans="1:5" ht="11.4" customHeight="1" x14ac:dyDescent="0.3">
      <c r="A49" s="30"/>
      <c r="B49" s="1129"/>
      <c r="C49" s="1129"/>
      <c r="D49" s="299"/>
      <c r="E49" s="299"/>
    </row>
    <row r="50" spans="1:5" ht="13.5" customHeight="1" x14ac:dyDescent="0.3">
      <c r="A50" s="30"/>
      <c r="B50" s="1224" t="s">
        <v>1208</v>
      </c>
      <c r="C50" s="1217"/>
      <c r="D50" s="1217"/>
      <c r="E50" s="1217"/>
    </row>
    <row r="51" spans="1:5" ht="13.5" customHeight="1" x14ac:dyDescent="0.3">
      <c r="A51" s="30"/>
      <c r="B51" s="457"/>
      <c r="C51" s="1220" t="s">
        <v>1014</v>
      </c>
      <c r="D51" s="1220"/>
      <c r="E51" s="1220"/>
    </row>
    <row r="52" spans="1:5" ht="13.5" customHeight="1" x14ac:dyDescent="0.3">
      <c r="A52" s="30"/>
      <c r="B52" s="8"/>
      <c r="C52" s="1220" t="s">
        <v>1015</v>
      </c>
      <c r="D52" s="1220"/>
      <c r="E52" s="1220"/>
    </row>
    <row r="53" spans="1:5" ht="34.5" customHeight="1" x14ac:dyDescent="0.3">
      <c r="A53" s="1211" t="s">
        <v>477</v>
      </c>
      <c r="B53" s="1211"/>
      <c r="C53" s="1211"/>
      <c r="D53" s="1211"/>
      <c r="E53" s="1211"/>
    </row>
    <row r="54" spans="1:5" ht="21.6" customHeight="1" x14ac:dyDescent="0.3">
      <c r="A54" s="287"/>
      <c r="B54" s="1202" t="s">
        <v>1317</v>
      </c>
      <c r="C54" s="1202"/>
      <c r="D54" s="1202"/>
      <c r="E54" s="1202"/>
    </row>
    <row r="55" spans="1:5" ht="6" customHeight="1" x14ac:dyDescent="0.3">
      <c r="A55" s="485"/>
      <c r="B55" s="485"/>
      <c r="C55" s="485"/>
      <c r="D55" s="485"/>
      <c r="E55" s="485"/>
    </row>
    <row r="56" spans="1:5" ht="328.2" customHeight="1" x14ac:dyDescent="0.3">
      <c r="A56" s="287"/>
      <c r="B56" s="1203" t="s">
        <v>1424</v>
      </c>
      <c r="C56" s="1203"/>
      <c r="D56" s="1204" t="s">
        <v>1425</v>
      </c>
      <c r="E56" s="1204"/>
    </row>
    <row r="57" spans="1:5" ht="135.6" customHeight="1" x14ac:dyDescent="0.3">
      <c r="A57" s="287"/>
      <c r="B57" s="1203" t="s">
        <v>1323</v>
      </c>
      <c r="C57" s="1203"/>
      <c r="D57" s="1204" t="s">
        <v>1426</v>
      </c>
      <c r="E57" s="1204"/>
    </row>
    <row r="58" spans="1:5" ht="42" customHeight="1" x14ac:dyDescent="0.3">
      <c r="A58" s="287"/>
      <c r="B58" s="1230" t="s">
        <v>1319</v>
      </c>
      <c r="C58" s="1230"/>
      <c r="D58" s="1230"/>
      <c r="E58" s="1230"/>
    </row>
    <row r="59" spans="1:5" ht="165" customHeight="1" x14ac:dyDescent="0.3">
      <c r="A59" s="287"/>
      <c r="B59" s="1205" t="s">
        <v>1324</v>
      </c>
      <c r="C59" s="1205"/>
      <c r="D59" s="1102" t="s">
        <v>1322</v>
      </c>
      <c r="E59" s="1102"/>
    </row>
    <row r="60" spans="1:5" ht="114" customHeight="1" x14ac:dyDescent="0.3">
      <c r="A60" s="287"/>
      <c r="B60" s="1205" t="s">
        <v>1325</v>
      </c>
      <c r="C60" s="1205"/>
      <c r="D60" s="1102"/>
      <c r="E60" s="1102"/>
    </row>
    <row r="61" spans="1:5" ht="81" customHeight="1" x14ac:dyDescent="0.3">
      <c r="A61" s="287"/>
      <c r="B61" s="1201" t="s">
        <v>1326</v>
      </c>
      <c r="C61" s="1201"/>
      <c r="D61" s="1103" t="s">
        <v>1320</v>
      </c>
      <c r="E61" s="1104"/>
    </row>
    <row r="62" spans="1:5" ht="93" customHeight="1" x14ac:dyDescent="0.3">
      <c r="A62" s="287"/>
      <c r="B62" s="1201"/>
      <c r="C62" s="1201"/>
      <c r="D62" s="1102"/>
      <c r="E62" s="1102"/>
    </row>
    <row r="63" spans="1:5" ht="22.2" customHeight="1" x14ac:dyDescent="0.3">
      <c r="A63" s="287"/>
      <c r="B63" s="1202" t="s">
        <v>1316</v>
      </c>
      <c r="C63" s="1202"/>
      <c r="D63" s="1202"/>
      <c r="E63" s="1202"/>
    </row>
    <row r="64" spans="1:5" ht="6" customHeight="1" x14ac:dyDescent="0.3">
      <c r="A64" s="485"/>
      <c r="B64" s="485"/>
      <c r="C64" s="485"/>
      <c r="D64" s="485"/>
      <c r="E64" s="485"/>
    </row>
    <row r="65" spans="1:5" ht="181.8" customHeight="1" x14ac:dyDescent="0.3">
      <c r="A65" s="287"/>
      <c r="B65" s="1203" t="s">
        <v>866</v>
      </c>
      <c r="C65" s="1203"/>
      <c r="D65" s="1204" t="s">
        <v>502</v>
      </c>
      <c r="E65" s="1204"/>
    </row>
    <row r="66" spans="1:5" ht="15.6" x14ac:dyDescent="0.3">
      <c r="A66" s="287"/>
      <c r="B66" s="1223" t="s">
        <v>1318</v>
      </c>
      <c r="C66" s="1223"/>
      <c r="D66" s="1223"/>
      <c r="E66" s="1223"/>
    </row>
    <row r="67" spans="1:5" ht="37.799999999999997" customHeight="1" x14ac:dyDescent="0.3">
      <c r="A67" s="287"/>
      <c r="B67" s="1202" t="s">
        <v>859</v>
      </c>
      <c r="C67" s="1202"/>
      <c r="D67" s="1202"/>
      <c r="E67" s="1202"/>
    </row>
    <row r="68" spans="1:5" ht="6" customHeight="1" x14ac:dyDescent="0.3">
      <c r="A68" s="485"/>
      <c r="B68" s="485"/>
      <c r="C68" s="485"/>
      <c r="D68" s="485"/>
      <c r="E68" s="485"/>
    </row>
    <row r="69" spans="1:5" ht="160.5" customHeight="1" x14ac:dyDescent="0.3">
      <c r="A69" s="287"/>
      <c r="B69" s="1203" t="s">
        <v>867</v>
      </c>
      <c r="C69" s="1203"/>
      <c r="D69" s="1204" t="s">
        <v>503</v>
      </c>
      <c r="E69" s="1204"/>
    </row>
    <row r="70" spans="1:5" ht="37.799999999999997" customHeight="1" x14ac:dyDescent="0.3">
      <c r="A70" s="287"/>
      <c r="B70" s="1202" t="s">
        <v>478</v>
      </c>
      <c r="C70" s="1202"/>
      <c r="D70" s="1202"/>
      <c r="E70" s="1202"/>
    </row>
    <row r="71" spans="1:5" ht="6" customHeight="1" x14ac:dyDescent="0.3">
      <c r="A71" s="287"/>
      <c r="B71" s="292"/>
      <c r="C71" s="292"/>
      <c r="D71" s="293"/>
      <c r="E71" s="293"/>
    </row>
    <row r="72" spans="1:5" ht="283.8" customHeight="1" x14ac:dyDescent="0.3">
      <c r="A72" s="287"/>
      <c r="B72" s="1203" t="s">
        <v>1132</v>
      </c>
      <c r="C72" s="1203"/>
      <c r="D72" s="1204" t="s">
        <v>860</v>
      </c>
      <c r="E72" s="1204"/>
    </row>
    <row r="73" spans="1:5" ht="207" customHeight="1" x14ac:dyDescent="0.3">
      <c r="A73" s="287"/>
      <c r="B73" s="1222" t="s">
        <v>868</v>
      </c>
      <c r="C73" s="1222"/>
      <c r="D73" s="1204" t="s">
        <v>861</v>
      </c>
      <c r="E73" s="1204"/>
    </row>
    <row r="74" spans="1:5" ht="160.5" customHeight="1" x14ac:dyDescent="0.3">
      <c r="A74" s="287"/>
      <c r="B74" s="1203" t="s">
        <v>871</v>
      </c>
      <c r="C74" s="1203"/>
      <c r="D74" s="1204" t="s">
        <v>872</v>
      </c>
      <c r="E74" s="1204"/>
    </row>
    <row r="75" spans="1:5" ht="22.8" customHeight="1" x14ac:dyDescent="0.3">
      <c r="A75" s="287"/>
      <c r="B75" s="1221"/>
      <c r="C75" s="1221"/>
      <c r="D75" s="1221"/>
      <c r="E75" s="1221"/>
    </row>
    <row r="76" spans="1:5" ht="37.5" customHeight="1" x14ac:dyDescent="0.3">
      <c r="A76" s="287"/>
      <c r="B76" s="1202" t="s">
        <v>935</v>
      </c>
      <c r="C76" s="1202"/>
      <c r="D76" s="1202"/>
      <c r="E76" s="1202"/>
    </row>
    <row r="77" spans="1:5" ht="6" customHeight="1" x14ac:dyDescent="0.3">
      <c r="A77" s="287"/>
      <c r="B77" s="292"/>
      <c r="C77" s="292"/>
      <c r="D77" s="293"/>
      <c r="E77" s="293"/>
    </row>
    <row r="78" spans="1:5" ht="172.2" customHeight="1" x14ac:dyDescent="0.3">
      <c r="A78" s="287"/>
      <c r="B78" s="1203" t="s">
        <v>857</v>
      </c>
      <c r="C78" s="1203"/>
      <c r="D78" s="489" t="s">
        <v>858</v>
      </c>
      <c r="E78" s="489"/>
    </row>
    <row r="79" spans="1:5" ht="37.200000000000003" customHeight="1" x14ac:dyDescent="0.3">
      <c r="A79" s="287"/>
      <c r="B79" s="1202" t="s">
        <v>481</v>
      </c>
      <c r="C79" s="1202"/>
      <c r="D79" s="1202"/>
      <c r="E79" s="1202"/>
    </row>
    <row r="80" spans="1:5" ht="6" customHeight="1" x14ac:dyDescent="0.3">
      <c r="A80" s="287"/>
      <c r="B80" s="486"/>
      <c r="C80" s="486"/>
      <c r="D80" s="489"/>
      <c r="E80" s="489"/>
    </row>
    <row r="81" spans="1:5" ht="16.5" customHeight="1" x14ac:dyDescent="0.3">
      <c r="A81" s="287"/>
      <c r="B81" s="1203" t="s">
        <v>864</v>
      </c>
      <c r="C81" s="1203"/>
      <c r="D81" s="1204" t="s">
        <v>856</v>
      </c>
      <c r="E81" s="1204"/>
    </row>
    <row r="82" spans="1:5" ht="189" customHeight="1" x14ac:dyDescent="0.3">
      <c r="A82" s="287"/>
      <c r="B82" s="1203"/>
      <c r="C82" s="1203"/>
      <c r="D82" s="1204"/>
      <c r="E82" s="1204"/>
    </row>
    <row r="83" spans="1:5" ht="171.6" customHeight="1" x14ac:dyDescent="0.3">
      <c r="A83" s="287"/>
      <c r="B83" s="1225" t="s">
        <v>869</v>
      </c>
      <c r="C83" s="1225"/>
      <c r="D83" s="1226" t="s">
        <v>504</v>
      </c>
      <c r="E83" s="1227"/>
    </row>
    <row r="84" spans="1:5" ht="37.5" customHeight="1" x14ac:dyDescent="0.3">
      <c r="A84" s="287"/>
      <c r="B84" s="1202" t="s">
        <v>487</v>
      </c>
      <c r="C84" s="1202"/>
      <c r="D84" s="1202"/>
      <c r="E84" s="1202"/>
    </row>
    <row r="85" spans="1:5" ht="6" customHeight="1" x14ac:dyDescent="0.3">
      <c r="A85" s="287"/>
      <c r="B85" s="292"/>
      <c r="C85" s="292"/>
      <c r="D85" s="293"/>
      <c r="E85" s="293"/>
    </row>
    <row r="86" spans="1:5" ht="201" customHeight="1" x14ac:dyDescent="0.3">
      <c r="A86" s="287"/>
      <c r="B86" s="1203" t="s">
        <v>862</v>
      </c>
      <c r="C86" s="1203"/>
      <c r="D86" s="1229" t="s">
        <v>518</v>
      </c>
      <c r="E86" s="1204"/>
    </row>
    <row r="87" spans="1:5" ht="160.5" customHeight="1" x14ac:dyDescent="0.3">
      <c r="A87" s="287"/>
      <c r="B87" s="1203" t="s">
        <v>519</v>
      </c>
      <c r="C87" s="1203"/>
      <c r="D87" s="1229" t="s">
        <v>520</v>
      </c>
      <c r="E87" s="1204"/>
    </row>
    <row r="88" spans="1:5" ht="160.5" customHeight="1" x14ac:dyDescent="0.3">
      <c r="A88" s="287"/>
      <c r="B88" s="1203" t="s">
        <v>521</v>
      </c>
      <c r="C88" s="1203"/>
      <c r="D88" s="1229" t="s">
        <v>522</v>
      </c>
      <c r="E88" s="1204"/>
    </row>
    <row r="89" spans="1:5" ht="317.25" customHeight="1" x14ac:dyDescent="0.3">
      <c r="A89" s="287"/>
      <c r="B89" s="1203" t="s">
        <v>545</v>
      </c>
      <c r="C89" s="1203"/>
      <c r="D89" s="1229" t="s">
        <v>523</v>
      </c>
      <c r="E89" s="1204"/>
    </row>
    <row r="90" spans="1:5" ht="37.5" customHeight="1" x14ac:dyDescent="0.3">
      <c r="A90" s="287"/>
      <c r="B90" s="1202" t="s">
        <v>524</v>
      </c>
      <c r="C90" s="1202"/>
      <c r="D90" s="1202"/>
      <c r="E90" s="1202"/>
    </row>
    <row r="91" spans="1:5" ht="6" customHeight="1" x14ac:dyDescent="0.3">
      <c r="A91" s="287"/>
      <c r="B91" s="292"/>
      <c r="C91" s="292"/>
      <c r="D91" s="293"/>
      <c r="E91" s="293"/>
    </row>
    <row r="92" spans="1:5" ht="160.5" customHeight="1" x14ac:dyDescent="0.3">
      <c r="A92" s="287"/>
      <c r="B92" s="1203" t="s">
        <v>936</v>
      </c>
      <c r="C92" s="1203"/>
      <c r="D92" s="1204" t="s">
        <v>525</v>
      </c>
      <c r="E92" s="1204"/>
    </row>
    <row r="93" spans="1:5" ht="33.75" customHeight="1" x14ac:dyDescent="0.3">
      <c r="A93" s="1228"/>
      <c r="B93" s="1228"/>
      <c r="C93" s="1228"/>
      <c r="D93" s="1228"/>
      <c r="E93" s="1228"/>
    </row>
    <row r="94" spans="1:5" ht="161.25" customHeight="1" x14ac:dyDescent="0.3">
      <c r="A94" s="287"/>
      <c r="B94" s="1203" t="s">
        <v>875</v>
      </c>
      <c r="C94" s="1203"/>
      <c r="D94" s="1204" t="s">
        <v>526</v>
      </c>
      <c r="E94" s="1204"/>
    </row>
    <row r="95" spans="1:5" ht="37.5" customHeight="1" x14ac:dyDescent="0.3">
      <c r="A95" s="287"/>
      <c r="B95" s="1202" t="s">
        <v>527</v>
      </c>
      <c r="C95" s="1202"/>
      <c r="D95" s="1202"/>
      <c r="E95" s="1202"/>
    </row>
    <row r="96" spans="1:5" ht="165" customHeight="1" x14ac:dyDescent="0.3">
      <c r="A96" s="287"/>
      <c r="B96" s="1203" t="s">
        <v>530</v>
      </c>
      <c r="C96" s="1203"/>
      <c r="D96" s="1204" t="s">
        <v>528</v>
      </c>
      <c r="E96" s="1204"/>
    </row>
    <row r="97" spans="1:8" ht="320.25" customHeight="1" x14ac:dyDescent="0.3">
      <c r="A97" s="287"/>
      <c r="B97" s="1203" t="s">
        <v>546</v>
      </c>
      <c r="C97" s="1203"/>
      <c r="D97" s="1204" t="s">
        <v>529</v>
      </c>
      <c r="E97" s="1204"/>
    </row>
    <row r="98" spans="1:8" ht="77.25" customHeight="1" x14ac:dyDescent="0.25">
      <c r="A98" s="287"/>
      <c r="B98" s="288"/>
      <c r="C98" s="288"/>
      <c r="D98" s="289"/>
      <c r="E98" s="244"/>
      <c r="F98" s="186"/>
      <c r="G98" s="186"/>
      <c r="H98" s="186"/>
    </row>
    <row r="99" spans="1:8" ht="361.2" customHeight="1" x14ac:dyDescent="0.3">
      <c r="A99" s="287"/>
      <c r="B99" s="1203" t="s">
        <v>865</v>
      </c>
      <c r="C99" s="1203"/>
      <c r="D99" s="1226" t="s">
        <v>547</v>
      </c>
      <c r="E99" s="1227"/>
    </row>
    <row r="100" spans="1:8" ht="156" customHeight="1" x14ac:dyDescent="0.3">
      <c r="A100" s="287"/>
      <c r="B100" s="1203" t="s">
        <v>563</v>
      </c>
      <c r="C100" s="1203"/>
      <c r="D100" s="1204" t="s">
        <v>562</v>
      </c>
      <c r="E100" s="1204"/>
    </row>
    <row r="101" spans="1:8" ht="157.19999999999999" customHeight="1" x14ac:dyDescent="0.3">
      <c r="A101" s="287"/>
      <c r="B101" s="1203" t="s">
        <v>863</v>
      </c>
      <c r="C101" s="1203"/>
      <c r="D101" s="1204" t="s">
        <v>836</v>
      </c>
      <c r="E101" s="1204"/>
    </row>
    <row r="102" spans="1:8" ht="152.4" customHeight="1" x14ac:dyDescent="0.3">
      <c r="A102" s="287"/>
      <c r="B102" s="1203" t="s">
        <v>855</v>
      </c>
      <c r="C102" s="1203"/>
      <c r="D102" s="1204" t="s">
        <v>837</v>
      </c>
      <c r="E102" s="1204"/>
    </row>
    <row r="103" spans="1:8" ht="141" customHeight="1" x14ac:dyDescent="0.3">
      <c r="A103" s="287"/>
      <c r="B103" s="1203"/>
      <c r="C103" s="1203"/>
      <c r="D103" s="1204" t="s">
        <v>854</v>
      </c>
      <c r="E103" s="1204"/>
    </row>
    <row r="104" spans="1:8" ht="12.6" customHeight="1" x14ac:dyDescent="0.3">
      <c r="A104" s="287"/>
      <c r="B104" s="288"/>
      <c r="C104" s="288"/>
      <c r="D104" s="288"/>
      <c r="E104" s="288"/>
    </row>
    <row r="105" spans="1:8" ht="16.5" customHeight="1" x14ac:dyDescent="0.3">
      <c r="A105" s="287"/>
      <c r="B105" s="288"/>
      <c r="C105" s="288"/>
      <c r="D105" s="288"/>
      <c r="E105" s="330"/>
    </row>
    <row r="106" spans="1:8" ht="16.5" customHeight="1" x14ac:dyDescent="0.25">
      <c r="A106" s="287"/>
      <c r="B106" s="288"/>
      <c r="C106" s="288"/>
      <c r="D106" s="289"/>
      <c r="E106" s="244" t="str">
        <f>Version</f>
        <v>Version 2026.1</v>
      </c>
    </row>
    <row r="107" spans="1:8" ht="9.6" customHeight="1" x14ac:dyDescent="0.3">
      <c r="A107" s="287"/>
      <c r="B107" s="288"/>
      <c r="C107" s="288"/>
      <c r="D107" s="288"/>
      <c r="E107" s="288"/>
    </row>
    <row r="108" spans="1:8" ht="16.5" customHeight="1" x14ac:dyDescent="0.3">
      <c r="A108" s="287"/>
      <c r="B108" s="288"/>
      <c r="C108" s="288"/>
      <c r="D108" s="288"/>
      <c r="E108" s="288"/>
    </row>
    <row r="109" spans="1:8" ht="16.5" customHeight="1" x14ac:dyDescent="0.3">
      <c r="A109" s="287"/>
      <c r="B109" s="486"/>
      <c r="C109" s="486"/>
      <c r="D109" s="288"/>
      <c r="E109" s="288"/>
    </row>
    <row r="110" spans="1:8" ht="16.5" customHeight="1" x14ac:dyDescent="0.3">
      <c r="A110" s="287"/>
      <c r="B110" s="288"/>
      <c r="C110" s="288"/>
      <c r="D110" s="288"/>
      <c r="E110" s="288"/>
    </row>
    <row r="111" spans="1:8" ht="16.5" customHeight="1" x14ac:dyDescent="0.3">
      <c r="A111" s="287"/>
      <c r="B111" s="288"/>
      <c r="C111" s="288"/>
      <c r="D111" s="288"/>
      <c r="E111" s="288"/>
    </row>
    <row r="112" spans="1:8" ht="16.5" customHeight="1" x14ac:dyDescent="0.3">
      <c r="A112" s="287"/>
      <c r="B112" s="288"/>
      <c r="C112" s="288"/>
      <c r="D112" s="288"/>
      <c r="E112" s="288"/>
    </row>
    <row r="113" spans="1:5" ht="16.5" customHeight="1" x14ac:dyDescent="0.3">
      <c r="A113" s="287"/>
      <c r="B113" s="288"/>
      <c r="C113" s="288"/>
      <c r="D113" s="288"/>
      <c r="E113" s="288"/>
    </row>
    <row r="114" spans="1:5" ht="16.5" customHeight="1" x14ac:dyDescent="0.3">
      <c r="A114" s="287"/>
      <c r="B114" s="288"/>
      <c r="C114" s="288"/>
      <c r="D114" s="288"/>
      <c r="E114" s="288"/>
    </row>
    <row r="115" spans="1:5" ht="16.5" customHeight="1" x14ac:dyDescent="0.3">
      <c r="A115" s="287"/>
      <c r="B115" s="288"/>
      <c r="C115" s="288"/>
      <c r="D115" s="288"/>
      <c r="E115" s="288"/>
    </row>
    <row r="116" spans="1:5" ht="16.5" customHeight="1" x14ac:dyDescent="0.3">
      <c r="A116" s="287"/>
      <c r="B116" s="288"/>
      <c r="C116" s="288"/>
      <c r="D116" s="288"/>
      <c r="E116" s="288"/>
    </row>
    <row r="117" spans="1:5" ht="16.5" customHeight="1" x14ac:dyDescent="0.3">
      <c r="A117" s="287"/>
      <c r="B117" s="288"/>
      <c r="C117" s="288"/>
      <c r="D117" s="288"/>
      <c r="E117" s="288"/>
    </row>
    <row r="118" spans="1:5" ht="16.5" customHeight="1" x14ac:dyDescent="0.3">
      <c r="A118" s="287"/>
      <c r="B118" s="288"/>
      <c r="C118" s="288"/>
      <c r="D118" s="288"/>
      <c r="E118" s="288"/>
    </row>
    <row r="119" spans="1:5" ht="16.5" customHeight="1" x14ac:dyDescent="0.3">
      <c r="A119" s="287"/>
      <c r="B119" s="288"/>
      <c r="C119" s="288"/>
      <c r="D119" s="288"/>
      <c r="E119" s="288"/>
    </row>
    <row r="120" spans="1:5" ht="16.5" customHeight="1" x14ac:dyDescent="0.3">
      <c r="A120" s="287"/>
      <c r="B120" s="288"/>
      <c r="C120" s="288"/>
      <c r="D120" s="288"/>
      <c r="E120" s="288"/>
    </row>
    <row r="121" spans="1:5" ht="16.5" customHeight="1" x14ac:dyDescent="0.3">
      <c r="A121" s="287"/>
      <c r="B121" s="288"/>
      <c r="C121" s="288"/>
      <c r="D121" s="288"/>
      <c r="E121" s="288"/>
    </row>
    <row r="122" spans="1:5" ht="16.5" customHeight="1" x14ac:dyDescent="0.3">
      <c r="A122" s="287"/>
      <c r="B122" s="288"/>
      <c r="C122" s="288"/>
      <c r="D122" s="288"/>
      <c r="E122" s="288"/>
    </row>
    <row r="123" spans="1:5" ht="16.5" customHeight="1" x14ac:dyDescent="0.3">
      <c r="A123" s="287"/>
      <c r="B123" s="288"/>
      <c r="C123" s="288"/>
      <c r="D123" s="288"/>
      <c r="E123" s="288"/>
    </row>
    <row r="124" spans="1:5" ht="16.5" customHeight="1" x14ac:dyDescent="0.3">
      <c r="A124" s="287"/>
      <c r="B124" s="288"/>
      <c r="C124" s="288"/>
      <c r="D124" s="288"/>
      <c r="E124" s="288"/>
    </row>
    <row r="125" spans="1:5" ht="16.5" customHeight="1" x14ac:dyDescent="0.3">
      <c r="A125" s="287"/>
      <c r="B125" s="288"/>
      <c r="C125" s="288"/>
      <c r="D125" s="288"/>
      <c r="E125" s="288"/>
    </row>
    <row r="126" spans="1:5" ht="16.5" customHeight="1" x14ac:dyDescent="0.3">
      <c r="A126" s="287"/>
      <c r="B126" s="288"/>
      <c r="C126" s="288"/>
      <c r="D126" s="288"/>
      <c r="E126" s="288"/>
    </row>
    <row r="127" spans="1:5" ht="16.5" customHeight="1" x14ac:dyDescent="0.3">
      <c r="A127" s="287"/>
      <c r="B127" s="288"/>
      <c r="C127" s="288"/>
      <c r="D127" s="288"/>
      <c r="E127" s="288"/>
    </row>
    <row r="128" spans="1:5" ht="16.5" customHeight="1" x14ac:dyDescent="0.3">
      <c r="A128" s="287"/>
      <c r="B128" s="288"/>
      <c r="C128" s="288"/>
      <c r="D128" s="288"/>
      <c r="E128" s="288"/>
    </row>
    <row r="129" spans="1:5" ht="16.5" customHeight="1" x14ac:dyDescent="0.3">
      <c r="A129" s="287"/>
      <c r="B129" s="288"/>
      <c r="C129" s="288"/>
      <c r="D129" s="288"/>
      <c r="E129" s="288"/>
    </row>
    <row r="130" spans="1:5" ht="16.5" customHeight="1" x14ac:dyDescent="0.3">
      <c r="A130" s="287"/>
      <c r="B130" s="288"/>
      <c r="C130" s="288"/>
      <c r="D130" s="288"/>
      <c r="E130" s="288"/>
    </row>
    <row r="131" spans="1:5" ht="16.5" customHeight="1" x14ac:dyDescent="0.3">
      <c r="A131" s="287"/>
      <c r="B131" s="288"/>
      <c r="C131" s="288"/>
      <c r="D131" s="288"/>
      <c r="E131" s="288"/>
    </row>
    <row r="132" spans="1:5" ht="16.5" customHeight="1" x14ac:dyDescent="0.3">
      <c r="A132" s="287"/>
      <c r="B132" s="288"/>
      <c r="C132" s="288"/>
      <c r="D132" s="288"/>
      <c r="E132" s="288"/>
    </row>
    <row r="133" spans="1:5" ht="16.5" customHeight="1" x14ac:dyDescent="0.3">
      <c r="A133" s="287"/>
      <c r="B133" s="288"/>
      <c r="C133" s="288"/>
      <c r="D133" s="288"/>
      <c r="E133" s="288"/>
    </row>
    <row r="134" spans="1:5" ht="16.5" customHeight="1" x14ac:dyDescent="0.3">
      <c r="A134" s="287"/>
      <c r="B134" s="288"/>
      <c r="C134" s="288"/>
      <c r="D134" s="288"/>
      <c r="E134" s="288"/>
    </row>
    <row r="135" spans="1:5" ht="16.5" customHeight="1" x14ac:dyDescent="0.3">
      <c r="A135" s="287"/>
      <c r="B135" s="288"/>
      <c r="C135" s="288"/>
      <c r="D135" s="288"/>
      <c r="E135" s="288"/>
    </row>
    <row r="136" spans="1:5" ht="16.5" customHeight="1" x14ac:dyDescent="0.3">
      <c r="A136" s="287"/>
      <c r="B136" s="288"/>
      <c r="C136" s="288"/>
      <c r="D136" s="288"/>
      <c r="E136" s="288"/>
    </row>
    <row r="137" spans="1:5" ht="16.5" customHeight="1" x14ac:dyDescent="0.3">
      <c r="A137" s="287"/>
      <c r="B137" s="288"/>
      <c r="C137" s="288"/>
      <c r="D137" s="288"/>
      <c r="E137" s="288"/>
    </row>
    <row r="138" spans="1:5" ht="16.5" customHeight="1" x14ac:dyDescent="0.3">
      <c r="A138" s="287"/>
      <c r="B138" s="288"/>
      <c r="C138" s="288"/>
      <c r="D138" s="288"/>
      <c r="E138" s="288"/>
    </row>
    <row r="139" spans="1:5" ht="16.5" customHeight="1" x14ac:dyDescent="0.3">
      <c r="A139" s="287"/>
      <c r="B139" s="288"/>
      <c r="C139" s="288"/>
      <c r="D139" s="288"/>
      <c r="E139" s="288"/>
    </row>
    <row r="140" spans="1:5" ht="16.5" customHeight="1" x14ac:dyDescent="0.3">
      <c r="A140" s="287"/>
      <c r="B140" s="288"/>
      <c r="C140" s="288"/>
      <c r="D140" s="288"/>
      <c r="E140" s="288"/>
    </row>
    <row r="141" spans="1:5" ht="16.5" customHeight="1" x14ac:dyDescent="0.3">
      <c r="A141" s="287"/>
      <c r="B141" s="288"/>
      <c r="C141" s="288"/>
      <c r="D141" s="288"/>
      <c r="E141" s="288"/>
    </row>
    <row r="142" spans="1:5" ht="16.5" customHeight="1" x14ac:dyDescent="0.3">
      <c r="A142" s="287"/>
      <c r="B142" s="288"/>
      <c r="C142" s="288"/>
      <c r="D142" s="288"/>
      <c r="E142" s="288"/>
    </row>
    <row r="143" spans="1:5" ht="16.5" customHeight="1" x14ac:dyDescent="0.3">
      <c r="A143" s="287"/>
      <c r="B143" s="288"/>
      <c r="C143" s="288"/>
      <c r="D143" s="288"/>
      <c r="E143" s="288"/>
    </row>
    <row r="144" spans="1:5" ht="16.5" customHeight="1" x14ac:dyDescent="0.3">
      <c r="A144" s="287"/>
      <c r="B144" s="288"/>
      <c r="C144" s="288"/>
      <c r="D144" s="288"/>
      <c r="E144" s="288"/>
    </row>
    <row r="145" spans="1:5" ht="16.5" customHeight="1" x14ac:dyDescent="0.3">
      <c r="A145" s="287"/>
      <c r="B145" s="288"/>
      <c r="C145" s="288"/>
      <c r="D145" s="288"/>
      <c r="E145" s="288"/>
    </row>
    <row r="146" spans="1:5" ht="16.5" customHeight="1" x14ac:dyDescent="0.3">
      <c r="A146" s="287"/>
      <c r="B146" s="288"/>
      <c r="C146" s="288"/>
      <c r="D146" s="288"/>
      <c r="E146" s="288"/>
    </row>
    <row r="147" spans="1:5" ht="16.5" customHeight="1" x14ac:dyDescent="0.3">
      <c r="A147" s="287"/>
      <c r="B147" s="288"/>
      <c r="C147" s="288"/>
      <c r="D147" s="288"/>
      <c r="E147" s="288"/>
    </row>
    <row r="148" spans="1:5" ht="16.5" customHeight="1" x14ac:dyDescent="0.3">
      <c r="A148" s="287"/>
      <c r="B148" s="288"/>
      <c r="C148" s="288"/>
      <c r="D148" s="288"/>
      <c r="E148" s="288"/>
    </row>
    <row r="149" spans="1:5" ht="16.5" customHeight="1" x14ac:dyDescent="0.3">
      <c r="A149" s="287"/>
      <c r="B149" s="288"/>
      <c r="C149" s="288"/>
      <c r="D149" s="288"/>
      <c r="E149" s="288"/>
    </row>
    <row r="150" spans="1:5" ht="16.5" customHeight="1" x14ac:dyDescent="0.3">
      <c r="A150" s="287"/>
      <c r="B150" s="288"/>
      <c r="C150" s="288"/>
      <c r="D150" s="288"/>
      <c r="E150" s="288"/>
    </row>
    <row r="151" spans="1:5" ht="16.5" customHeight="1" x14ac:dyDescent="0.3">
      <c r="A151" s="287"/>
      <c r="B151" s="288"/>
      <c r="C151" s="288"/>
      <c r="D151" s="288"/>
      <c r="E151" s="288"/>
    </row>
    <row r="152" spans="1:5" ht="16.5" customHeight="1" x14ac:dyDescent="0.3">
      <c r="A152" s="287"/>
      <c r="B152" s="288"/>
      <c r="C152" s="288"/>
      <c r="D152" s="288"/>
      <c r="E152" s="288"/>
    </row>
    <row r="153" spans="1:5" ht="16.5" customHeight="1" x14ac:dyDescent="0.3">
      <c r="A153" s="287"/>
      <c r="B153" s="288"/>
      <c r="C153" s="288"/>
      <c r="D153" s="288"/>
      <c r="E153" s="288"/>
    </row>
    <row r="154" spans="1:5" ht="16.5" customHeight="1" x14ac:dyDescent="0.3">
      <c r="A154" s="287"/>
      <c r="B154" s="288"/>
      <c r="C154" s="288"/>
      <c r="D154" s="288"/>
      <c r="E154" s="288"/>
    </row>
    <row r="155" spans="1:5" ht="16.5" customHeight="1" x14ac:dyDescent="0.3">
      <c r="A155" s="287"/>
      <c r="B155" s="288"/>
      <c r="C155" s="288"/>
      <c r="D155" s="288"/>
      <c r="E155" s="288"/>
    </row>
    <row r="156" spans="1:5" ht="16.5" customHeight="1" x14ac:dyDescent="0.3">
      <c r="A156" s="287"/>
      <c r="B156" s="288"/>
      <c r="C156" s="288"/>
      <c r="D156" s="288"/>
      <c r="E156" s="288"/>
    </row>
    <row r="157" spans="1:5" ht="16.5" customHeight="1" x14ac:dyDescent="0.3">
      <c r="A157" s="287"/>
      <c r="B157" s="288"/>
      <c r="C157" s="288"/>
      <c r="D157" s="288"/>
      <c r="E157" s="288"/>
    </row>
    <row r="158" spans="1:5" ht="16.5" customHeight="1" x14ac:dyDescent="0.3">
      <c r="A158" s="287"/>
      <c r="B158" s="288"/>
      <c r="C158" s="288"/>
      <c r="D158" s="288"/>
      <c r="E158" s="288"/>
    </row>
    <row r="159" spans="1:5" ht="16.5" customHeight="1" x14ac:dyDescent="0.3">
      <c r="A159" s="287"/>
      <c r="B159" s="288"/>
      <c r="C159" s="288"/>
      <c r="D159" s="288"/>
      <c r="E159" s="288"/>
    </row>
    <row r="160" spans="1:5" ht="16.5" customHeight="1" x14ac:dyDescent="0.3">
      <c r="A160" s="287"/>
      <c r="B160" s="288"/>
      <c r="C160" s="288"/>
      <c r="D160" s="288"/>
      <c r="E160" s="288"/>
    </row>
    <row r="161" spans="1:5" ht="16.5" customHeight="1" x14ac:dyDescent="0.3">
      <c r="A161" s="287"/>
      <c r="B161" s="288"/>
      <c r="C161" s="288"/>
      <c r="D161" s="288"/>
      <c r="E161" s="288"/>
    </row>
    <row r="162" spans="1:5" ht="16.5" customHeight="1" x14ac:dyDescent="0.3">
      <c r="A162" s="287"/>
      <c r="B162" s="288"/>
      <c r="C162" s="288"/>
      <c r="D162" s="288"/>
      <c r="E162" s="288"/>
    </row>
    <row r="163" spans="1:5" ht="16.5" customHeight="1" x14ac:dyDescent="0.3">
      <c r="A163" s="287"/>
      <c r="B163" s="288"/>
      <c r="C163" s="288"/>
      <c r="D163" s="288"/>
      <c r="E163" s="288"/>
    </row>
    <row r="164" spans="1:5" ht="16.5" customHeight="1" x14ac:dyDescent="0.3">
      <c r="A164" s="287"/>
      <c r="B164" s="288"/>
      <c r="C164" s="288"/>
      <c r="D164" s="288"/>
      <c r="E164" s="288"/>
    </row>
    <row r="165" spans="1:5" ht="16.5" customHeight="1" x14ac:dyDescent="0.3">
      <c r="A165" s="287"/>
      <c r="B165" s="288"/>
      <c r="C165" s="288"/>
      <c r="D165" s="288"/>
      <c r="E165" s="288"/>
    </row>
    <row r="166" spans="1:5" ht="16.5" customHeight="1" x14ac:dyDescent="0.3">
      <c r="A166" s="287"/>
      <c r="B166" s="288"/>
      <c r="C166" s="288"/>
      <c r="D166" s="288"/>
      <c r="E166" s="288"/>
    </row>
    <row r="167" spans="1:5" ht="16.5" customHeight="1" x14ac:dyDescent="0.3">
      <c r="A167" s="287"/>
      <c r="B167" s="288"/>
      <c r="C167" s="288"/>
      <c r="D167" s="288"/>
      <c r="E167" s="288"/>
    </row>
    <row r="168" spans="1:5" ht="16.5" customHeight="1" x14ac:dyDescent="0.3">
      <c r="A168" s="287"/>
      <c r="B168" s="288"/>
      <c r="C168" s="288"/>
      <c r="D168" s="288"/>
      <c r="E168" s="288"/>
    </row>
    <row r="169" spans="1:5" ht="16.5" customHeight="1" x14ac:dyDescent="0.3">
      <c r="A169" s="287"/>
      <c r="B169" s="288"/>
      <c r="C169" s="288"/>
      <c r="D169" s="288"/>
      <c r="E169" s="288"/>
    </row>
    <row r="170" spans="1:5" ht="16.5" customHeight="1" x14ac:dyDescent="0.3">
      <c r="A170" s="287"/>
      <c r="B170" s="288"/>
      <c r="C170" s="288"/>
      <c r="D170" s="288"/>
      <c r="E170" s="288"/>
    </row>
    <row r="171" spans="1:5" ht="16.5" customHeight="1" x14ac:dyDescent="0.3">
      <c r="A171" s="287"/>
      <c r="B171" s="288"/>
      <c r="C171" s="288"/>
      <c r="D171" s="288"/>
      <c r="E171" s="288"/>
    </row>
    <row r="172" spans="1:5" ht="16.5" customHeight="1" x14ac:dyDescent="0.3">
      <c r="A172" s="287"/>
      <c r="B172" s="288"/>
      <c r="C172" s="288"/>
      <c r="D172" s="288"/>
      <c r="E172" s="288"/>
    </row>
    <row r="173" spans="1:5" ht="16.5" customHeight="1" x14ac:dyDescent="0.3">
      <c r="A173" s="287"/>
      <c r="B173" s="288"/>
      <c r="C173" s="288"/>
      <c r="D173" s="288"/>
      <c r="E173" s="288"/>
    </row>
    <row r="174" spans="1:5" ht="16.5" customHeight="1" x14ac:dyDescent="0.3">
      <c r="A174" s="287"/>
      <c r="B174" s="288"/>
      <c r="C174" s="288"/>
      <c r="D174" s="288"/>
      <c r="E174" s="288"/>
    </row>
    <row r="175" spans="1:5" ht="16.5" customHeight="1" x14ac:dyDescent="0.3">
      <c r="A175" s="287"/>
      <c r="B175" s="288"/>
      <c r="C175" s="288"/>
      <c r="D175" s="288"/>
      <c r="E175" s="288"/>
    </row>
    <row r="176" spans="1:5" ht="16.5" customHeight="1" x14ac:dyDescent="0.3">
      <c r="A176" s="287"/>
      <c r="B176" s="288"/>
      <c r="C176" s="288"/>
      <c r="D176" s="288"/>
      <c r="E176" s="288"/>
    </row>
    <row r="177" spans="1:5" ht="16.5" customHeight="1" x14ac:dyDescent="0.3">
      <c r="A177" s="287"/>
      <c r="B177" s="288"/>
      <c r="C177" s="288"/>
      <c r="D177" s="288"/>
      <c r="E177" s="288"/>
    </row>
    <row r="178" spans="1:5" ht="16.5" customHeight="1" x14ac:dyDescent="0.3">
      <c r="A178" s="287"/>
      <c r="B178" s="288"/>
      <c r="C178" s="288"/>
      <c r="D178" s="288"/>
      <c r="E178" s="288"/>
    </row>
    <row r="179" spans="1:5" ht="16.5" customHeight="1" x14ac:dyDescent="0.3">
      <c r="A179" s="287"/>
      <c r="B179" s="288"/>
      <c r="C179" s="288"/>
      <c r="D179" s="288"/>
      <c r="E179" s="288"/>
    </row>
    <row r="180" spans="1:5" ht="16.5" customHeight="1" x14ac:dyDescent="0.3">
      <c r="A180" s="287"/>
      <c r="B180" s="288"/>
      <c r="C180" s="288"/>
      <c r="D180" s="288"/>
      <c r="E180" s="288"/>
    </row>
    <row r="181" spans="1:5" ht="16.5" customHeight="1" x14ac:dyDescent="0.3">
      <c r="A181" s="287"/>
      <c r="B181" s="288"/>
      <c r="C181" s="288"/>
      <c r="D181" s="288"/>
      <c r="E181" s="288"/>
    </row>
    <row r="182" spans="1:5" ht="16.5" customHeight="1" x14ac:dyDescent="0.3">
      <c r="A182" s="287"/>
      <c r="B182" s="288"/>
      <c r="C182" s="288"/>
      <c r="D182" s="288"/>
      <c r="E182" s="288"/>
    </row>
    <row r="183" spans="1:5" ht="16.5" customHeight="1" x14ac:dyDescent="0.3">
      <c r="A183" s="287"/>
      <c r="B183" s="288"/>
      <c r="C183" s="288"/>
      <c r="D183" s="288"/>
      <c r="E183" s="288"/>
    </row>
    <row r="184" spans="1:5" ht="16.5" customHeight="1" x14ac:dyDescent="0.3">
      <c r="A184" s="287"/>
      <c r="B184" s="288"/>
      <c r="C184" s="288"/>
      <c r="D184" s="288"/>
      <c r="E184" s="288"/>
    </row>
    <row r="185" spans="1:5" ht="16.5" customHeight="1" x14ac:dyDescent="0.3">
      <c r="A185" s="287"/>
      <c r="B185" s="288"/>
      <c r="C185" s="288"/>
      <c r="D185" s="288"/>
      <c r="E185" s="288"/>
    </row>
    <row r="186" spans="1:5" ht="16.5" customHeight="1" x14ac:dyDescent="0.3">
      <c r="A186" s="287"/>
      <c r="B186" s="288"/>
      <c r="C186" s="288"/>
      <c r="D186" s="288"/>
      <c r="E186" s="288"/>
    </row>
    <row r="187" spans="1:5" ht="16.5" customHeight="1" x14ac:dyDescent="0.3">
      <c r="A187" s="287"/>
      <c r="B187" s="288"/>
      <c r="C187" s="288"/>
      <c r="D187" s="288"/>
      <c r="E187" s="288"/>
    </row>
    <row r="188" spans="1:5" ht="16.5" customHeight="1" x14ac:dyDescent="0.3">
      <c r="A188" s="287"/>
      <c r="B188" s="288"/>
      <c r="C188" s="288"/>
      <c r="D188" s="288"/>
      <c r="E188" s="288"/>
    </row>
    <row r="189" spans="1:5" ht="16.5" customHeight="1" x14ac:dyDescent="0.3">
      <c r="A189" s="287"/>
      <c r="B189" s="288"/>
      <c r="C189" s="288"/>
      <c r="D189" s="288"/>
      <c r="E189" s="288"/>
    </row>
    <row r="190" spans="1:5" ht="16.5" customHeight="1" x14ac:dyDescent="0.3">
      <c r="A190" s="287"/>
      <c r="B190" s="288"/>
      <c r="C190" s="288"/>
      <c r="D190" s="288"/>
      <c r="E190" s="288"/>
    </row>
    <row r="191" spans="1:5" ht="16.5" customHeight="1" x14ac:dyDescent="0.3">
      <c r="A191" s="287"/>
      <c r="B191" s="288"/>
      <c r="C191" s="288"/>
      <c r="D191" s="288"/>
      <c r="E191" s="288"/>
    </row>
    <row r="192" spans="1:5" ht="16.5" customHeight="1" x14ac:dyDescent="0.3">
      <c r="A192" s="287"/>
      <c r="B192" s="288"/>
      <c r="C192" s="288"/>
      <c r="D192" s="288"/>
      <c r="E192" s="288"/>
    </row>
    <row r="193" spans="1:5" ht="16.5" customHeight="1" x14ac:dyDescent="0.3">
      <c r="A193" s="287"/>
      <c r="B193" s="288"/>
      <c r="C193" s="288"/>
      <c r="D193" s="288"/>
      <c r="E193" s="288"/>
    </row>
    <row r="194" spans="1:5" ht="16.5" customHeight="1" x14ac:dyDescent="0.3">
      <c r="A194" s="287"/>
      <c r="B194" s="288"/>
      <c r="C194" s="288"/>
      <c r="D194" s="288"/>
      <c r="E194" s="288"/>
    </row>
    <row r="195" spans="1:5" ht="16.5" customHeight="1" x14ac:dyDescent="0.3">
      <c r="A195" s="287"/>
      <c r="B195" s="288"/>
      <c r="C195" s="288"/>
      <c r="D195" s="288"/>
      <c r="E195" s="288"/>
    </row>
    <row r="196" spans="1:5" ht="16.5" customHeight="1" x14ac:dyDescent="0.3">
      <c r="A196" s="287"/>
      <c r="B196" s="288"/>
      <c r="C196" s="288"/>
      <c r="D196" s="288"/>
      <c r="E196" s="288"/>
    </row>
    <row r="197" spans="1:5" ht="16.5" customHeight="1" x14ac:dyDescent="0.3">
      <c r="A197" s="287"/>
      <c r="B197" s="288"/>
      <c r="C197" s="288"/>
      <c r="D197" s="288"/>
      <c r="E197" s="288"/>
    </row>
    <row r="198" spans="1:5" ht="16.5" customHeight="1" x14ac:dyDescent="0.3">
      <c r="A198" s="287"/>
      <c r="B198" s="288"/>
      <c r="C198" s="288"/>
      <c r="D198" s="288"/>
      <c r="E198" s="288"/>
    </row>
    <row r="199" spans="1:5" ht="16.5" customHeight="1" x14ac:dyDescent="0.3">
      <c r="A199" s="287"/>
      <c r="B199" s="288"/>
      <c r="C199" s="288"/>
      <c r="D199" s="288"/>
      <c r="E199" s="288"/>
    </row>
    <row r="200" spans="1:5" ht="16.5" customHeight="1" x14ac:dyDescent="0.3">
      <c r="A200" s="287"/>
      <c r="B200" s="288"/>
      <c r="C200" s="288"/>
      <c r="D200" s="288"/>
      <c r="E200" s="288"/>
    </row>
    <row r="201" spans="1:5" ht="16.5" customHeight="1" x14ac:dyDescent="0.3">
      <c r="A201" s="287"/>
      <c r="B201" s="288"/>
      <c r="C201" s="288"/>
      <c r="D201" s="288"/>
      <c r="E201" s="288"/>
    </row>
    <row r="202" spans="1:5" ht="16.5" customHeight="1" x14ac:dyDescent="0.3">
      <c r="A202" s="287"/>
      <c r="B202" s="288"/>
      <c r="C202" s="288"/>
      <c r="D202" s="288"/>
      <c r="E202" s="288"/>
    </row>
    <row r="203" spans="1:5" ht="16.5" customHeight="1" x14ac:dyDescent="0.3">
      <c r="A203" s="287"/>
      <c r="B203" s="288"/>
      <c r="C203" s="288"/>
      <c r="D203" s="288"/>
      <c r="E203" s="288"/>
    </row>
    <row r="204" spans="1:5" ht="16.5" customHeight="1" x14ac:dyDescent="0.3">
      <c r="A204" s="287"/>
      <c r="B204" s="288"/>
      <c r="C204" s="288"/>
      <c r="D204" s="288"/>
      <c r="E204" s="288"/>
    </row>
    <row r="205" spans="1:5" ht="16.5" customHeight="1" x14ac:dyDescent="0.3">
      <c r="A205" s="287"/>
      <c r="B205" s="288"/>
      <c r="C205" s="288"/>
      <c r="D205" s="288"/>
      <c r="E205" s="288"/>
    </row>
    <row r="206" spans="1:5" ht="16.5" customHeight="1" x14ac:dyDescent="0.3">
      <c r="A206" s="287"/>
      <c r="B206" s="288"/>
      <c r="C206" s="288"/>
      <c r="D206" s="288"/>
      <c r="E206" s="288"/>
    </row>
    <row r="207" spans="1:5" ht="16.5" customHeight="1" x14ac:dyDescent="0.3">
      <c r="A207" s="287"/>
      <c r="B207" s="288"/>
      <c r="C207" s="288"/>
      <c r="D207" s="288"/>
      <c r="E207" s="288"/>
    </row>
    <row r="208" spans="1:5" ht="16.5" customHeight="1" x14ac:dyDescent="0.3">
      <c r="A208" s="287"/>
      <c r="B208" s="288"/>
      <c r="C208" s="288"/>
      <c r="D208" s="288"/>
      <c r="E208" s="288"/>
    </row>
    <row r="209" spans="1:5" ht="16.5" customHeight="1" x14ac:dyDescent="0.3">
      <c r="A209" s="287"/>
      <c r="B209" s="288"/>
      <c r="C209" s="288"/>
      <c r="D209" s="288"/>
      <c r="E209" s="288"/>
    </row>
    <row r="210" spans="1:5" ht="16.5" customHeight="1" x14ac:dyDescent="0.3">
      <c r="A210" s="287"/>
      <c r="B210" s="288"/>
      <c r="C210" s="288"/>
      <c r="D210" s="288"/>
      <c r="E210" s="288"/>
    </row>
    <row r="211" spans="1:5" ht="16.5" customHeight="1" x14ac:dyDescent="0.3">
      <c r="A211" s="287"/>
      <c r="B211" s="288"/>
      <c r="C211" s="288"/>
      <c r="D211" s="288"/>
      <c r="E211" s="288"/>
    </row>
    <row r="212" spans="1:5" ht="16.5" customHeight="1" x14ac:dyDescent="0.3">
      <c r="A212" s="287"/>
      <c r="B212" s="288"/>
      <c r="C212" s="288"/>
      <c r="D212" s="288"/>
      <c r="E212" s="288"/>
    </row>
    <row r="213" spans="1:5" ht="16.5" customHeight="1" x14ac:dyDescent="0.3">
      <c r="A213" s="287"/>
      <c r="B213" s="288"/>
      <c r="C213" s="288"/>
      <c r="D213" s="288"/>
      <c r="E213" s="288"/>
    </row>
    <row r="214" spans="1:5" ht="16.5" customHeight="1" x14ac:dyDescent="0.3">
      <c r="A214" s="287"/>
      <c r="B214" s="288"/>
      <c r="C214" s="288"/>
      <c r="D214" s="288"/>
      <c r="E214" s="288"/>
    </row>
    <row r="215" spans="1:5" ht="16.5" customHeight="1" x14ac:dyDescent="0.3">
      <c r="A215" s="287"/>
      <c r="B215" s="288"/>
      <c r="C215" s="288"/>
      <c r="D215" s="288"/>
      <c r="E215" s="288"/>
    </row>
    <row r="216" spans="1:5" ht="16.5" customHeight="1" x14ac:dyDescent="0.3">
      <c r="A216" s="287"/>
      <c r="B216" s="288"/>
      <c r="C216" s="288"/>
      <c r="D216" s="288"/>
      <c r="E216" s="288"/>
    </row>
    <row r="217" spans="1:5" ht="16.5" customHeight="1" x14ac:dyDescent="0.3">
      <c r="A217" s="287"/>
      <c r="B217" s="288"/>
      <c r="C217" s="288"/>
      <c r="D217" s="288"/>
      <c r="E217" s="288"/>
    </row>
    <row r="218" spans="1:5" ht="16.5" customHeight="1" x14ac:dyDescent="0.3">
      <c r="A218" s="287"/>
      <c r="B218" s="288"/>
      <c r="C218" s="288"/>
      <c r="D218" s="288"/>
      <c r="E218" s="288"/>
    </row>
    <row r="219" spans="1:5" ht="16.5" customHeight="1" x14ac:dyDescent="0.3">
      <c r="A219" s="287"/>
      <c r="B219" s="288"/>
      <c r="C219" s="288"/>
      <c r="D219" s="288"/>
      <c r="E219" s="288"/>
    </row>
    <row r="220" spans="1:5" ht="16.5" customHeight="1" x14ac:dyDescent="0.3">
      <c r="A220" s="287"/>
      <c r="B220" s="288"/>
      <c r="C220" s="288"/>
      <c r="D220" s="288"/>
      <c r="E220" s="288"/>
    </row>
    <row r="221" spans="1:5" ht="16.5" customHeight="1" x14ac:dyDescent="0.3">
      <c r="A221" s="287"/>
      <c r="B221" s="288"/>
      <c r="C221" s="288"/>
      <c r="D221" s="288"/>
      <c r="E221" s="288"/>
    </row>
    <row r="222" spans="1:5" ht="16.5" customHeight="1" x14ac:dyDescent="0.3">
      <c r="A222" s="287"/>
      <c r="B222" s="288"/>
      <c r="C222" s="288"/>
      <c r="D222" s="288"/>
      <c r="E222" s="288"/>
    </row>
    <row r="223" spans="1:5" ht="16.5" customHeight="1" x14ac:dyDescent="0.3">
      <c r="A223" s="287"/>
      <c r="B223" s="288"/>
      <c r="C223" s="288"/>
      <c r="D223" s="288"/>
      <c r="E223" s="288"/>
    </row>
    <row r="224" spans="1:5" ht="16.5" customHeight="1" x14ac:dyDescent="0.3">
      <c r="A224" s="287"/>
      <c r="B224" s="288"/>
      <c r="C224" s="288"/>
      <c r="D224" s="288"/>
      <c r="E224" s="288"/>
    </row>
    <row r="225" spans="1:5" ht="16.5" customHeight="1" x14ac:dyDescent="0.3">
      <c r="A225" s="287"/>
      <c r="B225" s="288"/>
      <c r="C225" s="288"/>
      <c r="D225" s="288"/>
      <c r="E225" s="288"/>
    </row>
    <row r="226" spans="1:5" ht="16.5" customHeight="1" x14ac:dyDescent="0.3">
      <c r="A226" s="287"/>
      <c r="B226" s="288"/>
      <c r="C226" s="288"/>
      <c r="D226" s="288"/>
      <c r="E226" s="288"/>
    </row>
    <row r="227" spans="1:5" ht="16.5" customHeight="1" x14ac:dyDescent="0.3">
      <c r="A227" s="287"/>
      <c r="B227" s="288"/>
      <c r="C227" s="288"/>
      <c r="D227" s="288"/>
      <c r="E227" s="288"/>
    </row>
    <row r="228" spans="1:5" ht="16.5" customHeight="1" x14ac:dyDescent="0.3">
      <c r="A228" s="287"/>
      <c r="B228" s="288"/>
      <c r="C228" s="288"/>
      <c r="D228" s="288"/>
      <c r="E228" s="288"/>
    </row>
    <row r="229" spans="1:5" ht="16.5" customHeight="1" x14ac:dyDescent="0.3">
      <c r="A229" s="287"/>
      <c r="B229" s="288"/>
      <c r="C229" s="288"/>
      <c r="D229" s="288"/>
      <c r="E229" s="288"/>
    </row>
    <row r="230" spans="1:5" ht="16.5" customHeight="1" x14ac:dyDescent="0.3">
      <c r="A230" s="287"/>
      <c r="B230" s="288"/>
      <c r="C230" s="288"/>
      <c r="D230" s="288"/>
      <c r="E230" s="288"/>
    </row>
    <row r="231" spans="1:5" ht="16.5" customHeight="1" x14ac:dyDescent="0.3">
      <c r="A231" s="287"/>
      <c r="B231" s="288"/>
      <c r="C231" s="288"/>
      <c r="D231" s="288"/>
      <c r="E231" s="288"/>
    </row>
    <row r="232" spans="1:5" ht="16.5" customHeight="1" x14ac:dyDescent="0.3">
      <c r="A232" s="287"/>
      <c r="B232" s="288"/>
      <c r="C232" s="288"/>
      <c r="D232" s="288"/>
      <c r="E232" s="288"/>
    </row>
    <row r="233" spans="1:5" ht="16.5" customHeight="1" x14ac:dyDescent="0.3">
      <c r="A233" s="287"/>
      <c r="B233" s="288"/>
      <c r="C233" s="288"/>
      <c r="D233" s="288"/>
      <c r="E233" s="288"/>
    </row>
    <row r="234" spans="1:5" ht="16.5" customHeight="1" x14ac:dyDescent="0.3">
      <c r="A234" s="287"/>
      <c r="B234" s="288"/>
      <c r="C234" s="288"/>
      <c r="D234" s="288"/>
      <c r="E234" s="288"/>
    </row>
    <row r="235" spans="1:5" ht="16.5" customHeight="1" x14ac:dyDescent="0.3">
      <c r="A235" s="287"/>
      <c r="B235" s="288"/>
      <c r="C235" s="288"/>
      <c r="D235" s="288"/>
      <c r="E235" s="288"/>
    </row>
    <row r="236" spans="1:5" ht="16.5" customHeight="1" x14ac:dyDescent="0.3">
      <c r="A236" s="287"/>
      <c r="B236" s="288"/>
      <c r="C236" s="288"/>
      <c r="D236" s="288"/>
      <c r="E236" s="288"/>
    </row>
    <row r="237" spans="1:5" ht="16.5" customHeight="1" x14ac:dyDescent="0.3">
      <c r="A237" s="287"/>
      <c r="B237" s="288"/>
      <c r="C237" s="288"/>
      <c r="D237" s="288"/>
      <c r="E237" s="288"/>
    </row>
    <row r="238" spans="1:5" ht="16.5" customHeight="1" x14ac:dyDescent="0.3">
      <c r="A238" s="287"/>
      <c r="B238" s="288"/>
      <c r="C238" s="288"/>
      <c r="D238" s="288"/>
      <c r="E238" s="288"/>
    </row>
    <row r="239" spans="1:5" ht="16.5" customHeight="1" x14ac:dyDescent="0.3">
      <c r="A239" s="287"/>
      <c r="B239" s="288"/>
      <c r="C239" s="288"/>
      <c r="D239" s="288"/>
      <c r="E239" s="288"/>
    </row>
    <row r="240" spans="1:5" ht="16.5" customHeight="1" x14ac:dyDescent="0.3">
      <c r="A240" s="287"/>
      <c r="B240" s="288"/>
      <c r="C240" s="288"/>
      <c r="D240" s="288"/>
      <c r="E240" s="288"/>
    </row>
    <row r="241" spans="1:5" ht="16.5" customHeight="1" x14ac:dyDescent="0.3">
      <c r="A241" s="287"/>
      <c r="B241" s="288"/>
      <c r="C241" s="288"/>
      <c r="D241" s="288"/>
      <c r="E241" s="288"/>
    </row>
    <row r="242" spans="1:5" ht="16.5" customHeight="1" x14ac:dyDescent="0.3">
      <c r="A242" s="287"/>
      <c r="B242" s="288"/>
      <c r="C242" s="288"/>
      <c r="D242" s="288"/>
      <c r="E242" s="288"/>
    </row>
    <row r="243" spans="1:5" ht="16.5" customHeight="1" x14ac:dyDescent="0.3">
      <c r="A243" s="287"/>
      <c r="B243" s="288"/>
      <c r="C243" s="288"/>
      <c r="D243" s="288"/>
      <c r="E243" s="288"/>
    </row>
    <row r="244" spans="1:5" ht="16.5" customHeight="1" x14ac:dyDescent="0.3">
      <c r="A244" s="287"/>
      <c r="B244" s="288"/>
      <c r="C244" s="288"/>
      <c r="D244" s="288"/>
      <c r="E244" s="288"/>
    </row>
    <row r="245" spans="1:5" ht="16.5" customHeight="1" x14ac:dyDescent="0.3">
      <c r="A245" s="287"/>
      <c r="B245" s="288"/>
      <c r="C245" s="288"/>
      <c r="D245" s="288"/>
      <c r="E245" s="288"/>
    </row>
    <row r="246" spans="1:5" ht="16.5" customHeight="1" x14ac:dyDescent="0.3">
      <c r="A246" s="287"/>
      <c r="B246" s="288"/>
      <c r="C246" s="288"/>
      <c r="D246" s="288"/>
      <c r="E246" s="288"/>
    </row>
    <row r="247" spans="1:5" ht="16.5" customHeight="1" x14ac:dyDescent="0.3">
      <c r="A247" s="287"/>
      <c r="B247" s="288"/>
      <c r="C247" s="288"/>
      <c r="D247" s="288"/>
      <c r="E247" s="288"/>
    </row>
    <row r="248" spans="1:5" ht="16.5" customHeight="1" x14ac:dyDescent="0.3">
      <c r="A248" s="287"/>
      <c r="B248" s="288"/>
      <c r="C248" s="288"/>
      <c r="D248" s="288"/>
      <c r="E248" s="288"/>
    </row>
    <row r="249" spans="1:5" ht="16.5" customHeight="1" x14ac:dyDescent="0.3">
      <c r="A249" s="287"/>
      <c r="B249" s="288"/>
      <c r="C249" s="288"/>
      <c r="D249" s="288"/>
      <c r="E249" s="288"/>
    </row>
    <row r="250" spans="1:5" ht="16.5" customHeight="1" x14ac:dyDescent="0.3">
      <c r="A250" s="287"/>
      <c r="B250" s="288"/>
      <c r="C250" s="288"/>
      <c r="D250" s="288"/>
      <c r="E250" s="288"/>
    </row>
    <row r="251" spans="1:5" ht="16.5" customHeight="1" x14ac:dyDescent="0.3">
      <c r="A251" s="287"/>
      <c r="B251" s="288"/>
      <c r="C251" s="288"/>
      <c r="D251" s="288"/>
      <c r="E251" s="288"/>
    </row>
    <row r="252" spans="1:5" ht="16.5" customHeight="1" x14ac:dyDescent="0.3">
      <c r="A252" s="287"/>
      <c r="B252" s="288"/>
      <c r="C252" s="288"/>
      <c r="D252" s="288"/>
      <c r="E252" s="288"/>
    </row>
    <row r="253" spans="1:5" ht="16.5" customHeight="1" x14ac:dyDescent="0.3">
      <c r="A253" s="287"/>
      <c r="B253" s="288"/>
      <c r="C253" s="288"/>
      <c r="D253" s="288"/>
      <c r="E253" s="288"/>
    </row>
    <row r="254" spans="1:5" ht="16.5" customHeight="1" x14ac:dyDescent="0.3">
      <c r="A254" s="287"/>
      <c r="B254" s="288"/>
      <c r="C254" s="288"/>
      <c r="D254" s="288"/>
      <c r="E254" s="288"/>
    </row>
    <row r="255" spans="1:5" ht="16.5" customHeight="1" x14ac:dyDescent="0.3">
      <c r="A255" s="287"/>
      <c r="B255" s="288"/>
      <c r="C255" s="288"/>
      <c r="D255" s="288"/>
      <c r="E255" s="288"/>
    </row>
    <row r="256" spans="1:5" ht="16.5" customHeight="1" x14ac:dyDescent="0.3">
      <c r="A256" s="287"/>
      <c r="B256" s="288"/>
      <c r="C256" s="288"/>
      <c r="D256" s="288"/>
      <c r="E256" s="288"/>
    </row>
    <row r="257" spans="1:5" ht="16.5" customHeight="1" x14ac:dyDescent="0.3">
      <c r="A257" s="287"/>
      <c r="B257" s="288"/>
      <c r="C257" s="288"/>
      <c r="D257" s="288"/>
      <c r="E257" s="288"/>
    </row>
    <row r="258" spans="1:5" ht="16.5" customHeight="1" x14ac:dyDescent="0.3">
      <c r="A258" s="287"/>
      <c r="B258" s="288"/>
      <c r="C258" s="288"/>
      <c r="D258" s="288"/>
      <c r="E258" s="288"/>
    </row>
    <row r="259" spans="1:5" ht="16.5" customHeight="1" x14ac:dyDescent="0.3">
      <c r="A259" s="287"/>
      <c r="B259" s="288"/>
      <c r="C259" s="288"/>
      <c r="D259" s="288"/>
      <c r="E259" s="288"/>
    </row>
    <row r="260" spans="1:5" ht="16.5" customHeight="1" x14ac:dyDescent="0.3">
      <c r="A260" s="287"/>
      <c r="B260" s="288"/>
      <c r="C260" s="288"/>
      <c r="D260" s="288"/>
      <c r="E260" s="288"/>
    </row>
    <row r="261" spans="1:5" ht="16.5" customHeight="1" x14ac:dyDescent="0.3">
      <c r="A261" s="287"/>
      <c r="B261" s="288"/>
      <c r="C261" s="288"/>
      <c r="D261" s="288"/>
      <c r="E261" s="288"/>
    </row>
    <row r="262" spans="1:5" ht="16.5" customHeight="1" x14ac:dyDescent="0.3">
      <c r="A262" s="287"/>
      <c r="B262" s="288"/>
      <c r="C262" s="288"/>
      <c r="D262" s="288"/>
      <c r="E262" s="288"/>
    </row>
    <row r="263" spans="1:5" ht="16.5" customHeight="1" x14ac:dyDescent="0.3">
      <c r="A263" s="287"/>
      <c r="B263" s="288"/>
      <c r="C263" s="288"/>
      <c r="D263" s="288"/>
      <c r="E263" s="288"/>
    </row>
    <row r="264" spans="1:5" ht="16.5" customHeight="1" x14ac:dyDescent="0.3">
      <c r="A264" s="287"/>
      <c r="B264" s="288"/>
      <c r="C264" s="288"/>
      <c r="D264" s="288"/>
      <c r="E264" s="288"/>
    </row>
    <row r="265" spans="1:5" ht="16.5" customHeight="1" x14ac:dyDescent="0.3">
      <c r="A265" s="287"/>
      <c r="B265" s="288"/>
      <c r="C265" s="288"/>
      <c r="D265" s="288"/>
      <c r="E265" s="288"/>
    </row>
    <row r="266" spans="1:5" ht="16.5" customHeight="1" x14ac:dyDescent="0.3">
      <c r="A266" s="287"/>
      <c r="B266" s="288"/>
      <c r="C266" s="288"/>
      <c r="D266" s="288"/>
      <c r="E266" s="288"/>
    </row>
    <row r="267" spans="1:5" ht="16.5" customHeight="1" x14ac:dyDescent="0.3">
      <c r="A267" s="287"/>
      <c r="B267" s="288"/>
      <c r="C267" s="288"/>
      <c r="D267" s="288"/>
      <c r="E267" s="288"/>
    </row>
    <row r="268" spans="1:5" ht="16.5" customHeight="1" x14ac:dyDescent="0.3">
      <c r="A268" s="287"/>
      <c r="B268" s="288"/>
      <c r="C268" s="288"/>
      <c r="D268" s="288"/>
      <c r="E268" s="288"/>
    </row>
    <row r="269" spans="1:5" ht="16.5" customHeight="1" x14ac:dyDescent="0.3">
      <c r="A269" s="287"/>
      <c r="B269" s="288"/>
      <c r="C269" s="288"/>
      <c r="D269" s="288"/>
      <c r="E269" s="288"/>
    </row>
    <row r="270" spans="1:5" ht="16.5" customHeight="1" x14ac:dyDescent="0.3">
      <c r="A270" s="287"/>
      <c r="B270" s="288"/>
      <c r="C270" s="288"/>
      <c r="D270" s="288"/>
      <c r="E270" s="288"/>
    </row>
    <row r="271" spans="1:5" ht="16.5" customHeight="1" x14ac:dyDescent="0.3">
      <c r="A271" s="287"/>
      <c r="B271" s="288"/>
      <c r="C271" s="288"/>
      <c r="D271" s="288"/>
      <c r="E271" s="288"/>
    </row>
    <row r="272" spans="1:5" ht="16.5" customHeight="1" x14ac:dyDescent="0.3">
      <c r="A272" s="287"/>
      <c r="B272" s="288"/>
      <c r="C272" s="288"/>
      <c r="D272" s="288"/>
      <c r="E272" s="288"/>
    </row>
    <row r="273" spans="1:5" ht="16.5" customHeight="1" x14ac:dyDescent="0.3">
      <c r="A273" s="287"/>
      <c r="B273" s="288"/>
      <c r="C273" s="288"/>
      <c r="D273" s="288"/>
      <c r="E273" s="288"/>
    </row>
    <row r="274" spans="1:5" ht="16.5" customHeight="1" x14ac:dyDescent="0.3">
      <c r="A274" s="287"/>
      <c r="B274" s="288"/>
      <c r="C274" s="288"/>
      <c r="D274" s="288"/>
      <c r="E274" s="288"/>
    </row>
    <row r="275" spans="1:5" ht="16.5" customHeight="1" x14ac:dyDescent="0.3">
      <c r="A275" s="287"/>
      <c r="B275" s="288"/>
      <c r="C275" s="288"/>
      <c r="D275" s="288"/>
      <c r="E275" s="288"/>
    </row>
    <row r="276" spans="1:5" ht="16.5" customHeight="1" x14ac:dyDescent="0.3">
      <c r="A276" s="287"/>
      <c r="B276" s="288"/>
      <c r="C276" s="288"/>
      <c r="D276" s="288"/>
      <c r="E276" s="288"/>
    </row>
    <row r="277" spans="1:5" ht="16.5" customHeight="1" x14ac:dyDescent="0.3">
      <c r="A277" s="287"/>
      <c r="B277" s="288"/>
      <c r="C277" s="288"/>
      <c r="D277" s="288"/>
      <c r="E277" s="288"/>
    </row>
    <row r="278" spans="1:5" ht="16.5" customHeight="1" x14ac:dyDescent="0.3">
      <c r="A278" s="287"/>
      <c r="B278" s="288"/>
      <c r="C278" s="288"/>
      <c r="D278" s="288"/>
      <c r="E278" s="288"/>
    </row>
    <row r="279" spans="1:5" ht="16.5" customHeight="1" x14ac:dyDescent="0.3">
      <c r="A279" s="287"/>
      <c r="B279" s="288"/>
      <c r="C279" s="288"/>
      <c r="D279" s="288"/>
      <c r="E279" s="288"/>
    </row>
    <row r="280" spans="1:5" ht="16.5" customHeight="1" x14ac:dyDescent="0.3">
      <c r="A280" s="287"/>
      <c r="B280" s="288"/>
      <c r="C280" s="288"/>
      <c r="D280" s="288"/>
      <c r="E280" s="288"/>
    </row>
    <row r="281" spans="1:5" ht="16.5" customHeight="1" x14ac:dyDescent="0.3">
      <c r="A281" s="287"/>
      <c r="B281" s="288"/>
      <c r="C281" s="288"/>
      <c r="D281" s="288"/>
      <c r="E281" s="288"/>
    </row>
    <row r="282" spans="1:5" ht="16.5" customHeight="1" x14ac:dyDescent="0.3">
      <c r="A282" s="287"/>
      <c r="B282" s="288"/>
      <c r="C282" s="288"/>
      <c r="D282" s="288"/>
      <c r="E282" s="288"/>
    </row>
    <row r="283" spans="1:5" ht="16.5" customHeight="1" x14ac:dyDescent="0.3">
      <c r="A283" s="287"/>
      <c r="B283" s="288"/>
      <c r="C283" s="288"/>
      <c r="D283" s="288"/>
      <c r="E283" s="288"/>
    </row>
    <row r="284" spans="1:5" ht="16.5" customHeight="1" x14ac:dyDescent="0.3">
      <c r="A284" s="287"/>
      <c r="B284" s="288"/>
      <c r="C284" s="288"/>
      <c r="D284" s="288"/>
      <c r="E284" s="288"/>
    </row>
    <row r="285" spans="1:5" ht="16.5" customHeight="1" x14ac:dyDescent="0.3">
      <c r="A285" s="287"/>
      <c r="B285" s="288"/>
      <c r="C285" s="288"/>
      <c r="D285" s="288"/>
      <c r="E285" s="288"/>
    </row>
    <row r="286" spans="1:5" ht="16.5" customHeight="1" x14ac:dyDescent="0.3">
      <c r="A286" s="287"/>
      <c r="B286" s="288"/>
      <c r="C286" s="288"/>
      <c r="D286" s="288"/>
      <c r="E286" s="288"/>
    </row>
    <row r="287" spans="1:5" ht="16.5" customHeight="1" x14ac:dyDescent="0.3">
      <c r="A287" s="287"/>
      <c r="B287" s="288"/>
      <c r="C287" s="288"/>
      <c r="D287" s="288"/>
      <c r="E287" s="288"/>
    </row>
    <row r="288" spans="1:5" ht="16.5" customHeight="1" x14ac:dyDescent="0.3">
      <c r="A288" s="287"/>
      <c r="B288" s="288"/>
      <c r="C288" s="288"/>
      <c r="D288" s="288"/>
      <c r="E288" s="288"/>
    </row>
    <row r="289" spans="1:5" ht="16.5" customHeight="1" x14ac:dyDescent="0.3">
      <c r="A289" s="287"/>
      <c r="B289" s="288"/>
      <c r="C289" s="288"/>
      <c r="D289" s="288"/>
      <c r="E289" s="288"/>
    </row>
    <row r="290" spans="1:5" ht="16.5" customHeight="1" x14ac:dyDescent="0.3">
      <c r="A290" s="287"/>
      <c r="B290" s="288"/>
      <c r="C290" s="288"/>
      <c r="D290" s="288"/>
      <c r="E290" s="288"/>
    </row>
    <row r="291" spans="1:5" ht="16.5" customHeight="1" x14ac:dyDescent="0.3">
      <c r="A291" s="287"/>
      <c r="B291" s="288"/>
      <c r="C291" s="288"/>
      <c r="D291" s="288"/>
      <c r="E291" s="288"/>
    </row>
    <row r="292" spans="1:5" ht="16.5" customHeight="1" x14ac:dyDescent="0.3">
      <c r="A292" s="287"/>
      <c r="B292" s="288"/>
      <c r="C292" s="288"/>
      <c r="D292" s="288"/>
      <c r="E292" s="288"/>
    </row>
    <row r="293" spans="1:5" ht="16.5" customHeight="1" x14ac:dyDescent="0.3">
      <c r="A293" s="287"/>
      <c r="B293" s="288"/>
      <c r="C293" s="288"/>
      <c r="D293" s="288"/>
      <c r="E293" s="288"/>
    </row>
    <row r="294" spans="1:5" ht="16.5" customHeight="1" x14ac:dyDescent="0.3">
      <c r="A294" s="287"/>
      <c r="B294" s="288"/>
      <c r="C294" s="288"/>
      <c r="D294" s="288"/>
      <c r="E294" s="288"/>
    </row>
    <row r="295" spans="1:5" ht="16.5" customHeight="1" x14ac:dyDescent="0.3">
      <c r="A295" s="287"/>
      <c r="B295" s="288"/>
      <c r="C295" s="288"/>
      <c r="D295" s="288"/>
      <c r="E295" s="288"/>
    </row>
    <row r="296" spans="1:5" ht="16.5" customHeight="1" x14ac:dyDescent="0.3">
      <c r="A296" s="287"/>
      <c r="B296" s="288"/>
      <c r="C296" s="288"/>
      <c r="D296" s="288"/>
      <c r="E296" s="288"/>
    </row>
    <row r="297" spans="1:5" ht="16.5" customHeight="1" x14ac:dyDescent="0.3">
      <c r="A297" s="287"/>
      <c r="B297" s="288"/>
      <c r="C297" s="288"/>
      <c r="D297" s="288"/>
      <c r="E297" s="288"/>
    </row>
    <row r="298" spans="1:5" ht="16.5" customHeight="1" x14ac:dyDescent="0.3">
      <c r="A298" s="287"/>
      <c r="B298" s="288"/>
      <c r="C298" s="288"/>
      <c r="D298" s="288"/>
      <c r="E298" s="288"/>
    </row>
    <row r="299" spans="1:5" ht="16.5" customHeight="1" x14ac:dyDescent="0.3">
      <c r="A299" s="287"/>
      <c r="B299" s="288"/>
      <c r="C299" s="288"/>
      <c r="D299" s="288"/>
      <c r="E299" s="288"/>
    </row>
    <row r="300" spans="1:5" ht="16.5" customHeight="1" x14ac:dyDescent="0.3">
      <c r="A300" s="287"/>
      <c r="B300" s="288"/>
      <c r="C300" s="288"/>
      <c r="D300" s="288"/>
      <c r="E300" s="288"/>
    </row>
    <row r="301" spans="1:5" ht="16.5" customHeight="1" x14ac:dyDescent="0.3">
      <c r="A301" s="287"/>
      <c r="B301" s="288"/>
      <c r="C301" s="288"/>
      <c r="D301" s="288"/>
      <c r="E301" s="288"/>
    </row>
    <row r="302" spans="1:5" ht="16.5" customHeight="1" x14ac:dyDescent="0.3">
      <c r="A302" s="287"/>
      <c r="B302" s="288"/>
      <c r="C302" s="288"/>
      <c r="D302" s="288"/>
      <c r="E302" s="288"/>
    </row>
    <row r="303" spans="1:5" ht="16.5" customHeight="1" x14ac:dyDescent="0.3">
      <c r="A303" s="287"/>
      <c r="B303" s="288"/>
      <c r="C303" s="288"/>
      <c r="D303" s="288"/>
      <c r="E303" s="288"/>
    </row>
    <row r="304" spans="1:5" ht="16.5" customHeight="1" x14ac:dyDescent="0.3">
      <c r="A304" s="287"/>
      <c r="B304" s="288"/>
      <c r="C304" s="288"/>
      <c r="D304" s="288"/>
      <c r="E304" s="288"/>
    </row>
    <row r="305" spans="1:5" ht="16.5" customHeight="1" x14ac:dyDescent="0.3">
      <c r="A305" s="287"/>
      <c r="B305" s="288"/>
      <c r="C305" s="288"/>
      <c r="D305" s="288"/>
      <c r="E305" s="288"/>
    </row>
    <row r="306" spans="1:5" ht="16.5" customHeight="1" x14ac:dyDescent="0.3">
      <c r="A306" s="287"/>
      <c r="B306" s="288"/>
      <c r="C306" s="288"/>
      <c r="D306" s="288"/>
      <c r="E306" s="288"/>
    </row>
    <row r="307" spans="1:5" ht="16.5" customHeight="1" x14ac:dyDescent="0.3">
      <c r="A307" s="287"/>
      <c r="B307" s="288"/>
      <c r="C307" s="288"/>
      <c r="D307" s="288"/>
      <c r="E307" s="288"/>
    </row>
    <row r="308" spans="1:5" ht="16.5" customHeight="1" x14ac:dyDescent="0.3">
      <c r="A308" s="287"/>
      <c r="B308" s="288"/>
      <c r="C308" s="288"/>
      <c r="D308" s="288"/>
      <c r="E308" s="288"/>
    </row>
    <row r="309" spans="1:5" ht="16.5" customHeight="1" x14ac:dyDescent="0.3">
      <c r="A309" s="287"/>
      <c r="B309" s="288"/>
      <c r="C309" s="288"/>
      <c r="D309" s="288"/>
      <c r="E309" s="288"/>
    </row>
    <row r="310" spans="1:5" ht="16.5" customHeight="1" x14ac:dyDescent="0.3">
      <c r="A310" s="287"/>
      <c r="B310" s="288"/>
      <c r="C310" s="288"/>
      <c r="D310" s="288"/>
      <c r="E310" s="288"/>
    </row>
    <row r="311" spans="1:5" ht="16.5" customHeight="1" x14ac:dyDescent="0.3">
      <c r="A311" s="287"/>
      <c r="B311" s="288"/>
      <c r="C311" s="288"/>
      <c r="D311" s="288"/>
      <c r="E311" s="288"/>
    </row>
    <row r="312" spans="1:5" ht="16.5" customHeight="1" x14ac:dyDescent="0.3">
      <c r="A312" s="287"/>
      <c r="B312" s="288"/>
      <c r="C312" s="288"/>
      <c r="D312" s="288"/>
      <c r="E312" s="288"/>
    </row>
    <row r="313" spans="1:5" ht="16.5" customHeight="1" x14ac:dyDescent="0.3">
      <c r="A313" s="287"/>
      <c r="B313" s="288"/>
      <c r="C313" s="288"/>
      <c r="D313" s="288"/>
      <c r="E313" s="288"/>
    </row>
    <row r="314" spans="1:5" ht="16.5" customHeight="1" x14ac:dyDescent="0.3">
      <c r="A314" s="287"/>
      <c r="B314" s="288"/>
      <c r="C314" s="288"/>
      <c r="D314" s="288"/>
      <c r="E314" s="288"/>
    </row>
    <row r="315" spans="1:5" ht="16.5" customHeight="1" x14ac:dyDescent="0.3">
      <c r="A315" s="287"/>
      <c r="B315" s="288"/>
      <c r="C315" s="288"/>
      <c r="D315" s="288"/>
      <c r="E315" s="288"/>
    </row>
    <row r="316" spans="1:5" ht="16.5" customHeight="1" x14ac:dyDescent="0.3">
      <c r="A316" s="287"/>
      <c r="B316" s="288"/>
      <c r="C316" s="288"/>
      <c r="D316" s="288"/>
      <c r="E316" s="288"/>
    </row>
    <row r="317" spans="1:5" ht="16.5" customHeight="1" x14ac:dyDescent="0.3">
      <c r="A317" s="287"/>
      <c r="B317" s="288"/>
      <c r="C317" s="288"/>
      <c r="D317" s="288"/>
      <c r="E317" s="288"/>
    </row>
    <row r="318" spans="1:5" ht="16.5" customHeight="1" x14ac:dyDescent="0.3">
      <c r="A318" s="287"/>
      <c r="B318" s="288"/>
      <c r="C318" s="288"/>
      <c r="D318" s="288"/>
      <c r="E318" s="288"/>
    </row>
    <row r="319" spans="1:5" ht="16.5" customHeight="1" x14ac:dyDescent="0.3">
      <c r="A319" s="287"/>
      <c r="B319" s="288"/>
      <c r="C319" s="288"/>
      <c r="D319" s="288"/>
      <c r="E319" s="288"/>
    </row>
    <row r="320" spans="1:5" ht="16.5" customHeight="1" x14ac:dyDescent="0.3">
      <c r="A320" s="287"/>
      <c r="B320" s="288"/>
      <c r="C320" s="288"/>
      <c r="D320" s="288"/>
      <c r="E320" s="288"/>
    </row>
    <row r="321" spans="1:5" ht="16.5" customHeight="1" x14ac:dyDescent="0.3">
      <c r="A321" s="287"/>
      <c r="B321" s="288"/>
      <c r="C321" s="288"/>
      <c r="D321" s="288"/>
      <c r="E321" s="288"/>
    </row>
    <row r="322" spans="1:5" ht="16.5" customHeight="1" x14ac:dyDescent="0.3">
      <c r="A322" s="287"/>
      <c r="B322" s="288"/>
      <c r="C322" s="288"/>
      <c r="D322" s="288"/>
      <c r="E322" s="288"/>
    </row>
    <row r="323" spans="1:5" ht="16.5" customHeight="1" x14ac:dyDescent="0.3">
      <c r="A323" s="287"/>
      <c r="B323" s="288"/>
      <c r="C323" s="288"/>
      <c r="D323" s="288"/>
      <c r="E323" s="288"/>
    </row>
    <row r="324" spans="1:5" ht="16.5" customHeight="1" x14ac:dyDescent="0.3">
      <c r="A324" s="287"/>
      <c r="B324" s="288"/>
      <c r="C324" s="288"/>
      <c r="D324" s="288"/>
      <c r="E324" s="288"/>
    </row>
    <row r="325" spans="1:5" ht="16.5" customHeight="1" x14ac:dyDescent="0.3">
      <c r="A325" s="287"/>
      <c r="B325" s="288"/>
      <c r="C325" s="288"/>
      <c r="D325" s="288"/>
      <c r="E325" s="288"/>
    </row>
    <row r="326" spans="1:5" ht="16.5" customHeight="1" x14ac:dyDescent="0.3">
      <c r="A326" s="287"/>
      <c r="B326" s="288"/>
      <c r="C326" s="288"/>
      <c r="D326" s="288"/>
      <c r="E326" s="288"/>
    </row>
    <row r="327" spans="1:5" ht="16.5" customHeight="1" x14ac:dyDescent="0.3">
      <c r="A327" s="287"/>
      <c r="B327" s="288"/>
      <c r="C327" s="288"/>
      <c r="D327" s="288"/>
      <c r="E327" s="288"/>
    </row>
    <row r="328" spans="1:5" ht="16.5" customHeight="1" x14ac:dyDescent="0.3">
      <c r="A328" s="287"/>
      <c r="B328" s="288"/>
      <c r="C328" s="288"/>
      <c r="D328" s="288"/>
      <c r="E328" s="288"/>
    </row>
    <row r="329" spans="1:5" ht="16.5" customHeight="1" x14ac:dyDescent="0.3">
      <c r="A329" s="287"/>
      <c r="B329" s="288"/>
      <c r="C329" s="288"/>
      <c r="D329" s="288"/>
      <c r="E329" s="288"/>
    </row>
    <row r="330" spans="1:5" ht="16.5" customHeight="1" x14ac:dyDescent="0.3">
      <c r="A330" s="287"/>
      <c r="B330" s="288"/>
      <c r="C330" s="288"/>
      <c r="D330" s="288"/>
      <c r="E330" s="288"/>
    </row>
    <row r="331" spans="1:5" ht="16.5" customHeight="1" x14ac:dyDescent="0.3">
      <c r="A331" s="287"/>
      <c r="B331" s="288"/>
      <c r="C331" s="288"/>
      <c r="D331" s="288"/>
      <c r="E331" s="288"/>
    </row>
    <row r="332" spans="1:5" ht="16.5" customHeight="1" x14ac:dyDescent="0.3">
      <c r="A332" s="287"/>
      <c r="B332" s="288"/>
      <c r="C332" s="288"/>
      <c r="D332" s="288"/>
      <c r="E332" s="288"/>
    </row>
    <row r="333" spans="1:5" ht="16.5" customHeight="1" x14ac:dyDescent="0.3">
      <c r="A333" s="287"/>
      <c r="B333" s="288"/>
      <c r="C333" s="288"/>
      <c r="D333" s="288"/>
      <c r="E333" s="288"/>
    </row>
    <row r="334" spans="1:5" ht="16.5" customHeight="1" x14ac:dyDescent="0.3">
      <c r="A334" s="287"/>
      <c r="B334" s="288"/>
      <c r="C334" s="288"/>
      <c r="D334" s="288"/>
      <c r="E334" s="288"/>
    </row>
    <row r="335" spans="1:5" ht="16.5" customHeight="1" x14ac:dyDescent="0.3">
      <c r="A335" s="287"/>
      <c r="B335" s="288"/>
      <c r="C335" s="288"/>
      <c r="D335" s="288"/>
      <c r="E335" s="288"/>
    </row>
    <row r="336" spans="1:5" ht="16.5" customHeight="1" x14ac:dyDescent="0.3">
      <c r="A336" s="287"/>
      <c r="B336" s="288"/>
      <c r="C336" s="288"/>
      <c r="D336" s="288"/>
      <c r="E336" s="288"/>
    </row>
    <row r="337" spans="1:5" ht="16.5" customHeight="1" x14ac:dyDescent="0.3">
      <c r="A337" s="287"/>
      <c r="B337" s="288"/>
      <c r="C337" s="288"/>
      <c r="D337" s="288"/>
      <c r="E337" s="288"/>
    </row>
    <row r="338" spans="1:5" ht="16.5" customHeight="1" x14ac:dyDescent="0.3">
      <c r="A338" s="287"/>
      <c r="B338" s="288"/>
      <c r="C338" s="288"/>
      <c r="D338" s="288"/>
      <c r="E338" s="288"/>
    </row>
    <row r="339" spans="1:5" ht="16.5" customHeight="1" x14ac:dyDescent="0.3">
      <c r="A339" s="287"/>
      <c r="B339" s="288"/>
      <c r="C339" s="288"/>
      <c r="D339" s="288"/>
      <c r="E339" s="288"/>
    </row>
    <row r="340" spans="1:5" ht="16.5" customHeight="1" x14ac:dyDescent="0.3">
      <c r="A340" s="287"/>
      <c r="B340" s="288"/>
      <c r="C340" s="288"/>
      <c r="D340" s="288"/>
      <c r="E340" s="288"/>
    </row>
    <row r="341" spans="1:5" ht="16.5" customHeight="1" x14ac:dyDescent="0.3">
      <c r="A341" s="287"/>
      <c r="B341" s="288"/>
      <c r="C341" s="288"/>
      <c r="D341" s="288"/>
      <c r="E341" s="288"/>
    </row>
    <row r="342" spans="1:5" ht="16.5" customHeight="1" x14ac:dyDescent="0.3">
      <c r="A342" s="287"/>
      <c r="B342" s="288"/>
      <c r="C342" s="288"/>
      <c r="D342" s="288"/>
      <c r="E342" s="288"/>
    </row>
    <row r="343" spans="1:5" ht="16.5" customHeight="1" x14ac:dyDescent="0.3">
      <c r="A343" s="287"/>
      <c r="B343" s="288"/>
      <c r="C343" s="288"/>
      <c r="D343" s="288"/>
      <c r="E343" s="288"/>
    </row>
    <row r="344" spans="1:5" ht="16.5" customHeight="1" x14ac:dyDescent="0.3">
      <c r="A344" s="287"/>
      <c r="B344" s="288"/>
      <c r="C344" s="288"/>
      <c r="D344" s="288"/>
      <c r="E344" s="288"/>
    </row>
    <row r="345" spans="1:5" ht="16.5" customHeight="1" x14ac:dyDescent="0.3">
      <c r="A345" s="287"/>
      <c r="B345" s="288"/>
      <c r="C345" s="288"/>
      <c r="D345" s="288"/>
      <c r="E345" s="288"/>
    </row>
    <row r="346" spans="1:5" ht="16.5" customHeight="1" x14ac:dyDescent="0.3">
      <c r="A346" s="287"/>
      <c r="B346" s="288"/>
      <c r="C346" s="288"/>
      <c r="D346" s="288"/>
      <c r="E346" s="288"/>
    </row>
    <row r="347" spans="1:5" ht="16.5" customHeight="1" x14ac:dyDescent="0.3">
      <c r="A347" s="287"/>
      <c r="B347" s="288"/>
      <c r="C347" s="288"/>
      <c r="D347" s="288"/>
      <c r="E347" s="288"/>
    </row>
    <row r="348" spans="1:5" ht="16.5" customHeight="1" x14ac:dyDescent="0.3">
      <c r="A348" s="287"/>
      <c r="B348" s="288"/>
      <c r="C348" s="288"/>
      <c r="D348" s="288"/>
      <c r="E348" s="288"/>
    </row>
    <row r="349" spans="1:5" ht="16.5" customHeight="1" x14ac:dyDescent="0.3">
      <c r="A349" s="287"/>
      <c r="B349" s="288"/>
      <c r="C349" s="288"/>
      <c r="D349" s="288"/>
      <c r="E349" s="288"/>
    </row>
    <row r="350" spans="1:5" ht="16.5" customHeight="1" x14ac:dyDescent="0.3">
      <c r="A350" s="287"/>
      <c r="B350" s="288"/>
      <c r="C350" s="288"/>
      <c r="D350" s="288"/>
      <c r="E350" s="288"/>
    </row>
    <row r="351" spans="1:5" ht="16.5" customHeight="1" x14ac:dyDescent="0.3">
      <c r="A351" s="287"/>
      <c r="B351" s="288"/>
      <c r="C351" s="288"/>
      <c r="D351" s="288"/>
      <c r="E351" s="288"/>
    </row>
    <row r="352" spans="1:5" ht="16.5" customHeight="1" x14ac:dyDescent="0.3">
      <c r="A352" s="287"/>
      <c r="B352" s="288"/>
      <c r="C352" s="288"/>
      <c r="D352" s="288"/>
      <c r="E352" s="288"/>
    </row>
    <row r="353" spans="1:5" ht="16.5" customHeight="1" x14ac:dyDescent="0.3">
      <c r="A353" s="287"/>
      <c r="B353" s="288"/>
      <c r="C353" s="288"/>
      <c r="D353" s="288"/>
      <c r="E353" s="288"/>
    </row>
    <row r="354" spans="1:5" ht="16.5" customHeight="1" x14ac:dyDescent="0.3">
      <c r="A354" s="287"/>
      <c r="B354" s="288"/>
      <c r="C354" s="288"/>
      <c r="D354" s="288"/>
      <c r="E354" s="288"/>
    </row>
    <row r="355" spans="1:5" ht="16.5" customHeight="1" x14ac:dyDescent="0.3">
      <c r="A355" s="287"/>
      <c r="B355" s="288"/>
      <c r="C355" s="288"/>
      <c r="D355" s="288"/>
      <c r="E355" s="288"/>
    </row>
    <row r="356" spans="1:5" ht="16.5" customHeight="1" x14ac:dyDescent="0.3">
      <c r="A356" s="287"/>
      <c r="B356" s="288"/>
      <c r="C356" s="288"/>
      <c r="D356" s="288"/>
      <c r="E356" s="288"/>
    </row>
    <row r="357" spans="1:5" ht="16.5" customHeight="1" x14ac:dyDescent="0.3">
      <c r="A357" s="287"/>
      <c r="B357" s="288"/>
      <c r="C357" s="288"/>
      <c r="D357" s="288"/>
      <c r="E357" s="288"/>
    </row>
    <row r="358" spans="1:5" ht="16.5" customHeight="1" x14ac:dyDescent="0.3">
      <c r="A358" s="287"/>
      <c r="B358" s="288"/>
      <c r="C358" s="288"/>
      <c r="D358" s="288"/>
      <c r="E358" s="288"/>
    </row>
    <row r="359" spans="1:5" ht="16.5" customHeight="1" x14ac:dyDescent="0.3">
      <c r="A359" s="287"/>
      <c r="B359" s="288"/>
      <c r="C359" s="288"/>
      <c r="D359" s="288"/>
      <c r="E359" s="288"/>
    </row>
    <row r="360" spans="1:5" ht="16.5" customHeight="1" x14ac:dyDescent="0.3">
      <c r="A360" s="287"/>
      <c r="B360" s="288"/>
      <c r="C360" s="288"/>
      <c r="D360" s="288"/>
      <c r="E360" s="288"/>
    </row>
    <row r="361" spans="1:5" ht="16.5" customHeight="1" x14ac:dyDescent="0.3">
      <c r="A361" s="287"/>
      <c r="B361" s="288"/>
      <c r="C361" s="288"/>
      <c r="D361" s="288"/>
      <c r="E361" s="288"/>
    </row>
    <row r="362" spans="1:5" ht="16.5" customHeight="1" x14ac:dyDescent="0.3">
      <c r="A362" s="287"/>
      <c r="B362" s="288"/>
      <c r="C362" s="288"/>
      <c r="D362" s="288"/>
      <c r="E362" s="288"/>
    </row>
    <row r="363" spans="1:5" ht="16.5" customHeight="1" x14ac:dyDescent="0.3">
      <c r="A363" s="287"/>
      <c r="B363" s="288"/>
      <c r="C363" s="288"/>
      <c r="D363" s="288"/>
      <c r="E363" s="288"/>
    </row>
    <row r="364" spans="1:5" ht="16.5" customHeight="1" x14ac:dyDescent="0.3">
      <c r="A364" s="287"/>
      <c r="B364" s="288"/>
      <c r="C364" s="288"/>
      <c r="D364" s="288"/>
      <c r="E364" s="288"/>
    </row>
    <row r="365" spans="1:5" ht="16.5" customHeight="1" x14ac:dyDescent="0.3">
      <c r="A365" s="287"/>
      <c r="B365" s="288"/>
      <c r="C365" s="288"/>
      <c r="D365" s="288"/>
      <c r="E365" s="288"/>
    </row>
    <row r="366" spans="1:5" ht="16.5" customHeight="1" x14ac:dyDescent="0.3">
      <c r="A366" s="287"/>
      <c r="B366" s="288"/>
      <c r="C366" s="288"/>
      <c r="D366" s="288"/>
      <c r="E366" s="288"/>
    </row>
    <row r="367" spans="1:5" ht="16.5" customHeight="1" x14ac:dyDescent="0.3">
      <c r="A367" s="287"/>
      <c r="B367" s="288"/>
      <c r="C367" s="288"/>
      <c r="D367" s="288"/>
      <c r="E367" s="288"/>
    </row>
    <row r="368" spans="1:5" ht="16.5" customHeight="1" x14ac:dyDescent="0.3">
      <c r="A368" s="287"/>
      <c r="B368" s="288"/>
      <c r="C368" s="288"/>
      <c r="D368" s="288"/>
      <c r="E368" s="288"/>
    </row>
    <row r="369" spans="1:5" ht="16.5" customHeight="1" x14ac:dyDescent="0.3">
      <c r="A369" s="287"/>
      <c r="B369" s="288"/>
      <c r="C369" s="288"/>
      <c r="D369" s="288"/>
      <c r="E369" s="288"/>
    </row>
    <row r="370" spans="1:5" ht="16.5" customHeight="1" x14ac:dyDescent="0.3">
      <c r="A370" s="287"/>
      <c r="B370" s="288"/>
      <c r="C370" s="288"/>
      <c r="D370" s="288"/>
      <c r="E370" s="288"/>
    </row>
    <row r="371" spans="1:5" ht="16.5" customHeight="1" x14ac:dyDescent="0.3">
      <c r="A371" s="287"/>
      <c r="B371" s="288"/>
      <c r="C371" s="288"/>
      <c r="D371" s="288"/>
      <c r="E371" s="288"/>
    </row>
    <row r="372" spans="1:5" ht="16.5" customHeight="1" x14ac:dyDescent="0.3">
      <c r="A372" s="287"/>
      <c r="B372" s="288"/>
      <c r="C372" s="288"/>
      <c r="D372" s="288"/>
      <c r="E372" s="288"/>
    </row>
    <row r="373" spans="1:5" ht="16.5" customHeight="1" x14ac:dyDescent="0.3">
      <c r="A373" s="287"/>
      <c r="B373" s="288"/>
      <c r="C373" s="288"/>
      <c r="D373" s="288"/>
      <c r="E373" s="288"/>
    </row>
    <row r="374" spans="1:5" ht="16.5" customHeight="1" x14ac:dyDescent="0.3">
      <c r="A374" s="287"/>
      <c r="B374" s="288"/>
      <c r="C374" s="288"/>
      <c r="D374" s="288"/>
      <c r="E374" s="288"/>
    </row>
    <row r="375" spans="1:5" ht="16.5" customHeight="1" x14ac:dyDescent="0.3">
      <c r="A375" s="287"/>
      <c r="B375" s="288"/>
      <c r="C375" s="288"/>
      <c r="D375" s="288"/>
      <c r="E375" s="288"/>
    </row>
    <row r="376" spans="1:5" ht="16.5" customHeight="1" x14ac:dyDescent="0.3">
      <c r="A376" s="287"/>
      <c r="B376" s="288"/>
      <c r="C376" s="288"/>
      <c r="D376" s="288"/>
      <c r="E376" s="288"/>
    </row>
  </sheetData>
  <sheetProtection algorithmName="SHA-512" hashValue="5aPemNAJUm0qHOHwB+kdlCaj25gViijOHhwtAKJRlUc5V1ira8Y4u9N0o80XM1R2F7cEXAJ5zSZr5X2s2YGv6A==" saltValue="RVPX5HI1ZXhB4pGGCIStuQ==" spinCount="100000" sheet="1" objects="1" scenarios="1" selectLockedCells="1"/>
  <mergeCells count="111">
    <mergeCell ref="B48:C48"/>
    <mergeCell ref="B58:E58"/>
    <mergeCell ref="B60:C60"/>
    <mergeCell ref="D102:E102"/>
    <mergeCell ref="B102:C103"/>
    <mergeCell ref="D103:E103"/>
    <mergeCell ref="B100:C100"/>
    <mergeCell ref="D100:E100"/>
    <mergeCell ref="D101:E101"/>
    <mergeCell ref="B101:C101"/>
    <mergeCell ref="B99:C99"/>
    <mergeCell ref="D99:E99"/>
    <mergeCell ref="B94:C94"/>
    <mergeCell ref="D94:E94"/>
    <mergeCell ref="B95:E95"/>
    <mergeCell ref="B96:C96"/>
    <mergeCell ref="D96:E96"/>
    <mergeCell ref="B97:C97"/>
    <mergeCell ref="D97:E97"/>
    <mergeCell ref="B81:C82"/>
    <mergeCell ref="B79:E79"/>
    <mergeCell ref="D81:E82"/>
    <mergeCell ref="B78:C78"/>
    <mergeCell ref="B67:E67"/>
    <mergeCell ref="B83:C83"/>
    <mergeCell ref="D83:E83"/>
    <mergeCell ref="A93:E93"/>
    <mergeCell ref="B84:E84"/>
    <mergeCell ref="B86:C86"/>
    <mergeCell ref="D86:E86"/>
    <mergeCell ref="B87:C87"/>
    <mergeCell ref="D87:E87"/>
    <mergeCell ref="B88:C88"/>
    <mergeCell ref="D88:E88"/>
    <mergeCell ref="B89:C89"/>
    <mergeCell ref="D89:E89"/>
    <mergeCell ref="B90:E90"/>
    <mergeCell ref="B92:C92"/>
    <mergeCell ref="D92:E92"/>
    <mergeCell ref="C52:E52"/>
    <mergeCell ref="A53:E53"/>
    <mergeCell ref="B70:E70"/>
    <mergeCell ref="B74:C74"/>
    <mergeCell ref="D74:E74"/>
    <mergeCell ref="D42:E42"/>
    <mergeCell ref="B75:E75"/>
    <mergeCell ref="B76:E76"/>
    <mergeCell ref="C51:E51"/>
    <mergeCell ref="D45:E45"/>
    <mergeCell ref="B46:C46"/>
    <mergeCell ref="B47:C47"/>
    <mergeCell ref="B72:C72"/>
    <mergeCell ref="D72:E72"/>
    <mergeCell ref="B73:C73"/>
    <mergeCell ref="D73:E73"/>
    <mergeCell ref="B69:C69"/>
    <mergeCell ref="D69:E69"/>
    <mergeCell ref="B63:E63"/>
    <mergeCell ref="B65:C65"/>
    <mergeCell ref="D65:E65"/>
    <mergeCell ref="B66:E66"/>
    <mergeCell ref="B43:C43"/>
    <mergeCell ref="B50:E50"/>
    <mergeCell ref="B30:E30"/>
    <mergeCell ref="A9:E11"/>
    <mergeCell ref="D43:E43"/>
    <mergeCell ref="B44:C44"/>
    <mergeCell ref="D44:E44"/>
    <mergeCell ref="B45:C45"/>
    <mergeCell ref="B42:C42"/>
    <mergeCell ref="B39:C39"/>
    <mergeCell ref="D40:E40"/>
    <mergeCell ref="D33:E33"/>
    <mergeCell ref="B34:C34"/>
    <mergeCell ref="D34:E34"/>
    <mergeCell ref="B35:C35"/>
    <mergeCell ref="D35:E35"/>
    <mergeCell ref="B36:C36"/>
    <mergeCell ref="D36:E36"/>
    <mergeCell ref="B37:C37"/>
    <mergeCell ref="B41:C41"/>
    <mergeCell ref="D41:E41"/>
    <mergeCell ref="B38:C38"/>
    <mergeCell ref="D39:E39"/>
    <mergeCell ref="D37:E37"/>
    <mergeCell ref="B40:C40"/>
    <mergeCell ref="B33:C33"/>
    <mergeCell ref="B61:C62"/>
    <mergeCell ref="B54:E54"/>
    <mergeCell ref="B56:C56"/>
    <mergeCell ref="D56:E56"/>
    <mergeCell ref="B57:C57"/>
    <mergeCell ref="D57:E57"/>
    <mergeCell ref="B59:C59"/>
    <mergeCell ref="B12:E12"/>
    <mergeCell ref="A2:E2"/>
    <mergeCell ref="A3:E3"/>
    <mergeCell ref="C5:D5"/>
    <mergeCell ref="C6:D6"/>
    <mergeCell ref="A8:E8"/>
    <mergeCell ref="A32:E32"/>
    <mergeCell ref="B14:E14"/>
    <mergeCell ref="B16:E16"/>
    <mergeCell ref="A17:E17"/>
    <mergeCell ref="B18:E18"/>
    <mergeCell ref="B20:E20"/>
    <mergeCell ref="B22:E22"/>
    <mergeCell ref="B24:E24"/>
    <mergeCell ref="B25:E25"/>
    <mergeCell ref="B26:E26"/>
    <mergeCell ref="B28:E28"/>
  </mergeCells>
  <printOptions horizontalCentered="1"/>
  <pageMargins left="0.25" right="0.25" top="0.25" bottom="0.25" header="0.3" footer="0.3"/>
  <pageSetup paperSize="5" scale="93" fitToWidth="0" orientation="portrait" r:id="rId1"/>
  <rowBreaks count="6" manualBreakCount="6">
    <brk id="52" max="16383" man="1"/>
    <brk id="62" max="16383" man="1"/>
    <brk id="73" max="16383" man="1"/>
    <brk id="83" max="16383" man="1"/>
    <brk id="89" max="16383" man="1"/>
    <brk id="9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39" r:id="rId4" name="Button 15">
              <controlPr defaultSize="0" print="0" autoFill="0" autoPict="0" macro="[0]!IW_Home">
                <anchor moveWithCells="1" sizeWithCells="1">
                  <from>
                    <xdr:col>0</xdr:col>
                    <xdr:colOff>0</xdr:colOff>
                    <xdr:row>0</xdr:row>
                    <xdr:rowOff>7620</xdr:rowOff>
                  </from>
                  <to>
                    <xdr:col>1</xdr:col>
                    <xdr:colOff>464820</xdr:colOff>
                    <xdr:row>1</xdr:row>
                    <xdr:rowOff>114300</xdr:rowOff>
                  </to>
                </anchor>
              </controlPr>
            </control>
          </mc:Choice>
        </mc:AlternateContent>
        <mc:AlternateContent xmlns:mc="http://schemas.openxmlformats.org/markup-compatibility/2006">
          <mc:Choice Requires="x14">
            <control shapeId="1040" r:id="rId5" name="Button 16">
              <controlPr defaultSize="0" print="0" autoFill="0" autoPict="0" macro="[0]!IW_Print_Instructions">
                <anchor moveWithCells="1" sizeWithCells="1">
                  <from>
                    <xdr:col>1</xdr:col>
                    <xdr:colOff>533400</xdr:colOff>
                    <xdr:row>0</xdr:row>
                    <xdr:rowOff>0</xdr:rowOff>
                  </from>
                  <to>
                    <xdr:col>2</xdr:col>
                    <xdr:colOff>1028700</xdr:colOff>
                    <xdr:row>1</xdr:row>
                    <xdr:rowOff>114300</xdr:rowOff>
                  </to>
                </anchor>
              </controlPr>
            </control>
          </mc:Choice>
        </mc:AlternateContent>
        <mc:AlternateContent xmlns:mc="http://schemas.openxmlformats.org/markup-compatibility/2006">
          <mc:Choice Requires="x14">
            <control shapeId="1041" r:id="rId6" name="Button 17">
              <controlPr defaultSize="0" print="0" autoFill="0" autoPict="0" macro="[0]!Hide_Ins_Sheet">
                <anchor moveWithCells="1" sizeWithCells="1">
                  <from>
                    <xdr:col>0</xdr:col>
                    <xdr:colOff>0</xdr:colOff>
                    <xdr:row>1</xdr:row>
                    <xdr:rowOff>175260</xdr:rowOff>
                  </from>
                  <to>
                    <xdr:col>2</xdr:col>
                    <xdr:colOff>129540</xdr:colOff>
                    <xdr:row>2</xdr:row>
                    <xdr:rowOff>152400</xdr:rowOff>
                  </to>
                </anchor>
              </controlPr>
            </control>
          </mc:Choice>
        </mc:AlternateContent>
        <mc:AlternateContent xmlns:mc="http://schemas.openxmlformats.org/markup-compatibility/2006">
          <mc:Choice Requires="x14">
            <control shapeId="1042" r:id="rId7" name="Button 18">
              <controlPr defaultSize="0" print="0" autoFill="0" autoPict="0" macro="[0]!Hide_Inst_Start">
                <anchor moveWithCells="1" sizeWithCells="1">
                  <from>
                    <xdr:col>3</xdr:col>
                    <xdr:colOff>2080260</xdr:colOff>
                    <xdr:row>0</xdr:row>
                    <xdr:rowOff>7620</xdr:rowOff>
                  </from>
                  <to>
                    <xdr:col>4</xdr:col>
                    <xdr:colOff>655320</xdr:colOff>
                    <xdr:row>1</xdr:row>
                    <xdr:rowOff>274320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F75"/>
  <sheetViews>
    <sheetView showGridLines="0" showRowColHeaders="0" showRuler="0" view="pageLayout" zoomScale="90" zoomScaleNormal="100" zoomScalePageLayoutView="90" workbookViewId="0">
      <selection activeCell="D5" sqref="D5:G5"/>
    </sheetView>
  </sheetViews>
  <sheetFormatPr defaultColWidth="9.109375" defaultRowHeight="14.4" x14ac:dyDescent="0.3"/>
  <cols>
    <col min="1" max="1" width="2.44140625" style="15" customWidth="1"/>
    <col min="2" max="2" width="2.109375" style="15" customWidth="1"/>
    <col min="3" max="3" width="9.88671875" customWidth="1"/>
    <col min="4" max="4" width="11" customWidth="1"/>
    <col min="5" max="5" width="19.44140625" customWidth="1"/>
    <col min="6" max="6" width="16.6640625" customWidth="1"/>
    <col min="7" max="7" width="2.21875" customWidth="1"/>
    <col min="8" max="8" width="17.5546875" customWidth="1"/>
    <col min="9" max="9" width="2.109375" customWidth="1"/>
    <col min="10" max="10" width="1" customWidth="1"/>
    <col min="11" max="11" width="1.109375" customWidth="1"/>
    <col min="12" max="12" width="8.109375" customWidth="1"/>
    <col min="13" max="13" width="10" customWidth="1"/>
    <col min="14" max="14" width="2.21875" customWidth="1"/>
    <col min="15" max="16" width="1.6640625" customWidth="1"/>
    <col min="17" max="17" width="23.21875" style="15" customWidth="1"/>
    <col min="18" max="18" width="7.77734375" style="15" customWidth="1"/>
    <col min="19" max="19" width="6.88671875" customWidth="1"/>
    <col min="20" max="20" width="5.88671875" customWidth="1"/>
    <col min="21" max="21" width="0.6640625" customWidth="1"/>
    <col min="22" max="22" width="6.5546875" customWidth="1"/>
    <col min="23" max="23" width="19.77734375" customWidth="1"/>
    <col min="24" max="24" width="20.33203125" customWidth="1"/>
    <col min="25" max="25" width="0.6640625" customWidth="1"/>
    <col min="26" max="26" width="15.109375" customWidth="1"/>
  </cols>
  <sheetData>
    <row r="1" spans="1:32" ht="14.4" customHeight="1" x14ac:dyDescent="0.3">
      <c r="A1" s="1356"/>
      <c r="B1" s="1356"/>
      <c r="C1" s="1356"/>
      <c r="L1" s="1323" t="str">
        <f ca="1">DateStamp</f>
        <v>Created 01-28-26</v>
      </c>
      <c r="M1" s="1323"/>
      <c r="N1" s="1323"/>
      <c r="O1" s="1323"/>
      <c r="P1" s="1323"/>
      <c r="Q1" s="1291" t="s">
        <v>848</v>
      </c>
      <c r="R1" s="1291"/>
      <c r="S1" s="1291"/>
      <c r="T1" s="1291"/>
      <c r="U1" s="1291"/>
      <c r="V1" s="1291"/>
      <c r="W1" s="1291"/>
      <c r="X1" s="1291"/>
      <c r="Y1" s="1291"/>
      <c r="Z1" s="1291"/>
    </row>
    <row r="2" spans="1:32" ht="24.6" customHeight="1" x14ac:dyDescent="0.5">
      <c r="A2" s="1294"/>
      <c r="B2" s="1294"/>
      <c r="C2" s="1294"/>
      <c r="E2" s="1321" t="s">
        <v>1283</v>
      </c>
      <c r="F2" s="1321"/>
      <c r="G2" s="1321"/>
      <c r="H2" s="1321"/>
      <c r="I2" s="1131"/>
      <c r="J2" s="1131"/>
      <c r="K2" s="1131"/>
      <c r="L2" s="1131"/>
      <c r="M2" s="1131"/>
      <c r="N2" s="1131"/>
      <c r="O2" s="1131"/>
      <c r="P2" s="1131"/>
      <c r="Q2" s="1291"/>
      <c r="R2" s="1291"/>
      <c r="S2" s="1291"/>
      <c r="T2" s="1291"/>
      <c r="U2" s="1291"/>
      <c r="V2" s="1291"/>
      <c r="W2" s="1291"/>
      <c r="X2" s="1291"/>
      <c r="Y2" s="1291"/>
      <c r="Z2" s="1291"/>
      <c r="AA2" s="376"/>
      <c r="AB2" s="376"/>
      <c r="AC2" s="376"/>
      <c r="AD2" s="376"/>
      <c r="AE2" s="376"/>
      <c r="AF2" s="376"/>
    </row>
    <row r="3" spans="1:32" ht="21" customHeight="1" x14ac:dyDescent="0.45">
      <c r="B3" s="376"/>
      <c r="C3" s="376"/>
      <c r="D3" s="376"/>
      <c r="E3" s="1322" t="s">
        <v>206</v>
      </c>
      <c r="F3" s="1322"/>
      <c r="G3" s="1322"/>
      <c r="H3" s="1322"/>
      <c r="I3" s="1131"/>
      <c r="J3" s="1131"/>
      <c r="K3" s="1131"/>
      <c r="L3" s="1131"/>
      <c r="M3" s="1131"/>
      <c r="N3" s="1131"/>
      <c r="O3" s="1131"/>
      <c r="P3" s="1131"/>
      <c r="Q3" s="481" t="s">
        <v>876</v>
      </c>
      <c r="R3" s="481"/>
      <c r="T3" s="1365" t="s">
        <v>873</v>
      </c>
      <c r="U3" s="1365"/>
      <c r="V3" s="1365"/>
      <c r="W3" s="1365"/>
    </row>
    <row r="4" spans="1:32" ht="12" customHeight="1" x14ac:dyDescent="0.45">
      <c r="A4" s="355"/>
      <c r="B4" s="355"/>
      <c r="C4" s="355"/>
      <c r="D4" s="355"/>
      <c r="E4" s="355"/>
      <c r="F4" s="355"/>
      <c r="G4" s="355"/>
      <c r="H4" s="355"/>
      <c r="I4" s="1131"/>
      <c r="J4" s="1131"/>
      <c r="K4" s="1131"/>
      <c r="L4" s="1131"/>
      <c r="M4" s="1131"/>
      <c r="N4" s="1131"/>
      <c r="O4" s="1131"/>
      <c r="P4" s="1131"/>
      <c r="Q4" s="1376" t="s">
        <v>781</v>
      </c>
      <c r="R4" s="487"/>
      <c r="T4" s="1365"/>
      <c r="U4" s="1365"/>
      <c r="V4" s="1365"/>
      <c r="W4" s="1365"/>
    </row>
    <row r="5" spans="1:32" ht="15.6" x14ac:dyDescent="0.3">
      <c r="A5" s="34"/>
      <c r="B5" s="1358" t="s">
        <v>15</v>
      </c>
      <c r="C5" s="1358"/>
      <c r="D5" s="1359"/>
      <c r="E5" s="1359"/>
      <c r="F5" s="1359"/>
      <c r="G5" s="1359"/>
      <c r="H5" s="1366" t="s">
        <v>109</v>
      </c>
      <c r="I5" s="1366"/>
      <c r="J5" s="1366"/>
      <c r="K5" s="9"/>
      <c r="L5" s="1360"/>
      <c r="M5" s="1360"/>
      <c r="N5" s="5"/>
      <c r="O5" s="46"/>
      <c r="Q5" s="1376"/>
      <c r="R5" s="482"/>
      <c r="T5" s="1365"/>
      <c r="U5" s="1365"/>
      <c r="V5" s="1365"/>
      <c r="W5" s="1365"/>
    </row>
    <row r="6" spans="1:32" ht="7.5" customHeight="1" x14ac:dyDescent="0.3">
      <c r="A6" s="4"/>
      <c r="B6" s="4"/>
      <c r="C6" s="4"/>
      <c r="D6" s="10"/>
      <c r="E6" s="10"/>
      <c r="F6" s="10"/>
      <c r="G6" s="10"/>
      <c r="H6" s="3"/>
      <c r="I6" s="2"/>
      <c r="J6" s="2"/>
      <c r="K6" s="2"/>
      <c r="L6" s="184" t="str">
        <f>IF(L5="","",L5)</f>
        <v/>
      </c>
      <c r="M6" s="185"/>
      <c r="N6" s="133"/>
      <c r="O6" s="2"/>
      <c r="Q6" s="1376"/>
      <c r="R6" s="487"/>
      <c r="T6" s="1365"/>
      <c r="U6" s="1365"/>
      <c r="V6" s="1365"/>
      <c r="W6" s="1365"/>
    </row>
    <row r="7" spans="1:32" ht="15.75" customHeight="1" x14ac:dyDescent="0.3">
      <c r="A7" s="4"/>
      <c r="G7" s="8"/>
      <c r="H7" s="2"/>
      <c r="L7" s="35"/>
      <c r="M7" s="35"/>
      <c r="N7" s="35"/>
      <c r="O7" s="35"/>
      <c r="Q7" s="481" t="s">
        <v>205</v>
      </c>
      <c r="R7" s="481"/>
      <c r="T7" s="1365"/>
      <c r="U7" s="1365"/>
      <c r="V7" s="1365"/>
      <c r="W7" s="1365"/>
    </row>
    <row r="8" spans="1:32" ht="15" customHeight="1" thickBot="1" x14ac:dyDescent="0.35">
      <c r="B8" s="1364" t="s">
        <v>1404</v>
      </c>
      <c r="C8" s="1364"/>
      <c r="D8" s="1364"/>
      <c r="E8" s="1364"/>
      <c r="F8" s="1364"/>
      <c r="G8" s="1364"/>
      <c r="H8" s="1298" t="s">
        <v>943</v>
      </c>
      <c r="I8" s="1298"/>
      <c r="J8" s="1297"/>
      <c r="K8" s="1297"/>
      <c r="L8" s="1297"/>
      <c r="M8" s="1297"/>
      <c r="N8" s="1297"/>
      <c r="O8" s="3"/>
      <c r="P8" s="3"/>
      <c r="Q8" s="1292" t="s">
        <v>852</v>
      </c>
      <c r="R8" s="1292"/>
      <c r="S8" s="1292"/>
      <c r="T8" s="1292"/>
      <c r="U8" s="1292"/>
      <c r="V8" s="1292"/>
      <c r="W8" s="1292"/>
      <c r="X8" s="1292"/>
      <c r="Y8" s="1292"/>
      <c r="Z8" s="1292"/>
    </row>
    <row r="9" spans="1:32" ht="15" customHeight="1" x14ac:dyDescent="0.3">
      <c r="B9" s="1307" t="s">
        <v>123</v>
      </c>
      <c r="C9" s="1308"/>
      <c r="D9" s="1308"/>
      <c r="E9" s="1308"/>
      <c r="F9" s="175">
        <f ca="1">'Inc. Summary'!H32</f>
        <v>0</v>
      </c>
      <c r="H9" s="58"/>
      <c r="I9" s="1245"/>
      <c r="J9" s="1245"/>
      <c r="K9" s="1245"/>
      <c r="L9" s="1245"/>
      <c r="M9" s="1245"/>
      <c r="N9" s="1245"/>
      <c r="O9" s="11"/>
      <c r="P9" s="3"/>
      <c r="Q9" s="1292"/>
      <c r="R9" s="1292"/>
      <c r="S9" s="1292"/>
      <c r="T9" s="1292"/>
      <c r="U9" s="1292"/>
      <c r="V9" s="1292"/>
      <c r="W9" s="1292"/>
      <c r="X9" s="1292"/>
      <c r="Y9" s="1292"/>
      <c r="Z9" s="1292"/>
    </row>
    <row r="10" spans="1:32" ht="15" customHeight="1" x14ac:dyDescent="0.3">
      <c r="B10" s="1295" t="s">
        <v>110</v>
      </c>
      <c r="C10" s="1296"/>
      <c r="D10" s="1296"/>
      <c r="E10" s="1296"/>
      <c r="F10" s="176">
        <f ca="1">'Inc. Summary'!H98</f>
        <v>0</v>
      </c>
      <c r="H10" s="1367" t="s">
        <v>823</v>
      </c>
      <c r="I10" s="1367"/>
      <c r="J10" s="1367"/>
      <c r="K10" s="1367"/>
      <c r="L10" s="1367"/>
      <c r="M10" s="1368"/>
      <c r="N10" s="1368"/>
      <c r="O10" s="11"/>
      <c r="P10" s="3"/>
      <c r="Q10" s="15" t="s">
        <v>1225</v>
      </c>
      <c r="U10" s="484"/>
      <c r="W10" s="15"/>
    </row>
    <row r="11" spans="1:32" ht="15" customHeight="1" x14ac:dyDescent="0.3">
      <c r="B11" s="1295" t="s">
        <v>491</v>
      </c>
      <c r="C11" s="1296"/>
      <c r="D11" s="1296"/>
      <c r="E11" s="1296"/>
      <c r="F11" s="176">
        <f ca="1">IF(J8="VA",'Inc. Summary'!H108,IF(AND(J8&lt;&gt;"VA",'Inc. Summary'!J108&gt;0),'Inc. Summary'!J108,0))</f>
        <v>0</v>
      </c>
      <c r="O11" s="11"/>
      <c r="P11" s="3"/>
    </row>
    <row r="12" spans="1:32" ht="15" customHeight="1" x14ac:dyDescent="0.3">
      <c r="A12" s="4"/>
      <c r="B12" s="1295" t="s">
        <v>111</v>
      </c>
      <c r="C12" s="1296"/>
      <c r="D12" s="1296"/>
      <c r="E12" s="1296"/>
      <c r="F12" s="177">
        <f ca="1">'Inc. Summary'!H208</f>
        <v>0</v>
      </c>
      <c r="H12" s="1363" t="str">
        <f ca="1">IF('Income Data; Do not delete'!A229&gt;=1,CONCATENATE("Non-Matching Loan type or other errors exist 
on ",'Income Data; Do not delete'!A229," worksheet(s): Check the worksheets 
listed on page 2 (to right) for Errors)"),"")</f>
        <v/>
      </c>
      <c r="I12" s="1363"/>
      <c r="J12" s="1363"/>
      <c r="K12" s="1363"/>
      <c r="L12" s="1363"/>
      <c r="M12" s="1363"/>
      <c r="N12" s="1363"/>
      <c r="Q12" s="15" t="s">
        <v>782</v>
      </c>
      <c r="U12" s="484"/>
    </row>
    <row r="13" spans="1:32" ht="15" customHeight="1" x14ac:dyDescent="0.3">
      <c r="A13" s="4"/>
      <c r="B13" s="1305" t="str">
        <f>IF(O70=7,"Cash Flow (Subject Property)","Positive Cash Flow (Subject Property)")</f>
        <v>Positive Cash Flow (Subject Property)</v>
      </c>
      <c r="C13" s="1306"/>
      <c r="D13" s="1306"/>
      <c r="E13" s="1306"/>
      <c r="F13" s="177">
        <f>IF(AND(OR(O70=5,O70=6),H20&gt;0,E29&gt;0),H20,IF(O70=7,H20,IF(O70=3,H20,0)))</f>
        <v>0</v>
      </c>
      <c r="H13" s="1363"/>
      <c r="I13" s="1363"/>
      <c r="J13" s="1363"/>
      <c r="K13" s="1363"/>
      <c r="L13" s="1363"/>
      <c r="M13" s="1363"/>
      <c r="N13" s="1363"/>
      <c r="W13" s="1231" t="str">
        <f ca="1">IF(H12&lt;&gt;"","Worksheets with Errors:  ","")</f>
        <v/>
      </c>
      <c r="X13" s="1231"/>
    </row>
    <row r="14" spans="1:32" ht="15" customHeight="1" thickBot="1" x14ac:dyDescent="0.35">
      <c r="A14" s="4"/>
      <c r="B14" s="1305" t="s">
        <v>584</v>
      </c>
      <c r="C14" s="1306"/>
      <c r="D14" s="1306"/>
      <c r="E14" s="1306"/>
      <c r="F14" s="174">
        <f ca="1">'Inc. Summary'!M110</f>
        <v>0</v>
      </c>
      <c r="H14" s="1363"/>
      <c r="I14" s="1363"/>
      <c r="J14" s="1363"/>
      <c r="K14" s="1363"/>
      <c r="L14" s="1363"/>
      <c r="M14" s="1363"/>
      <c r="N14" s="1363"/>
      <c r="Q14" s="15" t="s">
        <v>882</v>
      </c>
      <c r="U14" s="484"/>
      <c r="W14" s="1344" t="str">
        <f ca="1">IF('Income Data; Do not delete'!A5="E",'Income Data; Do not delete'!B5&amp;CHAR(10),"")&amp;
IF('Income Data; Do not delete'!A6="E",'Income Data; Do not delete'!B6&amp;CHAR(10),"")&amp;
IF('Income Data; Do not delete'!A7="E",'Income Data; Do not delete'!B7&amp;CHAR(10),"")&amp;
IF('Income Data; Do not delete'!A8="E",'Income Data; Do not delete'!B8&amp;CHAR(10),"")&amp;
IF('Income Data; Do not delete'!A15="E",'Income Data; Do not delete'!B15&amp;CHAR(10),"")&amp;
IF('Income Data; Do not delete'!A16="E",'Income Data; Do not delete'!B16&amp;CHAR(10),"")&amp;
IF('Income Data; Do not delete'!A48="E",'Income Data; Do not delete'!B48&amp;CHAR(10),"")&amp;
IF('Income Data; Do not delete'!A49="E",'Income Data; Do not delete'!B49&amp;CHAR(10),"")&amp;
IF('Income Data; Do not delete'!A50="E",'Income Data; Do not delete'!B50&amp;CHAR(10),"")&amp;
IF('Income Data; Do not delete'!A51="E",'Income Data; Do not delete'!B51&amp;CHAR(10),"")&amp;
IF('Income Data; Do not delete'!A56="E",'Income Data; Do not delete'!B56&amp;CHAR(10),"")&amp;
IF('Income Data; Do not delete'!A57="E",'Income Data; Do not delete'!B57&amp;CHAR(10),"")&amp;
IF('Income Data; Do not delete'!A58="E",'Income Data; Do not delete'!B58&amp;CHAR(10),"")&amp;
IF('Income Data; Do not delete'!A59="E",'Income Data; Do not delete'!B59&amp;CHAR(10),"")&amp;
IF('Income Data; Do not delete'!A60="E",'Income Data; Do not delete'!B60&amp;CHAR(10),"")&amp;
IF('Income Data; Do not delete'!A69="E",'Income Data; Do not delete'!B69&amp;CHAR(10),"")&amp;
IF('Income Data; Do not delete'!A70="E",'Income Data; Do not delete'!B70&amp;CHAR(10),"")&amp;
IF('Income Data; Do not delete'!A71="E",'Income Data; Do not delete'!B71&amp;CHAR(10),"")&amp;
IF('Income Data; Do not delete'!A72="E",'Income Data; Do not delete'!B72&amp;CHAR(10),"")&amp;
IF('Income Data; Do not delete'!A73="E",'Income Data; Do not delete'!B73&amp;CHAR(10),"")&amp;
IF('Income Data; Do not delete'!A74="E",'Income Data; Do not delete'!B74&amp;CHAR(10),"")&amp;
IF('Income Data; Do not delete'!A75="E",'Income Data; Do not delete'!B75&amp;CHAR(10),"")&amp;
IF('Income Data; Do not delete'!A76="E",'Income Data; Do not delete'!B76&amp;CHAR(10),"")&amp;
IF('Income Data; Do not delete'!A77="E",'Income Data; Do not delete'!B77&amp;CHAR(10),"")&amp;
IF('Income Data; Do not delete'!A78="E",'Income Data; Do not delete'!B78&amp;CHAR(10),"")&amp;
IF('Income Data; Do not delete'!A79="E",'Income Data; Do not delete'!B79&amp;CHAR(10),"")&amp;
IF('Income Data; Do not delete'!A80="E",'Income Data; Do not delete'!B80&amp;CHAR(10),"")&amp;
IF('Income Data; Do not delete'!A81="E",'Income Data; Do not delete'!B81&amp;CHAR(10),"")&amp;
IF('Income Data; Do not delete'!A82="E",'Income Data; Do not delete'!B82&amp;CHAR(10),"")&amp;
IF('Income Data; Do not delete'!A83="E",'Income Data; Do not delete'!B83&amp;CHAR(10),"")&amp;
IF('Income Data; Do not delete'!A84="E",'Income Data; Do not delete'!B84&amp;CHAR(10),"")&amp;
IF('Income Data; Do not delete'!A85="E",'Income Data; Do not delete'!B85&amp;CHAR(10),"")&amp;
IF('Income Data; Do not delete'!A86="E",'Income Data; Do not delete'!B86&amp;CHAR(10),"")&amp;
IF('Income Data; Do not delete'!A87="E",'Income Data; Do not delete'!B87&amp;CHAR(10),"")&amp;
IF('Income Data; Do not delete'!A88="E",'Income Data; Do not delete'!B88&amp;CHAR(10),"")&amp;
IF('Income Data; Do not delete'!A89="E",'Income Data; Do not delete'!B89&amp;CHAR(10),"")&amp;
IF('Income Data; Do not delete'!A94="E",'Income Data; Do not delete'!B94&amp;CHAR(10),"")&amp;
IF('Income Data; Do not delete'!A99="E",'Income Data; Do not delete'!B99&amp;CHAR(10),"")&amp;
IF('Income Data; Do not delete'!A104="E",'Income Data; Do not delete'!B104&amp;CHAR(10),"")&amp;
IF('Income Data; Do not delete'!A223="E",'Income Data; Do not delete'!B223&amp;CHAR(10),"")&amp;
IF('Income Data; Do not delete'!A219="E",'Income Data; Do not delete'!B219&amp;CHAR(10),"")&amp;
IF('Income Data; Do not delete'!A220="E",'Income Data; Do not delete'!B220&amp;CHAR(10),"")&amp;
IF('Income Data; Do not delete'!A227="E",'Income Data; Do not delete'!B227&amp;CHAR(10),"")</f>
        <v/>
      </c>
      <c r="X14" s="1344"/>
    </row>
    <row r="15" spans="1:32" ht="16.8" customHeight="1" thickBot="1" x14ac:dyDescent="0.35">
      <c r="A15" s="4"/>
      <c r="B15" s="1311" t="s">
        <v>112</v>
      </c>
      <c r="C15" s="1312"/>
      <c r="D15" s="1312"/>
      <c r="E15" s="1312"/>
      <c r="F15" s="810">
        <f ca="1">F9+F10+F11+F12+F13+F14</f>
        <v>0</v>
      </c>
      <c r="G15" s="1361"/>
      <c r="H15" s="1362"/>
      <c r="I15" s="1362"/>
      <c r="J15" s="1362"/>
      <c r="K15" s="1362"/>
      <c r="L15" s="1362"/>
      <c r="M15" s="1362"/>
      <c r="N15" s="1362"/>
      <c r="O15" s="1362"/>
      <c r="P15" s="3"/>
      <c r="R15"/>
      <c r="W15" s="1344"/>
      <c r="X15" s="1344"/>
    </row>
    <row r="16" spans="1:32" ht="16.2" customHeight="1" thickBot="1" x14ac:dyDescent="0.35">
      <c r="B16" s="1241" t="str">
        <f>CONCATENATE("Total Income plus $",'30% of Income Calc.'!O20, " from '30% Income'")</f>
        <v>Total Income plus $0 from '30% Income'</v>
      </c>
      <c r="C16" s="1242"/>
      <c r="D16" s="1242"/>
      <c r="E16" s="1242"/>
      <c r="F16" s="811">
        <f ca="1">IF(AND(ISNUMBER(F17),F17&gt;0),F15+F17,F15)</f>
        <v>0</v>
      </c>
      <c r="G16" s="1243" t="s">
        <v>1105</v>
      </c>
      <c r="H16" s="1244"/>
      <c r="I16" s="1244"/>
      <c r="J16" s="1244"/>
      <c r="K16" s="1244"/>
      <c r="L16" s="1244"/>
      <c r="M16" s="1244"/>
      <c r="N16" s="1244"/>
      <c r="O16" s="1244"/>
      <c r="Q16" s="15" t="s">
        <v>94</v>
      </c>
      <c r="U16" s="484"/>
      <c r="W16" s="1344"/>
      <c r="X16" s="1344"/>
    </row>
    <row r="17" spans="2:24" ht="15" customHeight="1" thickBot="1" x14ac:dyDescent="0.35">
      <c r="B17"/>
      <c r="C17" s="1357" t="s">
        <v>189</v>
      </c>
      <c r="D17" s="1357"/>
      <c r="E17" s="1357"/>
      <c r="F17" s="813">
        <f>'30% of Income Calc.'!O20</f>
        <v>0</v>
      </c>
      <c r="G17" s="169"/>
      <c r="H17" s="169"/>
      <c r="I17" s="730"/>
      <c r="L17" s="1351"/>
      <c r="M17" s="1351"/>
      <c r="N17" s="11"/>
      <c r="O17" s="2"/>
      <c r="W17" s="1344"/>
      <c r="X17" s="1344"/>
    </row>
    <row r="18" spans="2:24" ht="13.2" customHeight="1" x14ac:dyDescent="0.3">
      <c r="B18"/>
      <c r="C18" s="1301" t="s">
        <v>195</v>
      </c>
      <c r="D18" s="1302"/>
      <c r="E18" s="1302"/>
      <c r="F18" s="851" t="str">
        <f>IF(AND(E29&lt;&gt;0,OR(M70="",M70=1,M70=0,N70="",N70=0)),"*Subject Data needed","")</f>
        <v/>
      </c>
      <c r="G18" s="1260" t="str">
        <f>IF(OR(O70=5,O70=3),"Rental Income*",IF(OR(O70=6,O70=7),"Rental Income/Loss*",""))</f>
        <v/>
      </c>
      <c r="H18" s="1260"/>
      <c r="I18" s="1261"/>
      <c r="J18" s="188"/>
      <c r="K18" s="1345" t="str">
        <f>IF(OR(O70=5,O70=6),"*Use the 'Inv. Purchase or Refi' rental income worksheet to determine Net Rental Income.",IF(AND(OR(O70=5,O70=3),H19&lt;0),"*Error, Rental Income should not be negative purchase transaction*","*Use the 'Primary with Rental Income' worksheet to determine the Net Rental income from the non-owner occupied units."))</f>
        <v>*Use the 'Primary with Rental Income' worksheet to determine the Net Rental income from the non-owner occupied units.</v>
      </c>
      <c r="L18" s="1345"/>
      <c r="M18" s="1345"/>
      <c r="N18" s="1345"/>
      <c r="O18" s="1345"/>
      <c r="P18" s="190"/>
      <c r="Q18" s="754" t="s">
        <v>1273</v>
      </c>
      <c r="U18" s="484"/>
      <c r="W18" s="1344"/>
      <c r="X18" s="1344"/>
    </row>
    <row r="19" spans="2:24" ht="13.8" customHeight="1" x14ac:dyDescent="0.3">
      <c r="B19"/>
      <c r="C19" s="1303"/>
      <c r="D19" s="1304"/>
      <c r="E19" s="1304"/>
      <c r="F19" s="737">
        <v>0</v>
      </c>
      <c r="G19" s="173"/>
      <c r="H19" s="736">
        <f>IF(OR(O70=3,O70=7),'Primary with Rent inc.'!K44,IF(OR(O70=5,O70=6),'Inv. Purchase or Refi'!K42,0))</f>
        <v>0</v>
      </c>
      <c r="I19" s="171"/>
      <c r="J19" s="187"/>
      <c r="K19" s="1345"/>
      <c r="L19" s="1345"/>
      <c r="M19" s="1345"/>
      <c r="N19" s="1345"/>
      <c r="O19" s="1345"/>
      <c r="P19" s="190"/>
      <c r="Q19" s="853" t="str">
        <f>IF(AND(J8&lt;&gt;"",J8&lt;&gt;"FHA",J8&lt;&gt;"Conventional",J8&lt;&gt;"VA",J8&lt;&gt;"USDA",J8&lt;&gt;"Other"),"(Not applicable for Loan Type)","")</f>
        <v/>
      </c>
      <c r="W19" s="1344"/>
      <c r="X19" s="1344"/>
    </row>
    <row r="20" spans="2:24" ht="13.2" customHeight="1" thickBot="1" x14ac:dyDescent="0.35">
      <c r="B20"/>
      <c r="C20" s="1299"/>
      <c r="D20" s="1300"/>
      <c r="E20" s="1300"/>
      <c r="F20" s="738">
        <f>IF(OR(O70=1,O70=2,O70=4,O70=6,H19=""),0,H19-(F19*H19))</f>
        <v>0</v>
      </c>
      <c r="G20" s="735"/>
      <c r="H20" s="739">
        <f>IF(O70=3,'Income Data; Do not delete'!F217,IF(O70=5,(E29*-1)+F20,IF(O70=6,(E29*-1)+H19,IF(O70=7,'Income Data; Do not delete'!F217,0))))</f>
        <v>0</v>
      </c>
      <c r="I20" s="172"/>
      <c r="J20" s="187"/>
      <c r="K20" s="1345"/>
      <c r="L20" s="1345"/>
      <c r="M20" s="1345"/>
      <c r="N20" s="1345"/>
      <c r="O20" s="1345"/>
      <c r="P20" s="190"/>
      <c r="Q20" s="15" t="s">
        <v>937</v>
      </c>
      <c r="R20" s="754"/>
      <c r="U20" s="484"/>
      <c r="W20" s="1344"/>
      <c r="X20" s="1344"/>
    </row>
    <row r="21" spans="2:24" ht="14.25" customHeight="1" x14ac:dyDescent="0.3">
      <c r="B21"/>
      <c r="C21" s="1276" t="s">
        <v>881</v>
      </c>
      <c r="D21" s="1277"/>
      <c r="E21" s="180"/>
      <c r="F21" s="1334" t="s">
        <v>847</v>
      </c>
      <c r="G21" s="1335"/>
      <c r="H21" s="1335"/>
      <c r="I21" s="1336"/>
      <c r="L21" s="1318" t="s">
        <v>114</v>
      </c>
      <c r="M21" s="1319"/>
      <c r="N21" s="1320"/>
      <c r="O21" s="2"/>
      <c r="Q21" s="853" t="str">
        <f>IF(AND(J8&lt;&gt;"",J8&lt;&gt;"Conventional",J8&lt;&gt;"Other"),"(Not applicable for Loan Type)","")</f>
        <v/>
      </c>
      <c r="W21" s="1344"/>
      <c r="X21" s="1344"/>
    </row>
    <row r="22" spans="2:24" ht="14.25" customHeight="1" x14ac:dyDescent="0.3">
      <c r="B22"/>
      <c r="C22" s="1267" t="s">
        <v>297</v>
      </c>
      <c r="D22" s="1268"/>
      <c r="E22" s="181"/>
      <c r="F22" s="1254" t="s">
        <v>847</v>
      </c>
      <c r="G22" s="1255"/>
      <c r="H22" s="1255"/>
      <c r="I22" s="1256"/>
      <c r="L22" s="1370" t="str">
        <f>IF(OR(Notes!A8="",Notes!A22="",Notes!A36="",Notes!A50=""),"*Notes Required*",IF(AND(Notes!A8&lt;&gt;"",Notes!A22&lt;&gt;"",Notes!A36&lt;&gt;"",Notes!A50&lt;&gt;"",J8=""),"*Loan Type Required*",IF(I2&lt;&gt;"","*Errors Exist*",IF(OR(O70=2,O70=3,O70=4,O70=5,O70=6,O70=7)*AND(F16&gt;0),E34/F16,0))))</f>
        <v>*Notes Required*</v>
      </c>
      <c r="M22" s="1371"/>
      <c r="N22" s="1372"/>
      <c r="O22" s="2"/>
      <c r="Q22" s="15" t="s">
        <v>1060</v>
      </c>
      <c r="U22" s="484"/>
      <c r="W22" s="1344"/>
      <c r="X22" s="1344"/>
    </row>
    <row r="23" spans="2:24" ht="14.25" customHeight="1" thickBot="1" x14ac:dyDescent="0.35">
      <c r="B23"/>
      <c r="C23" s="1267" t="s">
        <v>181</v>
      </c>
      <c r="D23" s="1268"/>
      <c r="E23" s="181"/>
      <c r="F23" s="1254" t="s">
        <v>847</v>
      </c>
      <c r="G23" s="1255"/>
      <c r="H23" s="1255"/>
      <c r="I23" s="1256"/>
      <c r="L23" s="1373"/>
      <c r="M23" s="1374"/>
      <c r="N23" s="1375"/>
      <c r="O23" s="2"/>
      <c r="R23" s="316"/>
      <c r="W23" s="1344"/>
      <c r="X23" s="1344"/>
    </row>
    <row r="24" spans="2:24" ht="14.25" customHeight="1" thickBot="1" x14ac:dyDescent="0.35">
      <c r="B24"/>
      <c r="C24" s="1267" t="s">
        <v>216</v>
      </c>
      <c r="D24" s="1268"/>
      <c r="E24" s="181"/>
      <c r="F24" s="1254" t="s">
        <v>847</v>
      </c>
      <c r="G24" s="1255"/>
      <c r="H24" s="1255"/>
      <c r="I24" s="1256"/>
      <c r="J24" s="1352" t="str">
        <f ca="1">IF(AND(E43&gt;0,E29=0),"Subject Expense Missing","")</f>
        <v/>
      </c>
      <c r="K24" s="1353"/>
      <c r="L24" s="1353"/>
      <c r="M24" s="1353"/>
      <c r="N24" s="1353"/>
      <c r="O24" s="1353"/>
      <c r="Q24" s="15" t="s">
        <v>1126</v>
      </c>
      <c r="U24" s="484"/>
      <c r="W24" s="1344"/>
      <c r="X24" s="1344"/>
    </row>
    <row r="25" spans="2:24" ht="14.25" customHeight="1" x14ac:dyDescent="0.3">
      <c r="B25"/>
      <c r="C25" s="1267" t="s">
        <v>215</v>
      </c>
      <c r="D25" s="1268"/>
      <c r="E25" s="181"/>
      <c r="F25" s="1254" t="s">
        <v>847</v>
      </c>
      <c r="G25" s="1255"/>
      <c r="H25" s="1255"/>
      <c r="I25" s="1256"/>
      <c r="L25" s="1318" t="s">
        <v>217</v>
      </c>
      <c r="M25" s="1319"/>
      <c r="N25" s="1320"/>
      <c r="O25" s="2"/>
      <c r="Q25" s="853" t="str">
        <f>IF(AND(J8&lt;&gt;"",J8&lt;&gt;"Conventional",J8&lt;&gt;"FHA",J8&lt;&gt;"Other"),"(Not applicable for Loan Type)","")</f>
        <v/>
      </c>
      <c r="W25" s="1344"/>
      <c r="X25" s="1344"/>
    </row>
    <row r="26" spans="2:24" ht="14.25" customHeight="1" x14ac:dyDescent="0.3">
      <c r="B26"/>
      <c r="C26" s="1267" t="s">
        <v>113</v>
      </c>
      <c r="D26" s="1268"/>
      <c r="E26" s="181"/>
      <c r="F26" s="1254" t="s">
        <v>847</v>
      </c>
      <c r="G26" s="1255"/>
      <c r="H26" s="1255"/>
      <c r="I26" s="1256"/>
      <c r="L26" s="1370" t="str">
        <f>IF(OR(Notes!A8="",Notes!A22="",Notes!A36="",Notes!A50=""),"*Notes Required*",IF(AND(Notes!A8&lt;&gt;"",Notes!A22&lt;&gt;"",Notes!A36&lt;&gt;"",Notes!A50&lt;&gt;"",J8=""),"*Loan Type Required*",IF(I2&lt;&gt;"","*Errors Exist*",IF(OR(O70=2,O70=3,O70=4,O70=5,O70=6,O70=7)*AND(F16&gt;0),E43/F16,0))))</f>
        <v>*Notes Required*</v>
      </c>
      <c r="M26" s="1371"/>
      <c r="N26" s="1372"/>
      <c r="O26" s="2"/>
      <c r="Q26" s="15" t="s">
        <v>1083</v>
      </c>
      <c r="U26" s="484"/>
      <c r="W26" s="1344"/>
      <c r="X26" s="1344"/>
    </row>
    <row r="27" spans="2:24" ht="14.25" customHeight="1" thickBot="1" x14ac:dyDescent="0.35">
      <c r="B27"/>
      <c r="C27" s="1346" t="s">
        <v>198</v>
      </c>
      <c r="D27" s="1347"/>
      <c r="E27" s="181"/>
      <c r="F27" s="1257" t="s">
        <v>847</v>
      </c>
      <c r="G27" s="1258"/>
      <c r="H27" s="1258"/>
      <c r="I27" s="1259"/>
      <c r="L27" s="1373"/>
      <c r="M27" s="1374"/>
      <c r="N27" s="1375"/>
      <c r="O27" s="2"/>
      <c r="Q27" s="853" t="str">
        <f>IF(AND(J8&lt;&gt;"",J8&lt;&gt;"Conventional",J8&lt;&gt;"Other"),"(Not applicable for Loan Type)","")</f>
        <v/>
      </c>
      <c r="R27" s="316"/>
      <c r="W27" s="1344"/>
      <c r="X27" s="1344"/>
    </row>
    <row r="28" spans="2:24" ht="14.25" customHeight="1" thickBot="1" x14ac:dyDescent="0.35">
      <c r="B28"/>
      <c r="C28" s="1332" t="s">
        <v>199</v>
      </c>
      <c r="D28" s="1333"/>
      <c r="E28" s="183"/>
      <c r="F28" s="1348" t="s">
        <v>847</v>
      </c>
      <c r="G28" s="1349"/>
      <c r="H28" s="1349"/>
      <c r="I28" s="1350"/>
      <c r="L28" s="1383" t="str">
        <f>IF(L22="*Loan Type Required*","*The Loan Type must be selected in the first section of this worksheet for the Ratios to calculate above.",IF(L22="*Errors Exist*","Non-Matching Loan type or other errors exist on worksheets: Check all worksheets for errors",IF(L22="*Notes Required*","*All 4 notes sections on the 'Notes' tab/wkst must contain notes about this loan for the Ratios to calculate above.","")))</f>
        <v>*All 4 notes sections on the 'Notes' tab/wkst must contain notes about this loan for the Ratios to calculate above.</v>
      </c>
      <c r="M28" s="1383"/>
      <c r="N28" s="1383"/>
      <c r="O28" s="2"/>
      <c r="Q28" s="15" t="s">
        <v>1149</v>
      </c>
      <c r="U28" s="484"/>
      <c r="W28" s="1344"/>
      <c r="X28" s="1344"/>
    </row>
    <row r="29" spans="2:24" ht="15" customHeight="1" thickBot="1" x14ac:dyDescent="0.35">
      <c r="B29"/>
      <c r="C29" s="1330" t="s">
        <v>185</v>
      </c>
      <c r="D29" s="1331"/>
      <c r="E29" s="182">
        <f>E21+E22+E23+E24+E25+E26+E27+E28</f>
        <v>0</v>
      </c>
      <c r="F29" s="1316"/>
      <c r="G29" s="1317"/>
      <c r="H29" s="1317"/>
      <c r="I29" s="1317"/>
      <c r="J29" s="831"/>
      <c r="K29" s="831"/>
      <c r="L29" s="1384"/>
      <c r="M29" s="1384"/>
      <c r="N29" s="1384"/>
      <c r="O29" s="2"/>
      <c r="W29" s="1344"/>
      <c r="X29" s="1344"/>
    </row>
    <row r="30" spans="2:24" ht="14.4" customHeight="1" x14ac:dyDescent="0.3">
      <c r="B30" s="1377"/>
      <c r="C30" s="1377"/>
      <c r="D30" s="1377"/>
      <c r="E30" s="1377"/>
      <c r="F30" s="1377"/>
      <c r="G30" s="1377"/>
      <c r="H30" s="1377"/>
      <c r="L30" s="1384"/>
      <c r="M30" s="1384"/>
      <c r="N30" s="1384"/>
      <c r="O30" s="2"/>
      <c r="Q30" s="15" t="s">
        <v>1355</v>
      </c>
      <c r="U30" s="484"/>
      <c r="W30" s="1344"/>
      <c r="X30" s="1344"/>
    </row>
    <row r="31" spans="2:24" ht="15.75" customHeight="1" thickBot="1" x14ac:dyDescent="0.35">
      <c r="B31" s="1378" t="s">
        <v>188</v>
      </c>
      <c r="C31" s="1378"/>
      <c r="D31" s="1378"/>
      <c r="E31" s="1378"/>
      <c r="F31" s="167"/>
      <c r="G31" s="167"/>
      <c r="H31" s="167"/>
      <c r="L31" s="1384"/>
      <c r="M31" s="1384"/>
      <c r="N31" s="1384"/>
      <c r="O31" s="2"/>
      <c r="Q31" s="853" t="str">
        <f>IF(AND(J8&lt;&gt;"",J8&lt;&gt;"Conventional",J8&lt;&gt;"Other"),"(Not applicable for Loan Type)","")</f>
        <v/>
      </c>
      <c r="W31" s="1344"/>
      <c r="X31" s="1344"/>
    </row>
    <row r="32" spans="2:24" ht="15" customHeight="1" x14ac:dyDescent="0.3">
      <c r="B32" s="1307" t="s">
        <v>192</v>
      </c>
      <c r="C32" s="1308"/>
      <c r="D32" s="1308"/>
      <c r="E32" s="175">
        <f>IF(OR(O70=2,O70=3,O70=7),E29,0)</f>
        <v>0</v>
      </c>
      <c r="F32" s="167"/>
      <c r="G32" s="167"/>
      <c r="H32" s="167"/>
      <c r="L32" s="1384"/>
      <c r="M32" s="1384"/>
      <c r="N32" s="1384"/>
      <c r="O32" s="2"/>
      <c r="Q32" s="15" t="s">
        <v>783</v>
      </c>
      <c r="U32" s="479"/>
      <c r="W32" s="1344"/>
      <c r="X32" s="1344"/>
    </row>
    <row r="33" spans="1:26" ht="15" customHeight="1" thickBot="1" x14ac:dyDescent="0.35">
      <c r="B33" s="1380" t="s">
        <v>193</v>
      </c>
      <c r="C33" s="1381"/>
      <c r="D33" s="1381"/>
      <c r="E33" s="236">
        <f ca="1">'Income Data; Do not delete'!F162*(-1)</f>
        <v>0</v>
      </c>
      <c r="F33" s="1313" t="s">
        <v>1361</v>
      </c>
      <c r="G33" s="1314"/>
      <c r="H33" s="1314"/>
      <c r="I33" s="1314"/>
      <c r="J33" s="1314"/>
      <c r="K33" s="1314"/>
      <c r="L33" s="1314"/>
      <c r="M33" s="1314"/>
      <c r="N33" s="1314"/>
      <c r="O33" s="1314"/>
      <c r="P33" s="1314"/>
      <c r="R33" s="75"/>
      <c r="S33" s="75"/>
      <c r="T33" s="75"/>
      <c r="V33" s="75"/>
      <c r="W33" s="1344"/>
      <c r="X33" s="1344"/>
      <c r="Y33" s="75"/>
      <c r="Z33" s="75"/>
    </row>
    <row r="34" spans="1:26" ht="16.5" customHeight="1" thickBot="1" x14ac:dyDescent="0.35">
      <c r="B34" s="1328" t="s">
        <v>190</v>
      </c>
      <c r="C34" s="1329"/>
      <c r="D34" s="1329"/>
      <c r="E34" s="63">
        <f ca="1">E32+E33</f>
        <v>0</v>
      </c>
      <c r="F34" s="1315"/>
      <c r="G34" s="1314"/>
      <c r="H34" s="1314"/>
      <c r="I34" s="1314"/>
      <c r="J34" s="1314"/>
      <c r="K34" s="1314"/>
      <c r="L34" s="1314"/>
      <c r="M34" s="1314"/>
      <c r="N34" s="1314"/>
      <c r="O34" s="1314"/>
      <c r="P34" s="1314"/>
      <c r="Q34" s="15" t="s">
        <v>1221</v>
      </c>
      <c r="R34" s="75"/>
      <c r="S34" s="75"/>
      <c r="T34" s="75"/>
      <c r="U34" s="479"/>
      <c r="V34" s="75"/>
      <c r="W34" s="1344"/>
      <c r="X34" s="1344"/>
      <c r="Y34" s="75"/>
      <c r="Z34" s="75"/>
    </row>
    <row r="35" spans="1:26" ht="10.5" customHeight="1" x14ac:dyDescent="0.3">
      <c r="B35" s="168"/>
      <c r="C35" s="168"/>
      <c r="D35" s="168"/>
      <c r="E35" s="6"/>
      <c r="F35" s="167"/>
      <c r="G35" s="167"/>
      <c r="H35" s="167"/>
      <c r="L35" s="14"/>
      <c r="M35" s="14"/>
      <c r="N35" s="11"/>
      <c r="O35" s="2"/>
      <c r="Q35" s="1292" t="s">
        <v>870</v>
      </c>
      <c r="R35" s="1292"/>
      <c r="S35" s="1292"/>
      <c r="T35" s="1292"/>
      <c r="U35" s="1292"/>
      <c r="V35" s="1292"/>
      <c r="W35" s="1292"/>
      <c r="X35" s="1292"/>
      <c r="Y35" s="1292"/>
      <c r="Z35" s="1292"/>
    </row>
    <row r="36" spans="1:26" ht="15.75" customHeight="1" thickBot="1" x14ac:dyDescent="0.35">
      <c r="B36" s="1378" t="s">
        <v>187</v>
      </c>
      <c r="C36" s="1378"/>
      <c r="D36" s="1378"/>
      <c r="E36" s="1378"/>
      <c r="F36" s="1341"/>
      <c r="G36" s="1341"/>
      <c r="H36" s="1341"/>
      <c r="I36" s="1341"/>
      <c r="J36" s="1341"/>
      <c r="K36" s="1341"/>
      <c r="L36" s="1341"/>
      <c r="M36" s="1341"/>
      <c r="N36" s="1341"/>
      <c r="O36" s="1341"/>
      <c r="P36" s="1341"/>
      <c r="Q36" s="1292"/>
      <c r="R36" s="1292"/>
      <c r="S36" s="1292"/>
      <c r="T36" s="1292"/>
      <c r="U36" s="1292"/>
      <c r="V36" s="1292"/>
      <c r="W36" s="1292"/>
      <c r="X36" s="1292"/>
      <c r="Y36" s="1292"/>
      <c r="Z36" s="1292"/>
    </row>
    <row r="37" spans="1:26" ht="15.75" customHeight="1" x14ac:dyDescent="0.3">
      <c r="B37" s="1307" t="s">
        <v>191</v>
      </c>
      <c r="C37" s="1308"/>
      <c r="D37" s="1308"/>
      <c r="E37" s="175">
        <f ca="1">IF(AND(J8="VA",'Income Data; Do not delete'!F109&lt;0),'Income Data; Do not delete'!F109*-1,
IF(AND(J8&lt;&gt;"VA",'Inc. Summary'!H108&lt;0),'Inc. Summary'!M108*-1,0))</f>
        <v>0</v>
      </c>
      <c r="F37" s="1309" t="s">
        <v>1360</v>
      </c>
      <c r="G37" s="1310"/>
      <c r="H37" s="1310"/>
      <c r="I37" s="1310"/>
      <c r="J37" s="1310"/>
      <c r="K37" s="1310"/>
      <c r="L37" s="1310"/>
      <c r="M37" s="1310"/>
      <c r="N37" s="1310"/>
      <c r="O37" s="1310"/>
      <c r="P37" s="1310"/>
      <c r="Q37" s="1292"/>
      <c r="R37" s="1292"/>
      <c r="S37" s="1292"/>
      <c r="T37" s="1292"/>
      <c r="U37" s="1292"/>
      <c r="V37" s="1292"/>
      <c r="W37" s="1292"/>
      <c r="X37" s="1292"/>
      <c r="Y37" s="1292"/>
      <c r="Z37" s="1292"/>
    </row>
    <row r="38" spans="1:26" ht="15" customHeight="1" x14ac:dyDescent="0.3">
      <c r="A38" s="4"/>
      <c r="B38" s="1295" t="s">
        <v>186</v>
      </c>
      <c r="C38" s="1296"/>
      <c r="D38" s="1296"/>
      <c r="E38" s="854">
        <f>IF(O70=4,E29,IF(AND(OR(O70=5,O70=6)*H20&lt;0),H20*-1,0))</f>
        <v>0</v>
      </c>
      <c r="F38" s="1382" t="s">
        <v>1377</v>
      </c>
      <c r="G38" s="1382"/>
      <c r="H38" s="1382"/>
      <c r="I38" s="1382"/>
      <c r="J38" s="1382"/>
      <c r="K38" s="1382"/>
      <c r="L38" s="1382"/>
      <c r="M38" s="1382"/>
      <c r="N38" s="1382"/>
      <c r="O38" s="1382"/>
      <c r="P38" s="1382"/>
      <c r="Q38" s="15" t="s">
        <v>398</v>
      </c>
      <c r="U38" s="478"/>
    </row>
    <row r="39" spans="1:26" ht="15" customHeight="1" x14ac:dyDescent="0.3">
      <c r="A39" s="4"/>
      <c r="B39" s="1342" t="s">
        <v>878</v>
      </c>
      <c r="C39" s="1343"/>
      <c r="D39" s="1343"/>
      <c r="E39" s="237">
        <f ca="1">'Income Data; Do not delete'!F134*(-1)</f>
        <v>0</v>
      </c>
      <c r="F39" s="1382"/>
      <c r="G39" s="1382"/>
      <c r="H39" s="1382"/>
      <c r="I39" s="1382"/>
      <c r="J39" s="1382"/>
      <c r="K39" s="1382"/>
      <c r="L39" s="1382"/>
      <c r="M39" s="1382"/>
      <c r="N39" s="1382"/>
      <c r="O39" s="1382"/>
      <c r="P39" s="1382"/>
      <c r="Q39" s="757"/>
      <c r="R39" s="1191"/>
      <c r="U39" t="s">
        <v>849</v>
      </c>
    </row>
    <row r="40" spans="1:26" ht="15" customHeight="1" thickBot="1" x14ac:dyDescent="0.35">
      <c r="A40" s="4"/>
      <c r="B40" s="1337" t="s">
        <v>211</v>
      </c>
      <c r="C40" s="1338"/>
      <c r="D40" s="1338"/>
      <c r="E40" s="189"/>
      <c r="F40" s="1382"/>
      <c r="G40" s="1382"/>
      <c r="H40" s="1382"/>
      <c r="I40" s="1382"/>
      <c r="J40" s="1382"/>
      <c r="K40" s="1382"/>
      <c r="L40" s="1382"/>
      <c r="M40" s="1382"/>
      <c r="N40" s="1382"/>
      <c r="O40" s="1382"/>
      <c r="P40" s="1382"/>
      <c r="Q40" s="15">
        <v>1065</v>
      </c>
      <c r="U40" s="478"/>
    </row>
    <row r="41" spans="1:26" ht="16.5" customHeight="1" thickBot="1" x14ac:dyDescent="0.35">
      <c r="B41" s="1282" t="s">
        <v>115</v>
      </c>
      <c r="C41" s="1283"/>
      <c r="D41" s="1284"/>
      <c r="E41" s="63">
        <f ca="1">E37+E38+E39+E40</f>
        <v>0</v>
      </c>
      <c r="F41" s="1382"/>
      <c r="G41" s="1382"/>
      <c r="H41" s="1382"/>
      <c r="I41" s="1382"/>
      <c r="J41" s="1382"/>
      <c r="K41" s="1382"/>
      <c r="L41" s="1382"/>
      <c r="M41" s="1382"/>
      <c r="N41" s="1382"/>
      <c r="O41" s="1382"/>
      <c r="P41" s="1382"/>
    </row>
    <row r="42" spans="1:26" ht="16.2" customHeight="1" thickBot="1" x14ac:dyDescent="0.35">
      <c r="B42" s="4"/>
      <c r="C42" s="2"/>
      <c r="D42" s="2"/>
      <c r="E42" s="2"/>
      <c r="F42" s="1382"/>
      <c r="G42" s="1382"/>
      <c r="H42" s="1382"/>
      <c r="I42" s="1382"/>
      <c r="J42" s="1382"/>
      <c r="K42" s="1382"/>
      <c r="L42" s="1382"/>
      <c r="M42" s="1382"/>
      <c r="N42" s="1382"/>
      <c r="O42" s="1382"/>
      <c r="P42" s="1382"/>
      <c r="Q42" s="15" t="s">
        <v>407</v>
      </c>
      <c r="U42" s="478"/>
    </row>
    <row r="43" spans="1:26" ht="18" customHeight="1" thickBot="1" x14ac:dyDescent="0.35">
      <c r="B43" s="1278" t="s">
        <v>116</v>
      </c>
      <c r="C43" s="1279"/>
      <c r="D43" s="1280"/>
      <c r="E43" s="64">
        <f ca="1">E34+E41</f>
        <v>0</v>
      </c>
      <c r="F43" s="1382"/>
      <c r="G43" s="1382"/>
      <c r="H43" s="1382"/>
      <c r="I43" s="1382"/>
      <c r="J43" s="1382"/>
      <c r="K43" s="1382"/>
      <c r="L43" s="1382"/>
      <c r="M43" s="1382"/>
      <c r="N43" s="1382"/>
      <c r="O43" s="1382"/>
      <c r="P43" s="1382"/>
    </row>
    <row r="44" spans="1:26" ht="15.6" customHeight="1" thickBot="1" x14ac:dyDescent="0.35">
      <c r="B44" s="4"/>
      <c r="C44" s="2"/>
      <c r="D44" s="2"/>
      <c r="E44" s="2"/>
      <c r="F44" s="2"/>
      <c r="H44" s="57" t="s">
        <v>117</v>
      </c>
      <c r="L44" s="1281" t="s">
        <v>118</v>
      </c>
      <c r="M44" s="1281"/>
      <c r="N44" s="1281"/>
      <c r="O44" s="2"/>
      <c r="Q44" s="15">
        <v>1120</v>
      </c>
      <c r="U44" s="478"/>
    </row>
    <row r="45" spans="1:26" ht="16.5" customHeight="1" thickBot="1" x14ac:dyDescent="0.35">
      <c r="B45" s="1330" t="s">
        <v>194</v>
      </c>
      <c r="C45" s="1339"/>
      <c r="D45" s="1339"/>
      <c r="E45" s="1339"/>
      <c r="F45" s="1340"/>
      <c r="G45" s="919">
        <f ca="1">TODAY()</f>
        <v>46050</v>
      </c>
      <c r="H45" s="1326"/>
      <c r="I45" s="1327"/>
      <c r="J45" s="919" t="str">
        <f>IF(H45="","",H45+120)</f>
        <v/>
      </c>
      <c r="K45" s="919" t="str">
        <f>IF(L45="","",L45+120)</f>
        <v/>
      </c>
      <c r="L45" s="1326"/>
      <c r="M45" s="1355"/>
      <c r="N45" s="1327"/>
    </row>
    <row r="46" spans="1:26" ht="14.4" customHeight="1" x14ac:dyDescent="0.3">
      <c r="B46" s="1379" t="s">
        <v>1223</v>
      </c>
      <c r="C46" s="1379"/>
      <c r="D46" s="1379"/>
      <c r="E46" s="1379"/>
      <c r="F46" s="1379"/>
      <c r="G46" s="1379"/>
      <c r="H46" s="1379"/>
      <c r="I46" s="1379"/>
      <c r="J46" s="1379"/>
      <c r="K46" s="1379"/>
      <c r="L46" s="1379"/>
      <c r="M46" s="1379"/>
      <c r="N46" s="1379"/>
      <c r="O46" s="2"/>
      <c r="Q46" s="15" t="s">
        <v>409</v>
      </c>
      <c r="U46" s="478"/>
    </row>
    <row r="47" spans="1:26" ht="15" customHeight="1" thickBot="1" x14ac:dyDescent="0.35">
      <c r="B47" s="1250" t="s">
        <v>119</v>
      </c>
      <c r="C47" s="1250"/>
      <c r="D47" s="1250"/>
      <c r="E47" s="1250"/>
      <c r="F47" s="65" t="s">
        <v>120</v>
      </c>
      <c r="G47" s="1251" t="s">
        <v>204</v>
      </c>
      <c r="H47" s="1252"/>
      <c r="I47" s="1252"/>
      <c r="J47" s="1252"/>
      <c r="K47" s="1252"/>
      <c r="L47" s="1252"/>
      <c r="M47" s="1252"/>
      <c r="N47" s="1253"/>
      <c r="O47" s="2"/>
      <c r="Q47" s="1292" t="s">
        <v>851</v>
      </c>
      <c r="R47" s="1292"/>
      <c r="S47" s="1292"/>
      <c r="T47" s="1292"/>
      <c r="U47" s="1292"/>
      <c r="V47" s="1292"/>
      <c r="W47" s="1292"/>
      <c r="X47" s="1292"/>
      <c r="Y47" s="1292"/>
      <c r="Z47" s="1292"/>
    </row>
    <row r="48" spans="1:26" ht="15" customHeight="1" x14ac:dyDescent="0.3">
      <c r="B48" s="1265" t="s">
        <v>847</v>
      </c>
      <c r="C48" s="1266"/>
      <c r="D48" s="1266"/>
      <c r="E48" s="1266"/>
      <c r="F48" s="179"/>
      <c r="G48" s="1285"/>
      <c r="H48" s="1286"/>
      <c r="I48" s="1286"/>
      <c r="J48" s="1286"/>
      <c r="K48" s="1286"/>
      <c r="L48" s="1286"/>
      <c r="M48" s="1286"/>
      <c r="N48" s="1287"/>
      <c r="O48" s="2"/>
      <c r="Q48" s="1292"/>
      <c r="R48" s="1292"/>
      <c r="S48" s="1292"/>
      <c r="T48" s="1292"/>
      <c r="U48" s="1292"/>
      <c r="V48" s="1292"/>
      <c r="W48" s="1292"/>
      <c r="X48" s="1292"/>
      <c r="Y48" s="1292"/>
      <c r="Z48" s="1292"/>
    </row>
    <row r="49" spans="1:26" ht="15" customHeight="1" x14ac:dyDescent="0.3">
      <c r="B49" s="1232" t="s">
        <v>847</v>
      </c>
      <c r="C49" s="1233"/>
      <c r="D49" s="1233"/>
      <c r="E49" s="1233"/>
      <c r="F49" s="60"/>
      <c r="G49" s="1271" t="s">
        <v>847</v>
      </c>
      <c r="H49" s="1233"/>
      <c r="I49" s="1233"/>
      <c r="J49" s="1233"/>
      <c r="K49" s="1233"/>
      <c r="L49" s="1233"/>
      <c r="M49" s="1233"/>
      <c r="N49" s="1354"/>
      <c r="Q49" s="1292"/>
      <c r="R49" s="1292"/>
      <c r="S49" s="1292"/>
      <c r="T49" s="1292"/>
      <c r="U49" s="1292"/>
      <c r="V49" s="1292"/>
      <c r="W49" s="1292"/>
      <c r="X49" s="1292"/>
      <c r="Y49" s="1292"/>
      <c r="Z49" s="1292"/>
    </row>
    <row r="50" spans="1:26" ht="15" customHeight="1" x14ac:dyDescent="0.3">
      <c r="B50" s="1232" t="s">
        <v>847</v>
      </c>
      <c r="C50" s="1233"/>
      <c r="D50" s="1233"/>
      <c r="E50" s="1233"/>
      <c r="F50" s="60"/>
      <c r="G50" s="1271" t="s">
        <v>847</v>
      </c>
      <c r="H50" s="1233"/>
      <c r="I50" s="1233"/>
      <c r="J50" s="1233"/>
      <c r="K50" s="1233"/>
      <c r="L50" s="1233"/>
      <c r="M50" s="1233"/>
      <c r="N50" s="1354"/>
      <c r="O50" s="2"/>
      <c r="Q50" s="15" t="s">
        <v>1055</v>
      </c>
      <c r="U50" s="480"/>
    </row>
    <row r="51" spans="1:26" ht="15" customHeight="1" x14ac:dyDescent="0.3">
      <c r="B51" s="1232" t="s">
        <v>847</v>
      </c>
      <c r="C51" s="1233"/>
      <c r="D51" s="1233"/>
      <c r="E51" s="1233"/>
      <c r="F51" s="60"/>
      <c r="G51" s="1236"/>
      <c r="H51" s="1237"/>
      <c r="I51" s="1237"/>
      <c r="J51" s="1237"/>
      <c r="K51" s="1237"/>
      <c r="L51" s="1237"/>
      <c r="M51" s="1237"/>
      <c r="N51" s="1238"/>
      <c r="O51" s="2"/>
      <c r="Q51" s="853" t="str">
        <f>IF(AND(J8&lt;&gt;"",J8&lt;&gt;"Conventional",J8&lt;&gt;"Other"),"(Not applicable for Loan Type)","")</f>
        <v/>
      </c>
    </row>
    <row r="52" spans="1:26" ht="15" customHeight="1" thickBot="1" x14ac:dyDescent="0.35">
      <c r="B52" s="1239" t="s">
        <v>847</v>
      </c>
      <c r="C52" s="1240"/>
      <c r="D52" s="1240"/>
      <c r="E52" s="1240"/>
      <c r="F52" s="62"/>
      <c r="G52" s="1262"/>
      <c r="H52" s="1263"/>
      <c r="I52" s="1263"/>
      <c r="J52" s="1263"/>
      <c r="K52" s="1263"/>
      <c r="L52" s="1263"/>
      <c r="M52" s="1263"/>
      <c r="N52" s="1264"/>
      <c r="O52" s="2"/>
      <c r="Q52" s="15" t="s">
        <v>1296</v>
      </c>
      <c r="U52" s="480"/>
    </row>
    <row r="53" spans="1:26" ht="9" customHeight="1" x14ac:dyDescent="0.3">
      <c r="A53" s="1245"/>
      <c r="B53" s="1245"/>
      <c r="C53" s="1245"/>
      <c r="D53" s="1245"/>
      <c r="E53" s="1245"/>
      <c r="F53" s="1245"/>
      <c r="G53" s="1245"/>
      <c r="H53" s="1245"/>
      <c r="I53" s="1245"/>
      <c r="J53" s="1245"/>
      <c r="K53" s="1245"/>
      <c r="L53" s="1245"/>
      <c r="M53" s="1245"/>
      <c r="N53" s="1245"/>
      <c r="O53" s="1245"/>
      <c r="P53" s="1245"/>
      <c r="Q53" s="1293" t="s">
        <v>850</v>
      </c>
      <c r="R53" s="1293"/>
      <c r="S53" s="1293"/>
      <c r="T53" s="1293"/>
      <c r="U53" s="1293"/>
      <c r="V53" s="1293"/>
      <c r="W53" s="1293"/>
      <c r="X53" s="1293"/>
      <c r="Y53" s="1293"/>
      <c r="Z53" s="1293"/>
    </row>
    <row r="54" spans="1:26" ht="15" customHeight="1" thickBot="1" x14ac:dyDescent="0.35">
      <c r="B54" s="1246" t="s">
        <v>121</v>
      </c>
      <c r="C54" s="1246"/>
      <c r="D54" s="1246"/>
      <c r="E54" s="1246"/>
      <c r="F54" s="12" t="s">
        <v>120</v>
      </c>
      <c r="G54" s="1247" t="s">
        <v>204</v>
      </c>
      <c r="H54" s="1248"/>
      <c r="I54" s="1248"/>
      <c r="J54" s="1248"/>
      <c r="K54" s="1248"/>
      <c r="L54" s="1248"/>
      <c r="M54" s="1248"/>
      <c r="N54" s="1249"/>
      <c r="O54" s="2"/>
      <c r="Q54" s="1293"/>
      <c r="R54" s="1293"/>
      <c r="S54" s="1293"/>
      <c r="T54" s="1293"/>
      <c r="U54" s="1293"/>
      <c r="V54" s="1293"/>
      <c r="W54" s="1293"/>
      <c r="X54" s="1293"/>
      <c r="Y54" s="1293"/>
      <c r="Z54" s="1293"/>
    </row>
    <row r="55" spans="1:26" ht="15" customHeight="1" x14ac:dyDescent="0.3">
      <c r="B55" s="1288" t="s">
        <v>847</v>
      </c>
      <c r="C55" s="1289"/>
      <c r="D55" s="1289"/>
      <c r="E55" s="1290"/>
      <c r="F55" s="179"/>
      <c r="G55" s="1274"/>
      <c r="H55" s="1274"/>
      <c r="I55" s="1274"/>
      <c r="J55" s="1274"/>
      <c r="K55" s="1274"/>
      <c r="L55" s="1274"/>
      <c r="M55" s="1274"/>
      <c r="N55" s="1275"/>
      <c r="O55" s="2"/>
      <c r="Q55" s="1293"/>
      <c r="R55" s="1293"/>
      <c r="S55" s="1293"/>
      <c r="T55" s="1293"/>
      <c r="U55" s="1293"/>
      <c r="V55" s="1293"/>
      <c r="W55" s="1293"/>
      <c r="X55" s="1293"/>
      <c r="Y55" s="1293"/>
      <c r="Z55" s="1293"/>
    </row>
    <row r="56" spans="1:26" ht="15" customHeight="1" x14ac:dyDescent="0.3">
      <c r="B56" s="1269" t="s">
        <v>847</v>
      </c>
      <c r="C56" s="1270"/>
      <c r="D56" s="1270"/>
      <c r="E56" s="1271"/>
      <c r="F56" s="60"/>
      <c r="G56" s="1272"/>
      <c r="H56" s="1272"/>
      <c r="I56" s="1272"/>
      <c r="J56" s="1272"/>
      <c r="K56" s="1272"/>
      <c r="L56" s="1272"/>
      <c r="M56" s="1272"/>
      <c r="N56" s="1273"/>
      <c r="O56" s="2"/>
      <c r="Q56" s="15" t="s">
        <v>833</v>
      </c>
      <c r="U56" s="476"/>
      <c r="W56" s="15" t="s">
        <v>785</v>
      </c>
      <c r="Y56" s="477"/>
    </row>
    <row r="57" spans="1:26" ht="15.6" customHeight="1" x14ac:dyDescent="0.3">
      <c r="B57" s="1269" t="s">
        <v>847</v>
      </c>
      <c r="C57" s="1270"/>
      <c r="D57" s="1270"/>
      <c r="E57" s="1271"/>
      <c r="F57" s="60"/>
      <c r="G57" s="1272"/>
      <c r="H57" s="1272"/>
      <c r="I57" s="1272"/>
      <c r="J57" s="1272"/>
      <c r="K57" s="1272"/>
      <c r="L57" s="1272"/>
      <c r="M57" s="1272"/>
      <c r="N57" s="1273"/>
      <c r="O57" s="2"/>
      <c r="Q57" s="853" t="str">
        <f>IF(AND(J8&lt;&gt;"",J8&lt;&gt;"FHA",J8&lt;&gt;"VA",J8&lt;&gt;"Other"),"(Not applicable for Loan Type)","")</f>
        <v/>
      </c>
    </row>
    <row r="58" spans="1:26" ht="15" customHeight="1" x14ac:dyDescent="0.3">
      <c r="B58" s="1269" t="s">
        <v>847</v>
      </c>
      <c r="C58" s="1270"/>
      <c r="D58" s="1270"/>
      <c r="E58" s="1271"/>
      <c r="F58" s="60"/>
      <c r="G58" s="1272"/>
      <c r="H58" s="1272"/>
      <c r="I58" s="1272"/>
      <c r="J58" s="1272"/>
      <c r="K58" s="1272"/>
      <c r="L58" s="1272"/>
      <c r="M58" s="1272"/>
      <c r="N58" s="1273"/>
      <c r="O58" s="2"/>
      <c r="Q58" s="15" t="s">
        <v>784</v>
      </c>
      <c r="U58" s="476"/>
      <c r="W58" s="530" t="s">
        <v>786</v>
      </c>
      <c r="Y58" s="477"/>
    </row>
    <row r="59" spans="1:26" ht="15" customHeight="1" x14ac:dyDescent="0.3">
      <c r="B59" s="1269" t="s">
        <v>847</v>
      </c>
      <c r="C59" s="1270"/>
      <c r="D59" s="1270"/>
      <c r="E59" s="1271"/>
      <c r="F59" s="60"/>
      <c r="G59" s="1272"/>
      <c r="H59" s="1272"/>
      <c r="I59" s="1272"/>
      <c r="J59" s="1272"/>
      <c r="K59" s="1272"/>
      <c r="L59" s="1272"/>
      <c r="M59" s="1272"/>
      <c r="N59" s="1273"/>
      <c r="O59" s="2"/>
      <c r="Q59" s="853"/>
      <c r="W59" s="421"/>
    </row>
    <row r="60" spans="1:26" ht="16.5" customHeight="1" thickBot="1" x14ac:dyDescent="0.35">
      <c r="B60" s="1328" t="s">
        <v>122</v>
      </c>
      <c r="C60" s="1329"/>
      <c r="D60" s="1329"/>
      <c r="E60" s="1329"/>
      <c r="F60" s="178">
        <f>F55+F56+F57+F58+F59</f>
        <v>0</v>
      </c>
      <c r="Q60" s="15" t="s">
        <v>787</v>
      </c>
      <c r="U60" s="476"/>
    </row>
    <row r="61" spans="1:26" ht="2.4" customHeight="1" x14ac:dyDescent="0.3">
      <c r="B61" s="29"/>
      <c r="C61" s="29"/>
      <c r="D61" s="29"/>
      <c r="E61" s="29"/>
      <c r="F61" s="6"/>
    </row>
    <row r="62" spans="1:26" ht="15.75" customHeight="1" x14ac:dyDescent="0.3">
      <c r="A62" s="1324" t="s">
        <v>1073</v>
      </c>
      <c r="B62" s="1324"/>
      <c r="C62" s="1324"/>
      <c r="D62" s="1324"/>
    </row>
    <row r="63" spans="1:26" ht="15.75" customHeight="1" x14ac:dyDescent="0.3">
      <c r="A63" s="1325"/>
      <c r="B63" s="1325"/>
      <c r="C63" s="1325"/>
      <c r="D63" s="1325"/>
      <c r="E63" s="1325"/>
      <c r="F63" s="1325"/>
      <c r="G63" s="1325"/>
      <c r="H63" s="1325"/>
      <c r="I63" s="1325"/>
      <c r="J63" s="1325"/>
      <c r="K63" s="1325"/>
      <c r="L63" s="1325"/>
      <c r="M63" s="1325"/>
      <c r="N63" s="1325"/>
      <c r="O63" s="1325"/>
      <c r="P63" s="1325"/>
      <c r="Q63" s="15" t="s">
        <v>588</v>
      </c>
      <c r="U63" s="476"/>
    </row>
    <row r="64" spans="1:26" ht="15.75" customHeight="1" x14ac:dyDescent="0.3">
      <c r="A64" s="1325"/>
      <c r="B64" s="1325"/>
      <c r="C64" s="1325"/>
      <c r="D64" s="1325"/>
      <c r="E64" s="1325"/>
      <c r="F64" s="1325"/>
      <c r="G64" s="1325"/>
      <c r="H64" s="1325"/>
      <c r="I64" s="1325"/>
      <c r="J64" s="1325"/>
      <c r="K64" s="1325"/>
      <c r="L64" s="1325"/>
      <c r="M64" s="1325"/>
      <c r="N64" s="1325"/>
      <c r="O64" s="1325"/>
      <c r="P64" s="1325"/>
      <c r="Q64" s="853" t="str">
        <f>IF(AND(J8&lt;&gt;"",J8&lt;&gt;"Conventional",J8&lt;&gt;"Other"),"(Not applicable for Loan Type)","")</f>
        <v/>
      </c>
    </row>
    <row r="65" spans="1:22" ht="15.75" customHeight="1" x14ac:dyDescent="0.3">
      <c r="A65" s="1325"/>
      <c r="B65" s="1325"/>
      <c r="C65" s="1325"/>
      <c r="D65" s="1325"/>
      <c r="E65" s="1325"/>
      <c r="F65" s="1325"/>
      <c r="G65" s="1325"/>
      <c r="H65" s="1325"/>
      <c r="I65" s="1325"/>
      <c r="J65" s="1325"/>
      <c r="K65" s="1325"/>
      <c r="L65" s="1325"/>
      <c r="M65" s="1325"/>
      <c r="N65" s="1325"/>
      <c r="O65" s="1325"/>
      <c r="P65" s="1325"/>
      <c r="Q65" s="15" t="s">
        <v>788</v>
      </c>
      <c r="U65" s="476"/>
    </row>
    <row r="66" spans="1:22" ht="7.2" customHeight="1" x14ac:dyDescent="0.3">
      <c r="A66" s="907"/>
      <c r="B66" s="29"/>
      <c r="C66" s="29"/>
      <c r="D66" s="29"/>
      <c r="E66" s="29"/>
      <c r="F66" s="29"/>
      <c r="G66" s="29"/>
      <c r="H66" s="29"/>
      <c r="I66" s="29"/>
      <c r="J66" s="29"/>
      <c r="K66" s="29"/>
      <c r="L66" s="29"/>
      <c r="M66" s="29"/>
      <c r="N66" s="29"/>
      <c r="O66" s="29"/>
    </row>
    <row r="67" spans="1:22" ht="7.8" customHeight="1" x14ac:dyDescent="0.3">
      <c r="A67" s="29"/>
      <c r="B67" s="29"/>
      <c r="C67" s="128" t="s">
        <v>1025</v>
      </c>
      <c r="D67" s="29"/>
      <c r="E67" s="29"/>
      <c r="F67" s="29"/>
      <c r="G67" s="29"/>
      <c r="H67" s="47" t="s">
        <v>182</v>
      </c>
      <c r="I67" s="29"/>
      <c r="J67" s="29"/>
      <c r="K67" s="29"/>
      <c r="L67" s="125"/>
      <c r="M67" s="125"/>
      <c r="N67" s="125"/>
      <c r="O67" s="125"/>
    </row>
    <row r="68" spans="1:22" ht="6" customHeight="1" x14ac:dyDescent="0.3">
      <c r="A68" s="29"/>
      <c r="B68" s="29"/>
      <c r="C68" s="128" t="s">
        <v>1135</v>
      </c>
      <c r="D68" s="29"/>
      <c r="E68" s="29"/>
      <c r="F68" s="29"/>
      <c r="G68" s="29"/>
      <c r="H68" s="47" t="s">
        <v>1301</v>
      </c>
      <c r="I68" s="29"/>
      <c r="J68" s="29"/>
      <c r="K68" s="29"/>
      <c r="L68" s="125"/>
      <c r="M68" s="125"/>
      <c r="N68" s="125"/>
      <c r="O68" s="125"/>
      <c r="Q68" s="1369" t="s">
        <v>918</v>
      </c>
      <c r="S68" s="1245"/>
      <c r="T68" s="1245"/>
      <c r="U68" s="476"/>
      <c r="V68" s="1369"/>
    </row>
    <row r="69" spans="1:22" ht="9.75" customHeight="1" x14ac:dyDescent="0.3">
      <c r="C69" s="36" t="s">
        <v>1136</v>
      </c>
      <c r="H69" s="47" t="s">
        <v>183</v>
      </c>
      <c r="L69" s="38"/>
      <c r="M69" s="38"/>
      <c r="N69" s="38"/>
      <c r="O69" s="38"/>
      <c r="Q69" s="1369"/>
      <c r="S69" s="1245"/>
      <c r="T69" s="1245"/>
      <c r="U69" s="476"/>
      <c r="V69" s="1369"/>
    </row>
    <row r="70" spans="1:22" hidden="1" x14ac:dyDescent="0.3">
      <c r="C70" s="128" t="s">
        <v>1137</v>
      </c>
      <c r="H70" s="47" t="s">
        <v>184</v>
      </c>
      <c r="I70" s="36"/>
      <c r="J70" s="36"/>
      <c r="K70" s="36"/>
      <c r="L70" s="47"/>
      <c r="M70" s="1043"/>
      <c r="N70" s="1043"/>
      <c r="O70" s="906">
        <f>IF(OR(M70=1,N70=0),1,IF(AND(M70=2,N70=1),2,IF(AND(M70=2,N70=2),2,IF(AND(M70=3,N70=1),3,IF(AND(M70=3,N70=2),7,IF(AND(M70=4,N70=1),4,IF(AND(M70=4,N70=2),4,IF(AND(M70=5,N70=1),5,IF(AND(M70=5,N70=2),6,1)))))))))</f>
        <v>1</v>
      </c>
    </row>
    <row r="71" spans="1:22" x14ac:dyDescent="0.3">
      <c r="C71" s="128" t="s">
        <v>1138</v>
      </c>
      <c r="H71" s="47"/>
      <c r="I71" s="36"/>
      <c r="J71" s="36"/>
      <c r="K71" s="36" t="str">
        <f>L73</f>
        <v>Version 2026.1</v>
      </c>
      <c r="Q71" s="853" t="str">
        <f>IF(AND(J8&lt;&gt;"",J8&lt;&gt;"FHA",J8&lt;&gt;"Other"),"(Not applicable for Loan Type)","")</f>
        <v/>
      </c>
      <c r="R71" s="530"/>
    </row>
    <row r="72" spans="1:22" ht="4.2" customHeight="1" x14ac:dyDescent="0.3">
      <c r="H72" s="36"/>
      <c r="I72" s="36"/>
      <c r="J72" s="36"/>
      <c r="K72" s="36"/>
      <c r="Q72" s="1234" t="s">
        <v>1007</v>
      </c>
      <c r="R72" s="530"/>
      <c r="U72" s="476"/>
    </row>
    <row r="73" spans="1:22" ht="12.6" customHeight="1" x14ac:dyDescent="0.3">
      <c r="L73" s="1235" t="str">
        <f>Version</f>
        <v>Version 2026.1</v>
      </c>
      <c r="M73" s="1235"/>
      <c r="N73" s="1235"/>
      <c r="O73" s="1235"/>
      <c r="Q73" s="1234"/>
      <c r="U73" s="476"/>
    </row>
    <row r="74" spans="1:22" ht="6.6" customHeight="1" x14ac:dyDescent="0.3">
      <c r="L74" s="1235"/>
      <c r="M74" s="1235"/>
      <c r="N74" s="1235"/>
      <c r="O74" s="1235"/>
    </row>
    <row r="75" spans="1:22" ht="6.6" customHeight="1" x14ac:dyDescent="0.3"/>
  </sheetData>
  <sheetProtection algorithmName="SHA-512" hashValue="lhe0J6rmBHjaNAHqxDxL7mtdwMTSQG/qkYL/kSKrPfJY4fn9/9THOBD0eKzPc6lu86tldscxmkUoR0kyfQNP/Q==" saltValue="ocHOnZ6bzrVHUt6d0QZwCQ==" spinCount="100000" sheet="1" objects="1" scenarios="1" selectLockedCells="1"/>
  <mergeCells count="120">
    <mergeCell ref="T3:W7"/>
    <mergeCell ref="H5:J5"/>
    <mergeCell ref="H10:L10"/>
    <mergeCell ref="M10:N10"/>
    <mergeCell ref="Q68:Q69"/>
    <mergeCell ref="L26:N27"/>
    <mergeCell ref="L21:N21"/>
    <mergeCell ref="L22:N23"/>
    <mergeCell ref="V68:V69"/>
    <mergeCell ref="Q4:Q6"/>
    <mergeCell ref="B30:H30"/>
    <mergeCell ref="B36:E36"/>
    <mergeCell ref="B46:N46"/>
    <mergeCell ref="B33:D33"/>
    <mergeCell ref="B31:E31"/>
    <mergeCell ref="G50:N50"/>
    <mergeCell ref="B32:D32"/>
    <mergeCell ref="F38:P43"/>
    <mergeCell ref="L28:N32"/>
    <mergeCell ref="B60:E60"/>
    <mergeCell ref="B59:E59"/>
    <mergeCell ref="G59:N59"/>
    <mergeCell ref="B57:E57"/>
    <mergeCell ref="G57:N57"/>
    <mergeCell ref="A1:C1"/>
    <mergeCell ref="C17:E17"/>
    <mergeCell ref="B5:C5"/>
    <mergeCell ref="D5:G5"/>
    <mergeCell ref="L5:M5"/>
    <mergeCell ref="B13:E13"/>
    <mergeCell ref="B9:E9"/>
    <mergeCell ref="B11:E11"/>
    <mergeCell ref="G15:O15"/>
    <mergeCell ref="H12:N14"/>
    <mergeCell ref="B8:G8"/>
    <mergeCell ref="A62:D62"/>
    <mergeCell ref="A63:P65"/>
    <mergeCell ref="H45:I45"/>
    <mergeCell ref="B34:D34"/>
    <mergeCell ref="C29:D29"/>
    <mergeCell ref="C28:D28"/>
    <mergeCell ref="F21:I21"/>
    <mergeCell ref="Q35:Z37"/>
    <mergeCell ref="B40:D40"/>
    <mergeCell ref="B45:F45"/>
    <mergeCell ref="F36:P36"/>
    <mergeCell ref="B39:D39"/>
    <mergeCell ref="W14:X34"/>
    <mergeCell ref="K18:O20"/>
    <mergeCell ref="B38:D38"/>
    <mergeCell ref="B50:E50"/>
    <mergeCell ref="C27:D27"/>
    <mergeCell ref="F28:I28"/>
    <mergeCell ref="L17:M17"/>
    <mergeCell ref="F22:I22"/>
    <mergeCell ref="F23:I23"/>
    <mergeCell ref="J24:O24"/>
    <mergeCell ref="G49:N49"/>
    <mergeCell ref="L45:N45"/>
    <mergeCell ref="Q1:Z2"/>
    <mergeCell ref="Q8:Z9"/>
    <mergeCell ref="Q47:Z49"/>
    <mergeCell ref="Q53:Z55"/>
    <mergeCell ref="A2:C2"/>
    <mergeCell ref="I9:N9"/>
    <mergeCell ref="B10:E10"/>
    <mergeCell ref="J8:N8"/>
    <mergeCell ref="H8:I8"/>
    <mergeCell ref="C20:E20"/>
    <mergeCell ref="C18:E19"/>
    <mergeCell ref="B14:E14"/>
    <mergeCell ref="B37:D37"/>
    <mergeCell ref="F37:P37"/>
    <mergeCell ref="B15:E15"/>
    <mergeCell ref="F33:P34"/>
    <mergeCell ref="F25:I25"/>
    <mergeCell ref="F29:I29"/>
    <mergeCell ref="L25:N25"/>
    <mergeCell ref="E2:H2"/>
    <mergeCell ref="E3:H3"/>
    <mergeCell ref="L1:P1"/>
    <mergeCell ref="B12:E12"/>
    <mergeCell ref="C23:D23"/>
    <mergeCell ref="G55:N55"/>
    <mergeCell ref="B56:E56"/>
    <mergeCell ref="G56:N56"/>
    <mergeCell ref="C24:D24"/>
    <mergeCell ref="C26:D26"/>
    <mergeCell ref="C25:D25"/>
    <mergeCell ref="C21:D21"/>
    <mergeCell ref="B43:D43"/>
    <mergeCell ref="L44:N44"/>
    <mergeCell ref="B41:D41"/>
    <mergeCell ref="G48:N48"/>
    <mergeCell ref="B55:E55"/>
    <mergeCell ref="B51:E51"/>
    <mergeCell ref="W13:X13"/>
    <mergeCell ref="B49:E49"/>
    <mergeCell ref="Q72:Q73"/>
    <mergeCell ref="L73:O74"/>
    <mergeCell ref="G51:N51"/>
    <mergeCell ref="B52:E52"/>
    <mergeCell ref="B16:E16"/>
    <mergeCell ref="G16:O16"/>
    <mergeCell ref="S68:S69"/>
    <mergeCell ref="T68:T69"/>
    <mergeCell ref="A53:P53"/>
    <mergeCell ref="B54:E54"/>
    <mergeCell ref="G54:N54"/>
    <mergeCell ref="B47:E47"/>
    <mergeCell ref="G47:N47"/>
    <mergeCell ref="F24:I24"/>
    <mergeCell ref="F26:I26"/>
    <mergeCell ref="F27:I27"/>
    <mergeCell ref="G18:I18"/>
    <mergeCell ref="G52:N52"/>
    <mergeCell ref="B48:E48"/>
    <mergeCell ref="C22:D22"/>
    <mergeCell ref="B58:E58"/>
    <mergeCell ref="G58:N58"/>
  </mergeCells>
  <conditionalFormatting sqref="K18">
    <cfRule type="expression" dxfId="1589" priority="61">
      <formula>OR($O$70=3,$O$70=6,$O$70=7,O70=5)</formula>
    </cfRule>
  </conditionalFormatting>
  <conditionalFormatting sqref="H19">
    <cfRule type="expression" dxfId="1588" priority="829">
      <formula>AND($O$70=5,$H$19&lt;0)</formula>
    </cfRule>
    <cfRule type="expression" dxfId="1587" priority="830">
      <formula>OR($O$70=6,O70=5,O70=3,O70=7)</formula>
    </cfRule>
  </conditionalFormatting>
  <conditionalFormatting sqref="K18:O20">
    <cfRule type="expression" dxfId="1586" priority="832">
      <formula>AND(OR($O$70=5,$O$70=3),$H$19&lt;0)</formula>
    </cfRule>
  </conditionalFormatting>
  <conditionalFormatting sqref="Q50">
    <cfRule type="expression" dxfId="1585" priority="57">
      <formula>OR($O$70=5,$O$70=6)</formula>
    </cfRule>
  </conditionalFormatting>
  <conditionalFormatting sqref="Q52">
    <cfRule type="expression" dxfId="1584" priority="56">
      <formula>OR($O$70=3,$O$70=7)</formula>
    </cfRule>
  </conditionalFormatting>
  <conditionalFormatting sqref="L22 L26 L28">
    <cfRule type="expression" dxfId="1583" priority="48">
      <formula>AND(OR($F$16&lt;&gt;0,$E$29&lt;&gt;0,$E$43&lt;&gt;0,$M$70&lt;&gt;"",$N$70&lt;&gt;""),$L$22="*Notes Required*")</formula>
    </cfRule>
    <cfRule type="expression" dxfId="1582" priority="52">
      <formula>AND(OR($F$16&lt;&gt;0,$E$29&lt;&gt;0,$E$43&lt;&gt;0,$M$70&lt;&gt;"",$N$70&lt;&gt;""),$L$22="*Loan Type Required*")</formula>
    </cfRule>
  </conditionalFormatting>
  <conditionalFormatting sqref="C18:E20">
    <cfRule type="expression" dxfId="1581" priority="49">
      <formula>$F$18&lt;&gt;""</formula>
    </cfRule>
  </conditionalFormatting>
  <conditionalFormatting sqref="H8:I8">
    <cfRule type="expression" dxfId="1580" priority="46">
      <formula>AND(OR($F$16&lt;&gt;0,$E$29&lt;&gt;0,$E$43&lt;&gt;0,$M$70&lt;&gt;"",$N$70&lt;&gt;""),$J$8="")</formula>
    </cfRule>
    <cfRule type="expression" dxfId="1579" priority="47">
      <formula>$L$22="*Loan Type Required*"</formula>
    </cfRule>
  </conditionalFormatting>
  <conditionalFormatting sqref="L22:N23">
    <cfRule type="expression" dxfId="1578" priority="30">
      <formula>$I$2&lt;&gt;""</formula>
    </cfRule>
  </conditionalFormatting>
  <conditionalFormatting sqref="C29:E29">
    <cfRule type="expression" dxfId="1577" priority="44">
      <formula>$J$24&lt;&gt;""</formula>
    </cfRule>
  </conditionalFormatting>
  <conditionalFormatting sqref="Q20">
    <cfRule type="expression" dxfId="1576" priority="42">
      <formula>$Q$21&lt;&gt;""</formula>
    </cfRule>
  </conditionalFormatting>
  <conditionalFormatting sqref="Q24">
    <cfRule type="expression" dxfId="1575" priority="41">
      <formula>$Q$25&lt;&gt;""</formula>
    </cfRule>
  </conditionalFormatting>
  <conditionalFormatting sqref="Q26">
    <cfRule type="expression" dxfId="1574" priority="40">
      <formula>$Q$27&lt;&gt;""</formula>
    </cfRule>
  </conditionalFormatting>
  <conditionalFormatting sqref="Q50">
    <cfRule type="expression" dxfId="1573" priority="39">
      <formula>$Q$51&lt;&gt;""</formula>
    </cfRule>
  </conditionalFormatting>
  <conditionalFormatting sqref="Q56">
    <cfRule type="expression" dxfId="1572" priority="38">
      <formula>$Q$57&lt;&gt;""</formula>
    </cfRule>
  </conditionalFormatting>
  <conditionalFormatting sqref="Q63">
    <cfRule type="expression" dxfId="1571" priority="33">
      <formula>$Q$64&lt;&gt;""</formula>
    </cfRule>
  </conditionalFormatting>
  <conditionalFormatting sqref="L26:N27">
    <cfRule type="expression" dxfId="1570" priority="29">
      <formula>$I$2&lt;&gt;""</formula>
    </cfRule>
  </conditionalFormatting>
  <conditionalFormatting sqref="L28">
    <cfRule type="expression" dxfId="1569" priority="28">
      <formula>$I$2&lt;&gt;""</formula>
    </cfRule>
  </conditionalFormatting>
  <conditionalFormatting sqref="Q18">
    <cfRule type="expression" dxfId="1568" priority="7">
      <formula>AND(J8&lt;&gt;"",J8&lt;&gt;"FHA",J8&lt;&gt;"Conventional",J8&lt;&gt;"VA",J8&lt;&gt;"USDA",J8&lt;&gt;"Other")</formula>
    </cfRule>
  </conditionalFormatting>
  <conditionalFormatting sqref="Q68">
    <cfRule type="expression" dxfId="1567" priority="2017">
      <formula>$Q$71&lt;&gt;""</formula>
    </cfRule>
  </conditionalFormatting>
  <conditionalFormatting sqref="Q30">
    <cfRule type="expression" dxfId="1566" priority="3">
      <formula>AND(J8&lt;&gt;"",J8&lt;&gt;"Conventional",J8&lt;&gt;"Other")</formula>
    </cfRule>
  </conditionalFormatting>
  <conditionalFormatting sqref="H12">
    <cfRule type="expression" dxfId="1565" priority="1">
      <formula>$H$12&lt;&gt;""</formula>
    </cfRule>
  </conditionalFormatting>
  <conditionalFormatting sqref="H45:I45">
    <cfRule type="expression" dxfId="1564" priority="2365">
      <formula>$G$45&gt;=$J$45</formula>
    </cfRule>
  </conditionalFormatting>
  <conditionalFormatting sqref="L45:N45">
    <cfRule type="expression" dxfId="1563" priority="2381">
      <formula>$G$45&gt;=$K$45</formula>
    </cfRule>
  </conditionalFormatting>
  <conditionalFormatting sqref="B46:N46">
    <cfRule type="expression" dxfId="1562" priority="2382">
      <formula>OR($G$45&gt;=$J$45,$G$45&gt;=$K$45)</formula>
    </cfRule>
  </conditionalFormatting>
  <dataValidations disablePrompts="1" count="2">
    <dataValidation type="list" allowBlank="1" showInputMessage="1" showErrorMessage="1" sqref="J8:N8" xr:uid="{2040B770-B9C2-4795-93CC-D24ADB822FEE}">
      <formula1>$C$66:$C$71</formula1>
    </dataValidation>
    <dataValidation type="custom" allowBlank="1" showInputMessage="1" showErrorMessage="1" errorTitle="Incorrect Entry Type" error="A dollar amount should be entered in this field (ex. 25 or 25.50)" sqref="E21:E28 E40 F48:F52 F55:F59" xr:uid="{D85081C1-51B1-49ED-AC50-46A5111C5474}">
      <formula1>CELL("format")="C2"</formula1>
    </dataValidation>
  </dataValidations>
  <printOptions horizontalCentered="1"/>
  <pageMargins left="0.25" right="0.25" top="0.25" bottom="0.25" header="0.3" footer="0.3"/>
  <pageSetup paperSize="5" scale="92"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10" r:id="rId4" name="Drop Down 2">
              <controlPr defaultSize="0" autoLine="0" autoPict="0">
                <anchor moveWithCells="1">
                  <from>
                    <xdr:col>3</xdr:col>
                    <xdr:colOff>236220</xdr:colOff>
                    <xdr:row>17</xdr:row>
                    <xdr:rowOff>68580</xdr:rowOff>
                  </from>
                  <to>
                    <xdr:col>4</xdr:col>
                    <xdr:colOff>777240</xdr:colOff>
                    <xdr:row>18</xdr:row>
                    <xdr:rowOff>99060</xdr:rowOff>
                  </to>
                </anchor>
              </controlPr>
            </control>
          </mc:Choice>
        </mc:AlternateContent>
        <mc:AlternateContent xmlns:mc="http://schemas.openxmlformats.org/markup-compatibility/2006">
          <mc:Choice Requires="x14">
            <control shapeId="94211" r:id="rId5" name="Option Button 3">
              <controlPr defaultSize="0" autoFill="0" autoLine="0" autoPict="0">
                <anchor moveWithCells="1">
                  <from>
                    <xdr:col>2</xdr:col>
                    <xdr:colOff>411480</xdr:colOff>
                    <xdr:row>18</xdr:row>
                    <xdr:rowOff>114300</xdr:rowOff>
                  </from>
                  <to>
                    <xdr:col>3</xdr:col>
                    <xdr:colOff>449580</xdr:colOff>
                    <xdr:row>19</xdr:row>
                    <xdr:rowOff>121920</xdr:rowOff>
                  </to>
                </anchor>
              </controlPr>
            </control>
          </mc:Choice>
        </mc:AlternateContent>
        <mc:AlternateContent xmlns:mc="http://schemas.openxmlformats.org/markup-compatibility/2006">
          <mc:Choice Requires="x14">
            <control shapeId="94212" r:id="rId6" name="Option Button 4">
              <controlPr defaultSize="0" autoFill="0" autoLine="0" autoPict="0">
                <anchor moveWithCells="1">
                  <from>
                    <xdr:col>3</xdr:col>
                    <xdr:colOff>502920</xdr:colOff>
                    <xdr:row>18</xdr:row>
                    <xdr:rowOff>114300</xdr:rowOff>
                  </from>
                  <to>
                    <xdr:col>4</xdr:col>
                    <xdr:colOff>541020</xdr:colOff>
                    <xdr:row>19</xdr:row>
                    <xdr:rowOff>121920</xdr:rowOff>
                  </to>
                </anchor>
              </controlPr>
            </control>
          </mc:Choice>
        </mc:AlternateContent>
        <mc:AlternateContent xmlns:mc="http://schemas.openxmlformats.org/markup-compatibility/2006">
          <mc:Choice Requires="x14">
            <control shapeId="94462" r:id="rId7" name="Button 254">
              <controlPr defaultSize="0" print="0" autoFill="0" autoPict="0" macro="[0]!IW_Print_Workbook">
                <anchor moveWithCells="1" sizeWithCells="1">
                  <from>
                    <xdr:col>0</xdr:col>
                    <xdr:colOff>7620</xdr:colOff>
                    <xdr:row>0</xdr:row>
                    <xdr:rowOff>7620</xdr:rowOff>
                  </from>
                  <to>
                    <xdr:col>2</xdr:col>
                    <xdr:colOff>60960</xdr:colOff>
                    <xdr:row>1</xdr:row>
                    <xdr:rowOff>121920</xdr:rowOff>
                  </to>
                </anchor>
              </controlPr>
            </control>
          </mc:Choice>
        </mc:AlternateContent>
        <mc:AlternateContent xmlns:mc="http://schemas.openxmlformats.org/markup-compatibility/2006">
          <mc:Choice Requires="x14">
            <control shapeId="94463" r:id="rId8" name="Button 255">
              <controlPr defaultSize="0" print="0" autoFill="0" autoPict="0" macro="[0]!IW_Save_Workbook">
                <anchor moveWithCells="1" sizeWithCells="1">
                  <from>
                    <xdr:col>2</xdr:col>
                    <xdr:colOff>121920</xdr:colOff>
                    <xdr:row>0</xdr:row>
                    <xdr:rowOff>0</xdr:rowOff>
                  </from>
                  <to>
                    <xdr:col>2</xdr:col>
                    <xdr:colOff>541020</xdr:colOff>
                    <xdr:row>1</xdr:row>
                    <xdr:rowOff>121920</xdr:rowOff>
                  </to>
                </anchor>
              </controlPr>
            </control>
          </mc:Choice>
        </mc:AlternateContent>
        <mc:AlternateContent xmlns:mc="http://schemas.openxmlformats.org/markup-compatibility/2006">
          <mc:Choice Requires="x14">
            <control shapeId="94464" r:id="rId9" name="Button 256">
              <controlPr defaultSize="0" print="0" autoFill="0" autoPict="0" macro="[0]!IW_View_Instructions">
                <anchor moveWithCells="1" sizeWithCells="1">
                  <from>
                    <xdr:col>2</xdr:col>
                    <xdr:colOff>609600</xdr:colOff>
                    <xdr:row>0</xdr:row>
                    <xdr:rowOff>0</xdr:rowOff>
                  </from>
                  <to>
                    <xdr:col>4</xdr:col>
                    <xdr:colOff>53340</xdr:colOff>
                    <xdr:row>1</xdr:row>
                    <xdr:rowOff>121920</xdr:rowOff>
                  </to>
                </anchor>
              </controlPr>
            </control>
          </mc:Choice>
        </mc:AlternateContent>
        <mc:AlternateContent xmlns:mc="http://schemas.openxmlformats.org/markup-compatibility/2006">
          <mc:Choice Requires="x14">
            <control shapeId="94465" r:id="rId10" name="Button 257">
              <controlPr defaultSize="0" print="0" autoFill="0" autoPict="0" macro="[0]!IncomeDebt_Clear">
                <anchor moveWithCells="1" sizeWithCells="1">
                  <from>
                    <xdr:col>0</xdr:col>
                    <xdr:colOff>0</xdr:colOff>
                    <xdr:row>1</xdr:row>
                    <xdr:rowOff>182880</xdr:rowOff>
                  </from>
                  <to>
                    <xdr:col>2</xdr:col>
                    <xdr:colOff>548640</xdr:colOff>
                    <xdr:row>2</xdr:row>
                    <xdr:rowOff>175260</xdr:rowOff>
                  </to>
                </anchor>
              </controlPr>
            </control>
          </mc:Choice>
        </mc:AlternateContent>
        <mc:AlternateContent xmlns:mc="http://schemas.openxmlformats.org/markup-compatibility/2006">
          <mc:Choice Requires="x14">
            <control shapeId="94468" r:id="rId11" name="Button 260">
              <controlPr defaultSize="0" print="0" autoFill="0" autoPict="0" macro="[0]!View_Instructions">
                <anchor moveWithCells="1" sizeWithCells="1">
                  <from>
                    <xdr:col>17</xdr:col>
                    <xdr:colOff>213360</xdr:colOff>
                    <xdr:row>2</xdr:row>
                    <xdr:rowOff>45720</xdr:rowOff>
                  </from>
                  <to>
                    <xdr:col>18</xdr:col>
                    <xdr:colOff>365760</xdr:colOff>
                    <xdr:row>3</xdr:row>
                    <xdr:rowOff>15240</xdr:rowOff>
                  </to>
                </anchor>
              </controlPr>
            </control>
          </mc:Choice>
        </mc:AlternateContent>
        <mc:AlternateContent xmlns:mc="http://schemas.openxmlformats.org/markup-compatibility/2006">
          <mc:Choice Requires="x14">
            <control shapeId="94469" r:id="rId12" name="Button 261">
              <controlPr defaultSize="0" print="0" autoFill="0" autoPict="0" macro="[0]!ID_IncomeSummary_Go">
                <anchor moveWithCells="1" sizeWithCells="1">
                  <from>
                    <xdr:col>17</xdr:col>
                    <xdr:colOff>213360</xdr:colOff>
                    <xdr:row>3</xdr:row>
                    <xdr:rowOff>114300</xdr:rowOff>
                  </from>
                  <to>
                    <xdr:col>18</xdr:col>
                    <xdr:colOff>365760</xdr:colOff>
                    <xdr:row>4</xdr:row>
                    <xdr:rowOff>198120</xdr:rowOff>
                  </to>
                </anchor>
              </controlPr>
            </control>
          </mc:Choice>
        </mc:AlternateContent>
        <mc:AlternateContent xmlns:mc="http://schemas.openxmlformats.org/markup-compatibility/2006">
          <mc:Choice Requires="x14">
            <control shapeId="94470" r:id="rId13" name="Button 262">
              <controlPr defaultSize="0" print="0" autoFill="0" autoPict="0" macro="[0]!ID_Notes_Go">
                <anchor moveWithCells="1" sizeWithCells="1">
                  <from>
                    <xdr:col>17</xdr:col>
                    <xdr:colOff>213360</xdr:colOff>
                    <xdr:row>6</xdr:row>
                    <xdr:rowOff>0</xdr:rowOff>
                  </from>
                  <to>
                    <xdr:col>18</xdr:col>
                    <xdr:colOff>365760</xdr:colOff>
                    <xdr:row>7</xdr:row>
                    <xdr:rowOff>38100</xdr:rowOff>
                  </to>
                </anchor>
              </controlPr>
            </control>
          </mc:Choice>
        </mc:AlternateContent>
        <mc:AlternateContent xmlns:mc="http://schemas.openxmlformats.org/markup-compatibility/2006">
          <mc:Choice Requires="x14">
            <control shapeId="94471" r:id="rId14" name="Button 263">
              <controlPr defaultSize="0" print="0" autoFill="0" autoPict="0" macro="[0]!ID_IncomeExpAvg_Add">
                <anchor moveWithCells="1" sizeWithCells="1">
                  <from>
                    <xdr:col>17</xdr:col>
                    <xdr:colOff>99060</xdr:colOff>
                    <xdr:row>8</xdr:row>
                    <xdr:rowOff>160020</xdr:rowOff>
                  </from>
                  <to>
                    <xdr:col>18</xdr:col>
                    <xdr:colOff>30480</xdr:colOff>
                    <xdr:row>10</xdr:row>
                    <xdr:rowOff>30480</xdr:rowOff>
                  </to>
                </anchor>
              </controlPr>
            </control>
          </mc:Choice>
        </mc:AlternateContent>
        <mc:AlternateContent xmlns:mc="http://schemas.openxmlformats.org/markup-compatibility/2006">
          <mc:Choice Requires="x14">
            <control shapeId="94474" r:id="rId15" name="Button 266">
              <controlPr defaultSize="0" print="0" autoFill="0" autoPict="0" macro="[0]!ID_IncomeExpAvg_ViewGo">
                <anchor moveWithCells="1" sizeWithCells="1">
                  <from>
                    <xdr:col>18</xdr:col>
                    <xdr:colOff>160020</xdr:colOff>
                    <xdr:row>8</xdr:row>
                    <xdr:rowOff>160020</xdr:rowOff>
                  </from>
                  <to>
                    <xdr:col>19</xdr:col>
                    <xdr:colOff>358140</xdr:colOff>
                    <xdr:row>10</xdr:row>
                    <xdr:rowOff>30480</xdr:rowOff>
                  </to>
                </anchor>
              </controlPr>
            </control>
          </mc:Choice>
        </mc:AlternateContent>
        <mc:AlternateContent xmlns:mc="http://schemas.openxmlformats.org/markup-compatibility/2006">
          <mc:Choice Requires="x14">
            <control shapeId="94477" r:id="rId16" name="Button 269">
              <controlPr defaultSize="0" print="0" autoFill="0" autoPict="0" macro="[0]!ID_IncExpW2_Add">
                <anchor moveWithCells="1" sizeWithCells="1">
                  <from>
                    <xdr:col>17</xdr:col>
                    <xdr:colOff>99060</xdr:colOff>
                    <xdr:row>10</xdr:row>
                    <xdr:rowOff>167640</xdr:rowOff>
                  </from>
                  <to>
                    <xdr:col>18</xdr:col>
                    <xdr:colOff>30480</xdr:colOff>
                    <xdr:row>12</xdr:row>
                    <xdr:rowOff>38100</xdr:rowOff>
                  </to>
                </anchor>
              </controlPr>
            </control>
          </mc:Choice>
        </mc:AlternateContent>
        <mc:AlternateContent xmlns:mc="http://schemas.openxmlformats.org/markup-compatibility/2006">
          <mc:Choice Requires="x14">
            <control shapeId="94478" r:id="rId17" name="Button 270">
              <controlPr defaultSize="0" print="0" autoFill="0" autoPict="0" macro="[0]!ID_IncExpW2_ViewGo">
                <anchor moveWithCells="1" sizeWithCells="1">
                  <from>
                    <xdr:col>18</xdr:col>
                    <xdr:colOff>160020</xdr:colOff>
                    <xdr:row>10</xdr:row>
                    <xdr:rowOff>167640</xdr:rowOff>
                  </from>
                  <to>
                    <xdr:col>19</xdr:col>
                    <xdr:colOff>358140</xdr:colOff>
                    <xdr:row>12</xdr:row>
                    <xdr:rowOff>38100</xdr:rowOff>
                  </to>
                </anchor>
              </controlPr>
            </control>
          </mc:Choice>
        </mc:AlternateContent>
        <mc:AlternateContent xmlns:mc="http://schemas.openxmlformats.org/markup-compatibility/2006">
          <mc:Choice Requires="x14">
            <control shapeId="94479" r:id="rId18" name="Button 271">
              <controlPr defaultSize="0" print="0" autoFill="0" autoPict="0" macro="[0]!ID_IncExpOther_Add">
                <anchor moveWithCells="1" sizeWithCells="1">
                  <from>
                    <xdr:col>17</xdr:col>
                    <xdr:colOff>99060</xdr:colOff>
                    <xdr:row>12</xdr:row>
                    <xdr:rowOff>167640</xdr:rowOff>
                  </from>
                  <to>
                    <xdr:col>18</xdr:col>
                    <xdr:colOff>30480</xdr:colOff>
                    <xdr:row>14</xdr:row>
                    <xdr:rowOff>38100</xdr:rowOff>
                  </to>
                </anchor>
              </controlPr>
            </control>
          </mc:Choice>
        </mc:AlternateContent>
        <mc:AlternateContent xmlns:mc="http://schemas.openxmlformats.org/markup-compatibility/2006">
          <mc:Choice Requires="x14">
            <control shapeId="94480" r:id="rId19" name="Button 272">
              <controlPr defaultSize="0" print="0" autoFill="0" autoPict="0" macro="[0]!ID_IncExpOther_ViewGo">
                <anchor moveWithCells="1" sizeWithCells="1">
                  <from>
                    <xdr:col>18</xdr:col>
                    <xdr:colOff>160020</xdr:colOff>
                    <xdr:row>12</xdr:row>
                    <xdr:rowOff>167640</xdr:rowOff>
                  </from>
                  <to>
                    <xdr:col>19</xdr:col>
                    <xdr:colOff>358140</xdr:colOff>
                    <xdr:row>14</xdr:row>
                    <xdr:rowOff>38100</xdr:rowOff>
                  </to>
                </anchor>
              </controlPr>
            </control>
          </mc:Choice>
        </mc:AlternateContent>
        <mc:AlternateContent xmlns:mc="http://schemas.openxmlformats.org/markup-compatibility/2006">
          <mc:Choice Requires="x14">
            <control shapeId="94481" r:id="rId20" name="Button 273">
              <controlPr defaultSize="0" print="0" autoFill="0" autoPict="0" macro="[0]!ID_IncomeAverager_Add">
                <anchor moveWithCells="1" sizeWithCells="1">
                  <from>
                    <xdr:col>17</xdr:col>
                    <xdr:colOff>99060</xdr:colOff>
                    <xdr:row>14</xdr:row>
                    <xdr:rowOff>190500</xdr:rowOff>
                  </from>
                  <to>
                    <xdr:col>18</xdr:col>
                    <xdr:colOff>30480</xdr:colOff>
                    <xdr:row>16</xdr:row>
                    <xdr:rowOff>22860</xdr:rowOff>
                  </to>
                </anchor>
              </controlPr>
            </control>
          </mc:Choice>
        </mc:AlternateContent>
        <mc:AlternateContent xmlns:mc="http://schemas.openxmlformats.org/markup-compatibility/2006">
          <mc:Choice Requires="x14">
            <control shapeId="94482" r:id="rId21" name="Button 274">
              <controlPr defaultSize="0" print="0" autoFill="0" autoPict="0" macro="[0]!ID_IncomeAverager_ViewGo">
                <anchor moveWithCells="1" sizeWithCells="1">
                  <from>
                    <xdr:col>18</xdr:col>
                    <xdr:colOff>160020</xdr:colOff>
                    <xdr:row>14</xdr:row>
                    <xdr:rowOff>190500</xdr:rowOff>
                  </from>
                  <to>
                    <xdr:col>19</xdr:col>
                    <xdr:colOff>358140</xdr:colOff>
                    <xdr:row>16</xdr:row>
                    <xdr:rowOff>22860</xdr:rowOff>
                  </to>
                </anchor>
              </controlPr>
            </control>
          </mc:Choice>
        </mc:AlternateContent>
        <mc:AlternateContent xmlns:mc="http://schemas.openxmlformats.org/markup-compatibility/2006">
          <mc:Choice Requires="x14">
            <control shapeId="94483" r:id="rId22" name="Button 275">
              <controlPr defaultSize="0" print="0" autoFill="0" autoPict="0" macro="[0]!ID_Variablewithincrease_Add">
                <anchor moveWithCells="1" sizeWithCells="1">
                  <from>
                    <xdr:col>17</xdr:col>
                    <xdr:colOff>99060</xdr:colOff>
                    <xdr:row>16</xdr:row>
                    <xdr:rowOff>152400</xdr:rowOff>
                  </from>
                  <to>
                    <xdr:col>18</xdr:col>
                    <xdr:colOff>30480</xdr:colOff>
                    <xdr:row>18</xdr:row>
                    <xdr:rowOff>45720</xdr:rowOff>
                  </to>
                </anchor>
              </controlPr>
            </control>
          </mc:Choice>
        </mc:AlternateContent>
        <mc:AlternateContent xmlns:mc="http://schemas.openxmlformats.org/markup-compatibility/2006">
          <mc:Choice Requires="x14">
            <control shapeId="94484" r:id="rId23" name="Button 276">
              <controlPr defaultSize="0" print="0" autoFill="0" autoPict="0" macro="[0]!ID_Variablewithincrease_ViewGo">
                <anchor moveWithCells="1" sizeWithCells="1">
                  <from>
                    <xdr:col>18</xdr:col>
                    <xdr:colOff>160020</xdr:colOff>
                    <xdr:row>16</xdr:row>
                    <xdr:rowOff>152400</xdr:rowOff>
                  </from>
                  <to>
                    <xdr:col>19</xdr:col>
                    <xdr:colOff>358140</xdr:colOff>
                    <xdr:row>18</xdr:row>
                    <xdr:rowOff>45720</xdr:rowOff>
                  </to>
                </anchor>
              </controlPr>
            </control>
          </mc:Choice>
        </mc:AlternateContent>
        <mc:AlternateContent xmlns:mc="http://schemas.openxmlformats.org/markup-compatibility/2006">
          <mc:Choice Requires="x14">
            <control shapeId="94485" r:id="rId24" name="Button 277">
              <controlPr defaultSize="0" print="0" autoFill="0" autoPict="0" macro="[0]!ID_AssetsasIncome_Add">
                <anchor moveWithCells="1" sizeWithCells="1">
                  <from>
                    <xdr:col>17</xdr:col>
                    <xdr:colOff>99060</xdr:colOff>
                    <xdr:row>18</xdr:row>
                    <xdr:rowOff>137160</xdr:rowOff>
                  </from>
                  <to>
                    <xdr:col>18</xdr:col>
                    <xdr:colOff>30480</xdr:colOff>
                    <xdr:row>20</xdr:row>
                    <xdr:rowOff>45720</xdr:rowOff>
                  </to>
                </anchor>
              </controlPr>
            </control>
          </mc:Choice>
        </mc:AlternateContent>
        <mc:AlternateContent xmlns:mc="http://schemas.openxmlformats.org/markup-compatibility/2006">
          <mc:Choice Requires="x14">
            <control shapeId="94486" r:id="rId25" name="Button 278">
              <controlPr defaultSize="0" print="0" autoFill="0" autoPict="0" macro="[0]!ID_AssetsasIncome_ViewGo">
                <anchor moveWithCells="1" sizeWithCells="1">
                  <from>
                    <xdr:col>18</xdr:col>
                    <xdr:colOff>160020</xdr:colOff>
                    <xdr:row>18</xdr:row>
                    <xdr:rowOff>137160</xdr:rowOff>
                  </from>
                  <to>
                    <xdr:col>19</xdr:col>
                    <xdr:colOff>358140</xdr:colOff>
                    <xdr:row>20</xdr:row>
                    <xdr:rowOff>45720</xdr:rowOff>
                  </to>
                </anchor>
              </controlPr>
            </control>
          </mc:Choice>
        </mc:AlternateContent>
        <mc:AlternateContent xmlns:mc="http://schemas.openxmlformats.org/markup-compatibility/2006">
          <mc:Choice Requires="x14">
            <control shapeId="94487" r:id="rId26" name="Button 279">
              <controlPr defaultSize="0" print="0" autoFill="0" autoPict="0" macro="[0]!ID_IntDivschB_Add">
                <anchor moveWithCells="1" sizeWithCells="1">
                  <from>
                    <xdr:col>17</xdr:col>
                    <xdr:colOff>99060</xdr:colOff>
                    <xdr:row>20</xdr:row>
                    <xdr:rowOff>137160</xdr:rowOff>
                  </from>
                  <to>
                    <xdr:col>18</xdr:col>
                    <xdr:colOff>30480</xdr:colOff>
                    <xdr:row>22</xdr:row>
                    <xdr:rowOff>38100</xdr:rowOff>
                  </to>
                </anchor>
              </controlPr>
            </control>
          </mc:Choice>
        </mc:AlternateContent>
        <mc:AlternateContent xmlns:mc="http://schemas.openxmlformats.org/markup-compatibility/2006">
          <mc:Choice Requires="x14">
            <control shapeId="94488" r:id="rId27" name="Button 280">
              <controlPr defaultSize="0" print="0" autoFill="0" autoPict="0" macro="[0]!ID_IntDivschB_ViewGo">
                <anchor moveWithCells="1" sizeWithCells="1">
                  <from>
                    <xdr:col>18</xdr:col>
                    <xdr:colOff>160020</xdr:colOff>
                    <xdr:row>20</xdr:row>
                    <xdr:rowOff>137160</xdr:rowOff>
                  </from>
                  <to>
                    <xdr:col>19</xdr:col>
                    <xdr:colOff>358140</xdr:colOff>
                    <xdr:row>22</xdr:row>
                    <xdr:rowOff>38100</xdr:rowOff>
                  </to>
                </anchor>
              </controlPr>
            </control>
          </mc:Choice>
        </mc:AlternateContent>
        <mc:AlternateContent xmlns:mc="http://schemas.openxmlformats.org/markup-compatibility/2006">
          <mc:Choice Requires="x14">
            <control shapeId="94489" r:id="rId28" name="Button 281">
              <controlPr defaultSize="0" print="0" autoFill="0" autoPict="0" macro="[0]!ID_30ofIncome_Add">
                <anchor moveWithCells="1" sizeWithCells="1">
                  <from>
                    <xdr:col>17</xdr:col>
                    <xdr:colOff>99060</xdr:colOff>
                    <xdr:row>22</xdr:row>
                    <xdr:rowOff>137160</xdr:rowOff>
                  </from>
                  <to>
                    <xdr:col>18</xdr:col>
                    <xdr:colOff>30480</xdr:colOff>
                    <xdr:row>24</xdr:row>
                    <xdr:rowOff>38100</xdr:rowOff>
                  </to>
                </anchor>
              </controlPr>
            </control>
          </mc:Choice>
        </mc:AlternateContent>
        <mc:AlternateContent xmlns:mc="http://schemas.openxmlformats.org/markup-compatibility/2006">
          <mc:Choice Requires="x14">
            <control shapeId="94490" r:id="rId29" name="Button 282">
              <controlPr defaultSize="0" print="0" autoFill="0" autoPict="0" macro="[0]!ID_30ofIncome_ViewGo">
                <anchor moveWithCells="1" sizeWithCells="1">
                  <from>
                    <xdr:col>18</xdr:col>
                    <xdr:colOff>160020</xdr:colOff>
                    <xdr:row>22</xdr:row>
                    <xdr:rowOff>137160</xdr:rowOff>
                  </from>
                  <to>
                    <xdr:col>19</xdr:col>
                    <xdr:colOff>358140</xdr:colOff>
                    <xdr:row>24</xdr:row>
                    <xdr:rowOff>38100</xdr:rowOff>
                  </to>
                </anchor>
              </controlPr>
            </control>
          </mc:Choice>
        </mc:AlternateContent>
        <mc:AlternateContent xmlns:mc="http://schemas.openxmlformats.org/markup-compatibility/2006">
          <mc:Choice Requires="x14">
            <control shapeId="94491" r:id="rId30" name="Button 283">
              <controlPr defaultSize="0" print="0" autoFill="0" autoPict="0" macro="[0]!ID_RSUIncome_Add">
                <anchor moveWithCells="1" sizeWithCells="1">
                  <from>
                    <xdr:col>17</xdr:col>
                    <xdr:colOff>99060</xdr:colOff>
                    <xdr:row>24</xdr:row>
                    <xdr:rowOff>137160</xdr:rowOff>
                  </from>
                  <to>
                    <xdr:col>18</xdr:col>
                    <xdr:colOff>30480</xdr:colOff>
                    <xdr:row>26</xdr:row>
                    <xdr:rowOff>38100</xdr:rowOff>
                  </to>
                </anchor>
              </controlPr>
            </control>
          </mc:Choice>
        </mc:AlternateContent>
        <mc:AlternateContent xmlns:mc="http://schemas.openxmlformats.org/markup-compatibility/2006">
          <mc:Choice Requires="x14">
            <control shapeId="94492" r:id="rId31" name="Button 284">
              <controlPr defaultSize="0" print="0" autoFill="0" autoPict="0" macro="[0]!ID_RSUIncome_ViewGo">
                <anchor moveWithCells="1" sizeWithCells="1">
                  <from>
                    <xdr:col>18</xdr:col>
                    <xdr:colOff>160020</xdr:colOff>
                    <xdr:row>24</xdr:row>
                    <xdr:rowOff>137160</xdr:rowOff>
                  </from>
                  <to>
                    <xdr:col>19</xdr:col>
                    <xdr:colOff>358140</xdr:colOff>
                    <xdr:row>26</xdr:row>
                    <xdr:rowOff>38100</xdr:rowOff>
                  </to>
                </anchor>
              </controlPr>
            </control>
          </mc:Choice>
        </mc:AlternateContent>
        <mc:AlternateContent xmlns:mc="http://schemas.openxmlformats.org/markup-compatibility/2006">
          <mc:Choice Requires="x14">
            <control shapeId="94493" r:id="rId32" name="Button 285">
              <controlPr defaultSize="0" print="0" autoFill="0" autoPict="0" macro="[0]!ID_DrillPay_Add">
                <anchor moveWithCells="1" sizeWithCells="1">
                  <from>
                    <xdr:col>17</xdr:col>
                    <xdr:colOff>99060</xdr:colOff>
                    <xdr:row>26</xdr:row>
                    <xdr:rowOff>137160</xdr:rowOff>
                  </from>
                  <to>
                    <xdr:col>18</xdr:col>
                    <xdr:colOff>30480</xdr:colOff>
                    <xdr:row>28</xdr:row>
                    <xdr:rowOff>38100</xdr:rowOff>
                  </to>
                </anchor>
              </controlPr>
            </control>
          </mc:Choice>
        </mc:AlternateContent>
        <mc:AlternateContent xmlns:mc="http://schemas.openxmlformats.org/markup-compatibility/2006">
          <mc:Choice Requires="x14">
            <control shapeId="94494" r:id="rId33" name="Button 286">
              <controlPr defaultSize="0" print="0" autoFill="0" autoPict="0" macro="[0]!ID_DrillPay_ViewGo">
                <anchor moveWithCells="1" sizeWithCells="1">
                  <from>
                    <xdr:col>18</xdr:col>
                    <xdr:colOff>160020</xdr:colOff>
                    <xdr:row>26</xdr:row>
                    <xdr:rowOff>137160</xdr:rowOff>
                  </from>
                  <to>
                    <xdr:col>19</xdr:col>
                    <xdr:colOff>358140</xdr:colOff>
                    <xdr:row>28</xdr:row>
                    <xdr:rowOff>38100</xdr:rowOff>
                  </to>
                </anchor>
              </controlPr>
            </control>
          </mc:Choice>
        </mc:AlternateContent>
        <mc:AlternateContent xmlns:mc="http://schemas.openxmlformats.org/markup-compatibility/2006">
          <mc:Choice Requires="x14">
            <control shapeId="94495" r:id="rId34" name="Button 287">
              <controlPr defaultSize="0" print="0" autoFill="0" autoPict="0" macro="[0]!ID_1099NonSelfEmp_Add">
                <anchor moveWithCells="1" sizeWithCells="1">
                  <from>
                    <xdr:col>17</xdr:col>
                    <xdr:colOff>99060</xdr:colOff>
                    <xdr:row>28</xdr:row>
                    <xdr:rowOff>160020</xdr:rowOff>
                  </from>
                  <to>
                    <xdr:col>18</xdr:col>
                    <xdr:colOff>30480</xdr:colOff>
                    <xdr:row>30</xdr:row>
                    <xdr:rowOff>38100</xdr:rowOff>
                  </to>
                </anchor>
              </controlPr>
            </control>
          </mc:Choice>
        </mc:AlternateContent>
        <mc:AlternateContent xmlns:mc="http://schemas.openxmlformats.org/markup-compatibility/2006">
          <mc:Choice Requires="x14">
            <control shapeId="94496" r:id="rId35" name="Button 288">
              <controlPr defaultSize="0" print="0" autoFill="0" autoPict="0" macro="[0]!ID_1099NonSelfEmp_ViewGo">
                <anchor moveWithCells="1" sizeWithCells="1">
                  <from>
                    <xdr:col>18</xdr:col>
                    <xdr:colOff>160020</xdr:colOff>
                    <xdr:row>28</xdr:row>
                    <xdr:rowOff>160020</xdr:rowOff>
                  </from>
                  <to>
                    <xdr:col>19</xdr:col>
                    <xdr:colOff>358140</xdr:colOff>
                    <xdr:row>30</xdr:row>
                    <xdr:rowOff>38100</xdr:rowOff>
                  </to>
                </anchor>
              </controlPr>
            </control>
          </mc:Choice>
        </mc:AlternateContent>
        <mc:AlternateContent xmlns:mc="http://schemas.openxmlformats.org/markup-compatibility/2006">
          <mc:Choice Requires="x14">
            <control shapeId="94497" r:id="rId36" name="Button 289">
              <controlPr defaultSize="0" print="0" autoFill="0" autoPict="0" macro="[0]!ID_RentIncSchE_Add">
                <anchor moveWithCells="1" sizeWithCells="1">
                  <from>
                    <xdr:col>17</xdr:col>
                    <xdr:colOff>99060</xdr:colOff>
                    <xdr:row>30</xdr:row>
                    <xdr:rowOff>167640</xdr:rowOff>
                  </from>
                  <to>
                    <xdr:col>18</xdr:col>
                    <xdr:colOff>30480</xdr:colOff>
                    <xdr:row>32</xdr:row>
                    <xdr:rowOff>30480</xdr:rowOff>
                  </to>
                </anchor>
              </controlPr>
            </control>
          </mc:Choice>
        </mc:AlternateContent>
        <mc:AlternateContent xmlns:mc="http://schemas.openxmlformats.org/markup-compatibility/2006">
          <mc:Choice Requires="x14">
            <control shapeId="94498" r:id="rId37" name="Button 290">
              <controlPr defaultSize="0" print="0" autoFill="0" autoPict="0" macro="[0]!ID_RentIncSchE_ViewGo">
                <anchor moveWithCells="1" sizeWithCells="1">
                  <from>
                    <xdr:col>18</xdr:col>
                    <xdr:colOff>160020</xdr:colOff>
                    <xdr:row>30</xdr:row>
                    <xdr:rowOff>167640</xdr:rowOff>
                  </from>
                  <to>
                    <xdr:col>19</xdr:col>
                    <xdr:colOff>358140</xdr:colOff>
                    <xdr:row>32</xdr:row>
                    <xdr:rowOff>30480</xdr:rowOff>
                  </to>
                </anchor>
              </controlPr>
            </control>
          </mc:Choice>
        </mc:AlternateContent>
        <mc:AlternateContent xmlns:mc="http://schemas.openxmlformats.org/markup-compatibility/2006">
          <mc:Choice Requires="x14">
            <control shapeId="94499" r:id="rId38" name="Button 291">
              <controlPr defaultSize="0" print="0" autoFill="0" autoPict="0" macro="[0]!ID_AddProperties_Add">
                <anchor moveWithCells="1" sizeWithCells="1">
                  <from>
                    <xdr:col>17</xdr:col>
                    <xdr:colOff>99060</xdr:colOff>
                    <xdr:row>32</xdr:row>
                    <xdr:rowOff>167640</xdr:rowOff>
                  </from>
                  <to>
                    <xdr:col>18</xdr:col>
                    <xdr:colOff>30480</xdr:colOff>
                    <xdr:row>34</xdr:row>
                    <xdr:rowOff>22860</xdr:rowOff>
                  </to>
                </anchor>
              </controlPr>
            </control>
          </mc:Choice>
        </mc:AlternateContent>
        <mc:AlternateContent xmlns:mc="http://schemas.openxmlformats.org/markup-compatibility/2006">
          <mc:Choice Requires="x14">
            <control shapeId="94500" r:id="rId39" name="Button 292">
              <controlPr defaultSize="0" print="0" autoFill="0" autoPict="0" macro="[0]!ID_AddProperties_ViewGo">
                <anchor moveWithCells="1" sizeWithCells="1">
                  <from>
                    <xdr:col>18</xdr:col>
                    <xdr:colOff>160020</xdr:colOff>
                    <xdr:row>32</xdr:row>
                    <xdr:rowOff>167640</xdr:rowOff>
                  </from>
                  <to>
                    <xdr:col>19</xdr:col>
                    <xdr:colOff>358140</xdr:colOff>
                    <xdr:row>34</xdr:row>
                    <xdr:rowOff>22860</xdr:rowOff>
                  </to>
                </anchor>
              </controlPr>
            </control>
          </mc:Choice>
        </mc:AlternateContent>
        <mc:AlternateContent xmlns:mc="http://schemas.openxmlformats.org/markup-compatibility/2006">
          <mc:Choice Requires="x14">
            <control shapeId="94503" r:id="rId40" name="Button 295">
              <controlPr defaultSize="0" print="0" autoFill="0" autoPict="0" macro="[0]!ID_SchC_Add">
                <anchor moveWithCells="1" sizeWithCells="1">
                  <from>
                    <xdr:col>17</xdr:col>
                    <xdr:colOff>99060</xdr:colOff>
                    <xdr:row>36</xdr:row>
                    <xdr:rowOff>160020</xdr:rowOff>
                  </from>
                  <to>
                    <xdr:col>18</xdr:col>
                    <xdr:colOff>30480</xdr:colOff>
                    <xdr:row>38</xdr:row>
                    <xdr:rowOff>22860</xdr:rowOff>
                  </to>
                </anchor>
              </controlPr>
            </control>
          </mc:Choice>
        </mc:AlternateContent>
        <mc:AlternateContent xmlns:mc="http://schemas.openxmlformats.org/markup-compatibility/2006">
          <mc:Choice Requires="x14">
            <control shapeId="94504" r:id="rId41" name="Button 296">
              <controlPr defaultSize="0" print="0" autoFill="0" autoPict="0" macro="[0]!ID_SchC_ViewGo">
                <anchor moveWithCells="1" sizeWithCells="1">
                  <from>
                    <xdr:col>18</xdr:col>
                    <xdr:colOff>160020</xdr:colOff>
                    <xdr:row>36</xdr:row>
                    <xdr:rowOff>160020</xdr:rowOff>
                  </from>
                  <to>
                    <xdr:col>19</xdr:col>
                    <xdr:colOff>358140</xdr:colOff>
                    <xdr:row>38</xdr:row>
                    <xdr:rowOff>22860</xdr:rowOff>
                  </to>
                </anchor>
              </controlPr>
            </control>
          </mc:Choice>
        </mc:AlternateContent>
        <mc:AlternateContent xmlns:mc="http://schemas.openxmlformats.org/markup-compatibility/2006">
          <mc:Choice Requires="x14">
            <control shapeId="94505" r:id="rId42" name="Button 297">
              <controlPr defaultSize="0" print="0" autoFill="0" autoPict="0" macro="[0]!ID_1065_Add">
                <anchor moveWithCells="1" sizeWithCells="1">
                  <from>
                    <xdr:col>17</xdr:col>
                    <xdr:colOff>99060</xdr:colOff>
                    <xdr:row>38</xdr:row>
                    <xdr:rowOff>160020</xdr:rowOff>
                  </from>
                  <to>
                    <xdr:col>18</xdr:col>
                    <xdr:colOff>30480</xdr:colOff>
                    <xdr:row>40</xdr:row>
                    <xdr:rowOff>30480</xdr:rowOff>
                  </to>
                </anchor>
              </controlPr>
            </control>
          </mc:Choice>
        </mc:AlternateContent>
        <mc:AlternateContent xmlns:mc="http://schemas.openxmlformats.org/markup-compatibility/2006">
          <mc:Choice Requires="x14">
            <control shapeId="94506" r:id="rId43" name="Button 298">
              <controlPr defaultSize="0" print="0" autoFill="0" autoPict="0" macro="[0]!ID_1065_ViewGo">
                <anchor moveWithCells="1" sizeWithCells="1">
                  <from>
                    <xdr:col>18</xdr:col>
                    <xdr:colOff>160020</xdr:colOff>
                    <xdr:row>38</xdr:row>
                    <xdr:rowOff>160020</xdr:rowOff>
                  </from>
                  <to>
                    <xdr:col>19</xdr:col>
                    <xdr:colOff>358140</xdr:colOff>
                    <xdr:row>40</xdr:row>
                    <xdr:rowOff>30480</xdr:rowOff>
                  </to>
                </anchor>
              </controlPr>
            </control>
          </mc:Choice>
        </mc:AlternateContent>
        <mc:AlternateContent xmlns:mc="http://schemas.openxmlformats.org/markup-compatibility/2006">
          <mc:Choice Requires="x14">
            <control shapeId="94507" r:id="rId44" name="Button 299">
              <controlPr defaultSize="0" print="0" autoFill="0" autoPict="0" macro="[0]!ID_1120S_Add">
                <anchor moveWithCells="1" sizeWithCells="1">
                  <from>
                    <xdr:col>17</xdr:col>
                    <xdr:colOff>99060</xdr:colOff>
                    <xdr:row>40</xdr:row>
                    <xdr:rowOff>182880</xdr:rowOff>
                  </from>
                  <to>
                    <xdr:col>18</xdr:col>
                    <xdr:colOff>30480</xdr:colOff>
                    <xdr:row>42</xdr:row>
                    <xdr:rowOff>22860</xdr:rowOff>
                  </to>
                </anchor>
              </controlPr>
            </control>
          </mc:Choice>
        </mc:AlternateContent>
        <mc:AlternateContent xmlns:mc="http://schemas.openxmlformats.org/markup-compatibility/2006">
          <mc:Choice Requires="x14">
            <control shapeId="94508" r:id="rId45" name="Button 300">
              <controlPr defaultSize="0" print="0" autoFill="0" autoPict="0" macro="[0]!ID_1120S_ViewGo">
                <anchor moveWithCells="1" sizeWithCells="1">
                  <from>
                    <xdr:col>18</xdr:col>
                    <xdr:colOff>160020</xdr:colOff>
                    <xdr:row>40</xdr:row>
                    <xdr:rowOff>182880</xdr:rowOff>
                  </from>
                  <to>
                    <xdr:col>19</xdr:col>
                    <xdr:colOff>358140</xdr:colOff>
                    <xdr:row>42</xdr:row>
                    <xdr:rowOff>22860</xdr:rowOff>
                  </to>
                </anchor>
              </controlPr>
            </control>
          </mc:Choice>
        </mc:AlternateContent>
        <mc:AlternateContent xmlns:mc="http://schemas.openxmlformats.org/markup-compatibility/2006">
          <mc:Choice Requires="x14">
            <control shapeId="94509" r:id="rId46" name="Button 301">
              <controlPr defaultSize="0" print="0" autoFill="0" autoPict="0" macro="[0]!ID_1120_Add">
                <anchor moveWithCells="1" sizeWithCells="1">
                  <from>
                    <xdr:col>17</xdr:col>
                    <xdr:colOff>99060</xdr:colOff>
                    <xdr:row>42</xdr:row>
                    <xdr:rowOff>198120</xdr:rowOff>
                  </from>
                  <to>
                    <xdr:col>18</xdr:col>
                    <xdr:colOff>30480</xdr:colOff>
                    <xdr:row>44</xdr:row>
                    <xdr:rowOff>22860</xdr:rowOff>
                  </to>
                </anchor>
              </controlPr>
            </control>
          </mc:Choice>
        </mc:AlternateContent>
        <mc:AlternateContent xmlns:mc="http://schemas.openxmlformats.org/markup-compatibility/2006">
          <mc:Choice Requires="x14">
            <control shapeId="94510" r:id="rId47" name="Button 302">
              <controlPr defaultSize="0" print="0" autoFill="0" autoPict="0" macro="[0]!ID_1120_ViewGo">
                <anchor moveWithCells="1" sizeWithCells="1">
                  <from>
                    <xdr:col>18</xdr:col>
                    <xdr:colOff>160020</xdr:colOff>
                    <xdr:row>42</xdr:row>
                    <xdr:rowOff>198120</xdr:rowOff>
                  </from>
                  <to>
                    <xdr:col>19</xdr:col>
                    <xdr:colOff>358140</xdr:colOff>
                    <xdr:row>44</xdr:row>
                    <xdr:rowOff>22860</xdr:rowOff>
                  </to>
                </anchor>
              </controlPr>
            </control>
          </mc:Choice>
        </mc:AlternateContent>
        <mc:AlternateContent xmlns:mc="http://schemas.openxmlformats.org/markup-compatibility/2006">
          <mc:Choice Requires="x14">
            <control shapeId="94511" r:id="rId48" name="Button 303">
              <controlPr defaultSize="0" print="0" autoFill="0" autoPict="0" macro="[0]!ID_SchF_Add">
                <anchor moveWithCells="1" sizeWithCells="1">
                  <from>
                    <xdr:col>17</xdr:col>
                    <xdr:colOff>99060</xdr:colOff>
                    <xdr:row>44</xdr:row>
                    <xdr:rowOff>167640</xdr:rowOff>
                  </from>
                  <to>
                    <xdr:col>18</xdr:col>
                    <xdr:colOff>30480</xdr:colOff>
                    <xdr:row>46</xdr:row>
                    <xdr:rowOff>30480</xdr:rowOff>
                  </to>
                </anchor>
              </controlPr>
            </control>
          </mc:Choice>
        </mc:AlternateContent>
        <mc:AlternateContent xmlns:mc="http://schemas.openxmlformats.org/markup-compatibility/2006">
          <mc:Choice Requires="x14">
            <control shapeId="94512" r:id="rId49" name="Button 304">
              <controlPr defaultSize="0" print="0" autoFill="0" autoPict="0" macro="[0]!ID_SchF_ViewGo">
                <anchor moveWithCells="1" sizeWithCells="1">
                  <from>
                    <xdr:col>18</xdr:col>
                    <xdr:colOff>160020</xdr:colOff>
                    <xdr:row>44</xdr:row>
                    <xdr:rowOff>167640</xdr:rowOff>
                  </from>
                  <to>
                    <xdr:col>19</xdr:col>
                    <xdr:colOff>358140</xdr:colOff>
                    <xdr:row>46</xdr:row>
                    <xdr:rowOff>30480</xdr:rowOff>
                  </to>
                </anchor>
              </controlPr>
            </control>
          </mc:Choice>
        </mc:AlternateContent>
        <mc:AlternateContent xmlns:mc="http://schemas.openxmlformats.org/markup-compatibility/2006">
          <mc:Choice Requires="x14">
            <control shapeId="94513" r:id="rId50" name="Button 305">
              <controlPr defaultSize="0" print="0" autoFill="0" autoPict="0" macro="[0]!ID_InvPurchaseRefi_Add">
                <anchor moveWithCells="1" sizeWithCells="1">
                  <from>
                    <xdr:col>17</xdr:col>
                    <xdr:colOff>99060</xdr:colOff>
                    <xdr:row>48</xdr:row>
                    <xdr:rowOff>160020</xdr:rowOff>
                  </from>
                  <to>
                    <xdr:col>18</xdr:col>
                    <xdr:colOff>30480</xdr:colOff>
                    <xdr:row>50</xdr:row>
                    <xdr:rowOff>30480</xdr:rowOff>
                  </to>
                </anchor>
              </controlPr>
            </control>
          </mc:Choice>
        </mc:AlternateContent>
        <mc:AlternateContent xmlns:mc="http://schemas.openxmlformats.org/markup-compatibility/2006">
          <mc:Choice Requires="x14">
            <control shapeId="94514" r:id="rId51" name="Button 306">
              <controlPr defaultSize="0" print="0" autoFill="0" autoPict="0" macro="[0]!ID_InvPurchaseRefi_ViewGo">
                <anchor moveWithCells="1" sizeWithCells="1">
                  <from>
                    <xdr:col>18</xdr:col>
                    <xdr:colOff>160020</xdr:colOff>
                    <xdr:row>48</xdr:row>
                    <xdr:rowOff>160020</xdr:rowOff>
                  </from>
                  <to>
                    <xdr:col>19</xdr:col>
                    <xdr:colOff>358140</xdr:colOff>
                    <xdr:row>50</xdr:row>
                    <xdr:rowOff>30480</xdr:rowOff>
                  </to>
                </anchor>
              </controlPr>
            </control>
          </mc:Choice>
        </mc:AlternateContent>
        <mc:AlternateContent xmlns:mc="http://schemas.openxmlformats.org/markup-compatibility/2006">
          <mc:Choice Requires="x14">
            <control shapeId="94515" r:id="rId52" name="Button 307">
              <controlPr defaultSize="0" print="0" autoFill="0" autoPict="0" macro="[0]!ID_PrimarywithRentInc_Add">
                <anchor moveWithCells="1" sizeWithCells="1">
                  <from>
                    <xdr:col>17</xdr:col>
                    <xdr:colOff>99060</xdr:colOff>
                    <xdr:row>50</xdr:row>
                    <xdr:rowOff>167640</xdr:rowOff>
                  </from>
                  <to>
                    <xdr:col>18</xdr:col>
                    <xdr:colOff>30480</xdr:colOff>
                    <xdr:row>52</xdr:row>
                    <xdr:rowOff>38100</xdr:rowOff>
                  </to>
                </anchor>
              </controlPr>
            </control>
          </mc:Choice>
        </mc:AlternateContent>
        <mc:AlternateContent xmlns:mc="http://schemas.openxmlformats.org/markup-compatibility/2006">
          <mc:Choice Requires="x14">
            <control shapeId="94516" r:id="rId53" name="Button 308">
              <controlPr defaultSize="0" print="0" autoFill="0" autoPict="0" macro="[0]!ID_PrimarywithRentInc_ViewGo">
                <anchor moveWithCells="1" sizeWithCells="1">
                  <from>
                    <xdr:col>18</xdr:col>
                    <xdr:colOff>160020</xdr:colOff>
                    <xdr:row>50</xdr:row>
                    <xdr:rowOff>167640</xdr:rowOff>
                  </from>
                  <to>
                    <xdr:col>19</xdr:col>
                    <xdr:colOff>358140</xdr:colOff>
                    <xdr:row>52</xdr:row>
                    <xdr:rowOff>38100</xdr:rowOff>
                  </to>
                </anchor>
              </controlPr>
            </control>
          </mc:Choice>
        </mc:AlternateContent>
        <mc:AlternateContent xmlns:mc="http://schemas.openxmlformats.org/markup-compatibility/2006">
          <mc:Choice Requires="x14">
            <control shapeId="94517" r:id="rId54" name="Button 309">
              <controlPr defaultSize="0" print="0" autoFill="0" autoPict="0" macro="[0]!ID_ResidualCalc_Add">
                <anchor moveWithCells="1" sizeWithCells="1">
                  <from>
                    <xdr:col>17</xdr:col>
                    <xdr:colOff>99060</xdr:colOff>
                    <xdr:row>54</xdr:row>
                    <xdr:rowOff>160020</xdr:rowOff>
                  </from>
                  <to>
                    <xdr:col>18</xdr:col>
                    <xdr:colOff>30480</xdr:colOff>
                    <xdr:row>56</xdr:row>
                    <xdr:rowOff>30480</xdr:rowOff>
                  </to>
                </anchor>
              </controlPr>
            </control>
          </mc:Choice>
        </mc:AlternateContent>
        <mc:AlternateContent xmlns:mc="http://schemas.openxmlformats.org/markup-compatibility/2006">
          <mc:Choice Requires="x14">
            <control shapeId="94518" r:id="rId55" name="Button 310">
              <controlPr defaultSize="0" print="0" autoFill="0" autoPict="0" macro="[0]!ID_ResidualCalc_ViewGo">
                <anchor moveWithCells="1" sizeWithCells="1">
                  <from>
                    <xdr:col>18</xdr:col>
                    <xdr:colOff>160020</xdr:colOff>
                    <xdr:row>54</xdr:row>
                    <xdr:rowOff>160020</xdr:rowOff>
                  </from>
                  <to>
                    <xdr:col>19</xdr:col>
                    <xdr:colOff>358140</xdr:colOff>
                    <xdr:row>56</xdr:row>
                    <xdr:rowOff>30480</xdr:rowOff>
                  </to>
                </anchor>
              </controlPr>
            </control>
          </mc:Choice>
        </mc:AlternateContent>
        <mc:AlternateContent xmlns:mc="http://schemas.openxmlformats.org/markup-compatibility/2006">
          <mc:Choice Requires="x14">
            <control shapeId="94519" r:id="rId56" name="Button 311">
              <controlPr defaultSize="0" print="0" autoFill="0" autoPict="0" macro="[0]!ID_HouseholdInc_Add">
                <anchor moveWithCells="1" sizeWithCells="1">
                  <from>
                    <xdr:col>17</xdr:col>
                    <xdr:colOff>99060</xdr:colOff>
                    <xdr:row>56</xdr:row>
                    <xdr:rowOff>167640</xdr:rowOff>
                  </from>
                  <to>
                    <xdr:col>18</xdr:col>
                    <xdr:colOff>30480</xdr:colOff>
                    <xdr:row>58</xdr:row>
                    <xdr:rowOff>30480</xdr:rowOff>
                  </to>
                </anchor>
              </controlPr>
            </control>
          </mc:Choice>
        </mc:AlternateContent>
        <mc:AlternateContent xmlns:mc="http://schemas.openxmlformats.org/markup-compatibility/2006">
          <mc:Choice Requires="x14">
            <control shapeId="94520" r:id="rId57" name="Button 312">
              <controlPr defaultSize="0" print="0" autoFill="0" autoPict="0" macro="[0]!ID_HouseholdInc_ViewGo">
                <anchor moveWithCells="1" sizeWithCells="1">
                  <from>
                    <xdr:col>18</xdr:col>
                    <xdr:colOff>160020</xdr:colOff>
                    <xdr:row>56</xdr:row>
                    <xdr:rowOff>167640</xdr:rowOff>
                  </from>
                  <to>
                    <xdr:col>19</xdr:col>
                    <xdr:colOff>358140</xdr:colOff>
                    <xdr:row>58</xdr:row>
                    <xdr:rowOff>30480</xdr:rowOff>
                  </to>
                </anchor>
              </controlPr>
            </control>
          </mc:Choice>
        </mc:AlternateContent>
        <mc:AlternateContent xmlns:mc="http://schemas.openxmlformats.org/markup-compatibility/2006">
          <mc:Choice Requires="x14">
            <control shapeId="94521" r:id="rId58" name="Button 313">
              <controlPr defaultSize="0" print="0" autoFill="0" autoPict="0" macro="[0]!ID_EmploymentHistory_Add">
                <anchor moveWithCells="1" sizeWithCells="1">
                  <from>
                    <xdr:col>17</xdr:col>
                    <xdr:colOff>99060</xdr:colOff>
                    <xdr:row>58</xdr:row>
                    <xdr:rowOff>167640</xdr:rowOff>
                  </from>
                  <to>
                    <xdr:col>18</xdr:col>
                    <xdr:colOff>30480</xdr:colOff>
                    <xdr:row>60</xdr:row>
                    <xdr:rowOff>22860</xdr:rowOff>
                  </to>
                </anchor>
              </controlPr>
            </control>
          </mc:Choice>
        </mc:AlternateContent>
        <mc:AlternateContent xmlns:mc="http://schemas.openxmlformats.org/markup-compatibility/2006">
          <mc:Choice Requires="x14">
            <control shapeId="94522" r:id="rId59" name="Button 314">
              <controlPr defaultSize="0" print="0" autoFill="0" autoPict="0" macro="[0]!ID_EmploymentHistory_ViewGo">
                <anchor moveWithCells="1" sizeWithCells="1">
                  <from>
                    <xdr:col>18</xdr:col>
                    <xdr:colOff>160020</xdr:colOff>
                    <xdr:row>58</xdr:row>
                    <xdr:rowOff>167640</xdr:rowOff>
                  </from>
                  <to>
                    <xdr:col>19</xdr:col>
                    <xdr:colOff>358140</xdr:colOff>
                    <xdr:row>60</xdr:row>
                    <xdr:rowOff>22860</xdr:rowOff>
                  </to>
                </anchor>
              </controlPr>
            </control>
          </mc:Choice>
        </mc:AlternateContent>
        <mc:AlternateContent xmlns:mc="http://schemas.openxmlformats.org/markup-compatibility/2006">
          <mc:Choice Requires="x14">
            <control shapeId="94523" r:id="rId60" name="Button 315">
              <controlPr defaultSize="0" print="0" autoFill="0" autoPict="0" macro="[0]!ID_Liquidity_Add">
                <anchor moveWithCells="1" sizeWithCells="1">
                  <from>
                    <xdr:col>17</xdr:col>
                    <xdr:colOff>99060</xdr:colOff>
                    <xdr:row>61</xdr:row>
                    <xdr:rowOff>167640</xdr:rowOff>
                  </from>
                  <to>
                    <xdr:col>18</xdr:col>
                    <xdr:colOff>30480</xdr:colOff>
                    <xdr:row>63</xdr:row>
                    <xdr:rowOff>22860</xdr:rowOff>
                  </to>
                </anchor>
              </controlPr>
            </control>
          </mc:Choice>
        </mc:AlternateContent>
        <mc:AlternateContent xmlns:mc="http://schemas.openxmlformats.org/markup-compatibility/2006">
          <mc:Choice Requires="x14">
            <control shapeId="94524" r:id="rId61" name="Button 316">
              <controlPr defaultSize="0" print="0" autoFill="0" autoPict="0" macro="[0]!ID_Liquidity_View_Go">
                <anchor moveWithCells="1" sizeWithCells="1">
                  <from>
                    <xdr:col>18</xdr:col>
                    <xdr:colOff>160020</xdr:colOff>
                    <xdr:row>61</xdr:row>
                    <xdr:rowOff>167640</xdr:rowOff>
                  </from>
                  <to>
                    <xdr:col>19</xdr:col>
                    <xdr:colOff>358140</xdr:colOff>
                    <xdr:row>63</xdr:row>
                    <xdr:rowOff>22860</xdr:rowOff>
                  </to>
                </anchor>
              </controlPr>
            </control>
          </mc:Choice>
        </mc:AlternateContent>
        <mc:AlternateContent xmlns:mc="http://schemas.openxmlformats.org/markup-compatibility/2006">
          <mc:Choice Requires="x14">
            <control shapeId="94525" r:id="rId62" name="Button 317">
              <controlPr defaultSize="0" print="0" autoFill="0" autoPict="0" macro="[0]!ID_CashFLow_Add">
                <anchor moveWithCells="1" sizeWithCells="1">
                  <from>
                    <xdr:col>17</xdr:col>
                    <xdr:colOff>99060</xdr:colOff>
                    <xdr:row>63</xdr:row>
                    <xdr:rowOff>167640</xdr:rowOff>
                  </from>
                  <to>
                    <xdr:col>18</xdr:col>
                    <xdr:colOff>30480</xdr:colOff>
                    <xdr:row>65</xdr:row>
                    <xdr:rowOff>22860</xdr:rowOff>
                  </to>
                </anchor>
              </controlPr>
            </control>
          </mc:Choice>
        </mc:AlternateContent>
        <mc:AlternateContent xmlns:mc="http://schemas.openxmlformats.org/markup-compatibility/2006">
          <mc:Choice Requires="x14">
            <control shapeId="94526" r:id="rId63" name="Button 318">
              <controlPr defaultSize="0" print="0" autoFill="0" autoPict="0" macro="[0]!ID_CashFLow_View_GO">
                <anchor moveWithCells="1" sizeWithCells="1">
                  <from>
                    <xdr:col>18</xdr:col>
                    <xdr:colOff>160020</xdr:colOff>
                    <xdr:row>63</xdr:row>
                    <xdr:rowOff>167640</xdr:rowOff>
                  </from>
                  <to>
                    <xdr:col>19</xdr:col>
                    <xdr:colOff>358140</xdr:colOff>
                    <xdr:row>65</xdr:row>
                    <xdr:rowOff>22860</xdr:rowOff>
                  </to>
                </anchor>
              </controlPr>
            </control>
          </mc:Choice>
        </mc:AlternateContent>
        <mc:AlternateContent xmlns:mc="http://schemas.openxmlformats.org/markup-compatibility/2006">
          <mc:Choice Requires="x14">
            <control shapeId="94527" r:id="rId64" name="Button 319">
              <controlPr defaultSize="0" print="0" autoFill="0" autoPict="0" macro="[0]!ID_FHASelfSuff_Add">
                <anchor moveWithCells="1" sizeWithCells="1">
                  <from>
                    <xdr:col>17</xdr:col>
                    <xdr:colOff>99060</xdr:colOff>
                    <xdr:row>66</xdr:row>
                    <xdr:rowOff>76200</xdr:rowOff>
                  </from>
                  <to>
                    <xdr:col>18</xdr:col>
                    <xdr:colOff>30480</xdr:colOff>
                    <xdr:row>70</xdr:row>
                    <xdr:rowOff>22860</xdr:rowOff>
                  </to>
                </anchor>
              </controlPr>
            </control>
          </mc:Choice>
        </mc:AlternateContent>
        <mc:AlternateContent xmlns:mc="http://schemas.openxmlformats.org/markup-compatibility/2006">
          <mc:Choice Requires="x14">
            <control shapeId="94528" r:id="rId65" name="Button 320">
              <controlPr defaultSize="0" print="0" autoFill="0" autoPict="0" macro="[0]!ID_FHASelfSuff_ViewGo">
                <anchor moveWithCells="1" sizeWithCells="1">
                  <from>
                    <xdr:col>18</xdr:col>
                    <xdr:colOff>160020</xdr:colOff>
                    <xdr:row>66</xdr:row>
                    <xdr:rowOff>76200</xdr:rowOff>
                  </from>
                  <to>
                    <xdr:col>19</xdr:col>
                    <xdr:colOff>358140</xdr:colOff>
                    <xdr:row>70</xdr:row>
                    <xdr:rowOff>22860</xdr:rowOff>
                  </to>
                </anchor>
              </controlPr>
            </control>
          </mc:Choice>
        </mc:AlternateContent>
        <mc:AlternateContent xmlns:mc="http://schemas.openxmlformats.org/markup-compatibility/2006">
          <mc:Choice Requires="x14">
            <control shapeId="94529" r:id="rId66" name="Button 321">
              <controlPr defaultSize="0" print="0" autoFill="0" autoPict="0" macro="[0]!ID_MCC_Add">
                <anchor moveWithCells="1" sizeWithCells="1">
                  <from>
                    <xdr:col>17</xdr:col>
                    <xdr:colOff>99060</xdr:colOff>
                    <xdr:row>70</xdr:row>
                    <xdr:rowOff>167640</xdr:rowOff>
                  </from>
                  <to>
                    <xdr:col>18</xdr:col>
                    <xdr:colOff>30480</xdr:colOff>
                    <xdr:row>73</xdr:row>
                    <xdr:rowOff>22860</xdr:rowOff>
                  </to>
                </anchor>
              </controlPr>
            </control>
          </mc:Choice>
        </mc:AlternateContent>
        <mc:AlternateContent xmlns:mc="http://schemas.openxmlformats.org/markup-compatibility/2006">
          <mc:Choice Requires="x14">
            <control shapeId="94530" r:id="rId67" name="Button 322">
              <controlPr defaultSize="0" print="0" autoFill="0" autoPict="0" macro="[0]!ID_MCC_ViewGo">
                <anchor moveWithCells="1" sizeWithCells="1">
                  <from>
                    <xdr:col>18</xdr:col>
                    <xdr:colOff>160020</xdr:colOff>
                    <xdr:row>70</xdr:row>
                    <xdr:rowOff>167640</xdr:rowOff>
                  </from>
                  <to>
                    <xdr:col>19</xdr:col>
                    <xdr:colOff>358140</xdr:colOff>
                    <xdr:row>73</xdr:row>
                    <xdr:rowOff>22860</xdr:rowOff>
                  </to>
                </anchor>
              </controlPr>
            </control>
          </mc:Choice>
        </mc:AlternateContent>
        <mc:AlternateContent xmlns:mc="http://schemas.openxmlformats.org/markup-compatibility/2006">
          <mc:Choice Requires="x14">
            <control shapeId="94531" r:id="rId68" name="Button 323">
              <controlPr defaultSize="0" print="0" autoFill="0" autoPict="0" macro="[0]!ID_QCAssets_Add">
                <anchor moveWithCells="1" sizeWithCells="1">
                  <from>
                    <xdr:col>23</xdr:col>
                    <xdr:colOff>83820</xdr:colOff>
                    <xdr:row>54</xdr:row>
                    <xdr:rowOff>167640</xdr:rowOff>
                  </from>
                  <to>
                    <xdr:col>23</xdr:col>
                    <xdr:colOff>563880</xdr:colOff>
                    <xdr:row>56</xdr:row>
                    <xdr:rowOff>38100</xdr:rowOff>
                  </to>
                </anchor>
              </controlPr>
            </control>
          </mc:Choice>
        </mc:AlternateContent>
        <mc:AlternateContent xmlns:mc="http://schemas.openxmlformats.org/markup-compatibility/2006">
          <mc:Choice Requires="x14">
            <control shapeId="94532" r:id="rId69" name="Button 324">
              <controlPr defaultSize="0" print="0" autoFill="0" autoPict="0" macro="[0]!ID_QCAssets_ViewGo">
                <anchor moveWithCells="1" sizeWithCells="1">
                  <from>
                    <xdr:col>23</xdr:col>
                    <xdr:colOff>693420</xdr:colOff>
                    <xdr:row>54</xdr:row>
                    <xdr:rowOff>167640</xdr:rowOff>
                  </from>
                  <to>
                    <xdr:col>23</xdr:col>
                    <xdr:colOff>1379220</xdr:colOff>
                    <xdr:row>56</xdr:row>
                    <xdr:rowOff>38100</xdr:rowOff>
                  </to>
                </anchor>
              </controlPr>
            </control>
          </mc:Choice>
        </mc:AlternateContent>
        <mc:AlternateContent xmlns:mc="http://schemas.openxmlformats.org/markup-compatibility/2006">
          <mc:Choice Requires="x14">
            <control shapeId="94533" r:id="rId70" name="Button 325">
              <controlPr defaultSize="0" print="0" autoFill="0" autoPict="0" macro="[0]!ID_QCCredit_Add">
                <anchor moveWithCells="1" sizeWithCells="1">
                  <from>
                    <xdr:col>23</xdr:col>
                    <xdr:colOff>83820</xdr:colOff>
                    <xdr:row>56</xdr:row>
                    <xdr:rowOff>167640</xdr:rowOff>
                  </from>
                  <to>
                    <xdr:col>23</xdr:col>
                    <xdr:colOff>563880</xdr:colOff>
                    <xdr:row>58</xdr:row>
                    <xdr:rowOff>30480</xdr:rowOff>
                  </to>
                </anchor>
              </controlPr>
            </control>
          </mc:Choice>
        </mc:AlternateContent>
        <mc:AlternateContent xmlns:mc="http://schemas.openxmlformats.org/markup-compatibility/2006">
          <mc:Choice Requires="x14">
            <control shapeId="94534" r:id="rId71" name="Button 326">
              <controlPr defaultSize="0" print="0" autoFill="0" autoPict="0" macro="[0]!ID_QCCredit_ViewGo">
                <anchor moveWithCells="1" sizeWithCells="1">
                  <from>
                    <xdr:col>23</xdr:col>
                    <xdr:colOff>693420</xdr:colOff>
                    <xdr:row>56</xdr:row>
                    <xdr:rowOff>167640</xdr:rowOff>
                  </from>
                  <to>
                    <xdr:col>23</xdr:col>
                    <xdr:colOff>1379220</xdr:colOff>
                    <xdr:row>58</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E94F6185-D2EA-49F5-B463-DDD2B60FE1AC}">
            <xm:f>'Income Data; Do not delete'!$A$227="E"</xm:f>
            <x14:dxf>
              <font>
                <color auto="1"/>
              </font>
              <fill>
                <patternFill>
                  <bgColor rgb="FFFF0000"/>
                </patternFill>
              </fill>
            </x14:dxf>
          </x14:cfRule>
          <xm:sqref>Q24</xm:sqref>
        </x14:conditionalFormatting>
        <x14:conditionalFormatting xmlns:xm="http://schemas.microsoft.com/office/excel/2006/main">
          <x14:cfRule type="expression" priority="6" id="{038C9A41-F729-4772-A2B9-7E1A89839558}">
            <xm:f>OR('Income Data; Do not delete'!$A$15&lt;&gt;"",'Income Data; Do not delete'!$A$16&lt;&gt;"")</xm:f>
            <x14:dxf>
              <fill>
                <patternFill>
                  <bgColor rgb="FFFF0000"/>
                </patternFill>
              </fill>
            </x14:dxf>
          </x14:cfRule>
          <xm:sqref>Q18</xm:sqref>
        </x14:conditionalFormatting>
        <x14:conditionalFormatting xmlns:xm="http://schemas.microsoft.com/office/excel/2006/main">
          <x14:cfRule type="expression" priority="15" id="{B6FC1E01-3190-407F-A857-97F7C4322810}">
            <xm:f>AND($I$2&lt;&gt;"",$N$70&lt;&gt;'Primary with Rent inc.'!$N$77,'Primary with Rent inc.'!$L$77&gt;=1)</xm:f>
            <x14:dxf>
              <fill>
                <patternFill>
                  <bgColor rgb="FFFFFF00"/>
                </patternFill>
              </fill>
            </x14:dxf>
          </x14:cfRule>
          <xm:sqref>C18:E20</xm:sqref>
        </x14:conditionalFormatting>
        <x14:conditionalFormatting xmlns:xm="http://schemas.microsoft.com/office/excel/2006/main">
          <x14:cfRule type="expression" priority="14" id="{C52A9B8C-00BA-4092-A9BD-FC673690FDCC}">
            <xm:f>OR('Income Data; Do not delete'!$A$48&lt;&gt;"",'Income Data; Do not delete'!$A$49&lt;&gt;"",'Income Data; Do not delete'!$A$50&lt;&gt;"",'Income Data; Do not delete'!$A$51&lt;&gt;"")</xm:f>
            <x14:dxf>
              <fill>
                <patternFill>
                  <bgColor rgb="FFFF0000"/>
                </patternFill>
              </fill>
            </x14:dxf>
          </x14:cfRule>
          <xm:sqref>Q20</xm:sqref>
        </x14:conditionalFormatting>
        <x14:conditionalFormatting xmlns:xm="http://schemas.microsoft.com/office/excel/2006/main">
          <x14:cfRule type="expression" priority="13" id="{934D98BB-28FA-4E44-93E9-A1403E70104B}">
            <xm:f>OR('Income Data; Do not delete'!$A$56&lt;&gt;"",'Income Data; Do not delete'!$A$57&lt;&gt;"",'Income Data; Do not delete'!$A$58&lt;&gt;"")</xm:f>
            <x14:dxf>
              <fill>
                <patternFill>
                  <bgColor rgb="FFFF0000"/>
                </patternFill>
              </fill>
            </x14:dxf>
          </x14:cfRule>
          <xm:sqref>Q26</xm:sqref>
        </x14:conditionalFormatting>
        <x14:conditionalFormatting xmlns:xm="http://schemas.microsoft.com/office/excel/2006/main">
          <x14:cfRule type="expression" priority="11" id="{7F1A692C-835E-4D5C-8E8B-882459BE5919}">
            <xm:f>'Income Data; Do not delete'!$A$223&lt;&gt;""</xm:f>
            <x14:dxf>
              <fill>
                <patternFill>
                  <bgColor rgb="FFFF0000"/>
                </patternFill>
              </fill>
            </x14:dxf>
          </x14:cfRule>
          <xm:sqref>Q50</xm:sqref>
        </x14:conditionalFormatting>
        <x14:conditionalFormatting xmlns:xm="http://schemas.microsoft.com/office/excel/2006/main">
          <x14:cfRule type="expression" priority="19" id="{79AFBD98-30A1-42AD-BB7A-CCDD253A2AAE}">
            <xm:f>AND($I$2&lt;&gt;"",'Inv. Purchase or Refi'!$J$8&lt;&gt;"")</xm:f>
            <x14:dxf>
              <fill>
                <patternFill>
                  <bgColor rgb="FFFFFF00"/>
                </patternFill>
              </fill>
            </x14:dxf>
          </x14:cfRule>
          <xm:sqref>C18:E20</xm:sqref>
        </x14:conditionalFormatting>
        <x14:conditionalFormatting xmlns:xm="http://schemas.microsoft.com/office/excel/2006/main">
          <x14:cfRule type="expression" priority="22" id="{B6B6B494-F6C3-45AA-B740-BAD6E550085C}">
            <xm:f>AND($I$2&lt;&gt;"",$M$70&lt;&gt;3,'Primary with Rent inc.'!$L$77=1)</xm:f>
            <x14:dxf>
              <fill>
                <patternFill>
                  <bgColor rgb="FFFFFF00"/>
                </patternFill>
              </fill>
            </x14:dxf>
          </x14:cfRule>
          <xm:sqref>C18:E20</xm:sqref>
        </x14:conditionalFormatting>
        <x14:conditionalFormatting xmlns:xm="http://schemas.microsoft.com/office/excel/2006/main">
          <x14:cfRule type="expression" priority="55" id="{C13E7439-4A40-4E3A-BD5A-C9632B924924}">
            <xm:f>'30% of Income Calc.'!$O$20:$P$20&gt;0</xm:f>
            <x14:dxf>
              <font>
                <color auto="1"/>
              </font>
              <fill>
                <patternFill patternType="none">
                  <bgColor auto="1"/>
                </patternFill>
              </fill>
            </x14:dxf>
          </x14:cfRule>
          <xm:sqref>B16:O16</xm:sqref>
        </x14:conditionalFormatting>
        <x14:conditionalFormatting xmlns:xm="http://schemas.microsoft.com/office/excel/2006/main">
          <x14:cfRule type="expression" priority="54" id="{90513752-87F5-40BB-8E26-9A5C365A0258}">
            <xm:f>'30% of Income Calc.'!$O$20:$P$20=0</xm:f>
            <x14:dxf>
              <border>
                <left/>
                <right/>
                <bottom/>
                <vertical/>
                <horizontal/>
              </border>
            </x14:dxf>
          </x14:cfRule>
          <xm:sqref>B16:F16</xm:sqref>
        </x14:conditionalFormatting>
        <x14:conditionalFormatting xmlns:xm="http://schemas.microsoft.com/office/excel/2006/main">
          <x14:cfRule type="expression" priority="12" id="{95596BA5-7A0A-4756-B5F7-93C7D6180259}">
            <xm:f>OR('Income Data; Do not delete'!$A$89&lt;&gt;"",'Income Data; Do not delete'!$A$94&lt;&gt;"",'Income Data; Do not delete'!$A$99&lt;&gt;"",'Income Data; Do not delete'!$A$104&lt;&gt;"")</xm:f>
            <x14:dxf>
              <fill>
                <patternFill>
                  <bgColor rgb="FFFF0000"/>
                </patternFill>
              </fill>
            </x14:dxf>
          </x14:cfRule>
          <xm:sqref>Q34</xm:sqref>
        </x14:conditionalFormatting>
        <x14:conditionalFormatting xmlns:xm="http://schemas.microsoft.com/office/excel/2006/main">
          <x14:cfRule type="expression" priority="8" id="{D4824C94-3FDD-4005-8A22-ACEA05B2D02D}">
            <xm:f>OR('Income Data; Do not delete'!$A$219&lt;&gt;"",'Income Data; Do not delete'!$A$220&lt;&gt;"")</xm:f>
            <x14:dxf>
              <fill>
                <patternFill>
                  <bgColor rgb="FFFF0000"/>
                </patternFill>
              </fill>
            </x14:dxf>
          </x14:cfRule>
          <xm:sqref>Q52</xm:sqref>
        </x14:conditionalFormatting>
        <x14:conditionalFormatting xmlns:xm="http://schemas.microsoft.com/office/excel/2006/main">
          <x14:cfRule type="expression" priority="5" id="{730EA80C-6D79-4929-9576-BD07A3E54A0A}">
            <xm:f>'Income Data; Do not delete'!$A$68&gt;0</xm:f>
            <x14:dxf>
              <fill>
                <patternFill>
                  <bgColor rgb="FFFF0000"/>
                </patternFill>
              </fill>
            </x14:dxf>
          </x14:cfRule>
          <xm:sqref>Q32</xm:sqref>
        </x14:conditionalFormatting>
        <x14:conditionalFormatting xmlns:xm="http://schemas.microsoft.com/office/excel/2006/main">
          <x14:cfRule type="expression" priority="2" id="{CDF87113-824D-42EF-ACE8-D949E8772BE6}">
            <xm:f>OR('Income Data; Do not delete'!$A$59&lt;&gt;"",'Income Data; Do not delete'!$A$60&lt;&gt;"")</xm:f>
            <x14:dxf>
              <fill>
                <patternFill>
                  <bgColor rgb="FFFF0000"/>
                </patternFill>
              </fill>
            </x14:dxf>
          </x14:cfRule>
          <xm:sqref>Q30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rgb="FF00B0F0"/>
    <pageSetUpPr fitToPage="1"/>
  </sheetPr>
  <dimension ref="A2:J1422"/>
  <sheetViews>
    <sheetView view="pageLayout" topLeftCell="A209" zoomScale="85" zoomScaleNormal="100" zoomScalePageLayoutView="85" workbookViewId="0">
      <selection activeCell="D232" sqref="D232"/>
    </sheetView>
  </sheetViews>
  <sheetFormatPr defaultColWidth="9.109375" defaultRowHeight="15.6" x14ac:dyDescent="0.3"/>
  <cols>
    <col min="1" max="1" width="3.33203125" style="909" customWidth="1"/>
    <col min="2" max="2" width="21" style="29" customWidth="1"/>
    <col min="3" max="3" width="25.44140625" customWidth="1"/>
    <col min="4" max="4" width="33.33203125" customWidth="1"/>
    <col min="5" max="5" width="11.21875" customWidth="1"/>
    <col min="6" max="6" width="12.21875" style="79" bestFit="1" customWidth="1"/>
    <col min="7" max="8" width="11.33203125" style="38" customWidth="1"/>
    <col min="9" max="9" width="11.33203125" style="159" customWidth="1"/>
    <col min="10" max="10" width="11.33203125" customWidth="1"/>
    <col min="11" max="11" width="12.77734375" customWidth="1"/>
  </cols>
  <sheetData>
    <row r="2" spans="1:10" ht="36" customHeight="1" x14ac:dyDescent="0.5">
      <c r="A2" s="1321" t="s">
        <v>388</v>
      </c>
      <c r="B2" s="1321"/>
      <c r="C2" s="1321"/>
      <c r="D2" s="1321"/>
      <c r="E2" s="1321"/>
      <c r="F2" s="1321"/>
      <c r="G2" s="354"/>
      <c r="H2" s="354"/>
      <c r="I2" s="354"/>
    </row>
    <row r="3" spans="1:10" ht="23.4" x14ac:dyDescent="0.3">
      <c r="A3" s="1208" t="s">
        <v>301</v>
      </c>
      <c r="B3" s="1208"/>
      <c r="C3" s="1208"/>
      <c r="D3" s="1208"/>
      <c r="E3" s="1208"/>
      <c r="F3" s="1208"/>
      <c r="G3" s="629"/>
      <c r="H3" s="629"/>
      <c r="I3" s="629"/>
    </row>
    <row r="4" spans="1:10" ht="13.5" customHeight="1" x14ac:dyDescent="0.3">
      <c r="B4" s="913" t="s">
        <v>105</v>
      </c>
      <c r="C4" s="223"/>
      <c r="D4" s="223"/>
      <c r="E4" s="223"/>
      <c r="F4" s="233"/>
      <c r="G4" s="490"/>
      <c r="H4" s="490"/>
      <c r="I4" s="491"/>
    </row>
    <row r="5" spans="1:10" ht="13.5" customHeight="1" x14ac:dyDescent="0.3">
      <c r="A5" s="911" t="str">
        <f t="shared" ref="A5" ca="1" si="0">IF(J5=0,"",J5)</f>
        <v/>
      </c>
      <c r="B5" s="541" t="s">
        <v>922</v>
      </c>
      <c r="C5" s="541" t="str">
        <f ca="1">IF(G5=0,"",G5)</f>
        <v/>
      </c>
      <c r="D5" s="541" t="str">
        <f ca="1">IF(H5=0,"",H5)</f>
        <v/>
      </c>
      <c r="E5" s="541"/>
      <c r="F5" s="296">
        <f t="shared" ref="F5:F10" ca="1" si="1">IFERROR(I5,0)</f>
        <v>0</v>
      </c>
      <c r="G5" s="492" t="str">
        <f ca="1">INDIRECT("'"&amp;"Income Exp &amp; Avg, W2"&amp;"'!C6")</f>
        <v/>
      </c>
      <c r="H5" s="492" t="str">
        <f ca="1">INDIRECT("'"&amp;"Income Exp &amp; Avg, W2"&amp;"'!C8")</f>
        <v/>
      </c>
      <c r="I5" s="493">
        <f ca="1">INDIRECT("'"&amp;"Income Exp &amp; Avg, W2"&amp;"'!Q102")</f>
        <v>0</v>
      </c>
      <c r="J5" t="str">
        <f ca="1">INDIRECT("'"&amp;"Income Exp &amp; Avg, W2"&amp;"'!S113")</f>
        <v/>
      </c>
    </row>
    <row r="6" spans="1:10" ht="13.5" customHeight="1" x14ac:dyDescent="0.3">
      <c r="A6" s="911" t="str">
        <f t="shared" ref="A6:A8" ca="1" si="2">IFERROR(J6,"")</f>
        <v/>
      </c>
      <c r="B6" s="245" t="s">
        <v>921</v>
      </c>
      <c r="C6" s="245" t="str">
        <f t="shared" ref="C6:D8" ca="1" si="3">IFERROR(G6,"")</f>
        <v/>
      </c>
      <c r="D6" s="245" t="str">
        <f t="shared" ca="1" si="3"/>
        <v/>
      </c>
      <c r="E6" s="245"/>
      <c r="F6" s="246">
        <f t="shared" ca="1" si="1"/>
        <v>0</v>
      </c>
      <c r="G6" s="492" t="e">
        <f ca="1">INDIRECT("'"&amp;"Income Exp &amp; Avg, W2 (2)"&amp;"'!C6")</f>
        <v>#REF!</v>
      </c>
      <c r="H6" s="492" t="e">
        <f ca="1">INDIRECT("'"&amp;"Income Exp &amp; Avg, W2 (2)"&amp;"'!C8")</f>
        <v>#REF!</v>
      </c>
      <c r="I6" s="493" t="e">
        <f ca="1">INDIRECT("'"&amp;"Income Exp &amp; Avg, W2 (2)"&amp;"'!Q102")</f>
        <v>#REF!</v>
      </c>
      <c r="J6" t="e">
        <f ca="1">INDIRECT("'"&amp;"Income Exp &amp; Avg, W2 (2)"&amp;"'!S113")</f>
        <v>#REF!</v>
      </c>
    </row>
    <row r="7" spans="1:10" ht="13.5" customHeight="1" x14ac:dyDescent="0.3">
      <c r="A7" s="911" t="str">
        <f t="shared" ca="1" si="2"/>
        <v/>
      </c>
      <c r="B7" s="245" t="s">
        <v>923</v>
      </c>
      <c r="C7" s="245" t="str">
        <f t="shared" ca="1" si="3"/>
        <v/>
      </c>
      <c r="D7" s="245" t="str">
        <f t="shared" ca="1" si="3"/>
        <v/>
      </c>
      <c r="E7" s="1132"/>
      <c r="F7" s="246">
        <f t="shared" ca="1" si="1"/>
        <v>0</v>
      </c>
      <c r="G7" s="492" t="e">
        <f ca="1">INDIRECT("'"&amp;"Income Exp &amp; Avg, W2 (3)"&amp;"'!C6")</f>
        <v>#REF!</v>
      </c>
      <c r="H7" s="492" t="e">
        <f ca="1">INDIRECT("'"&amp;"Income Exp &amp; Avg, W2 (3)"&amp;"'!C8")</f>
        <v>#REF!</v>
      </c>
      <c r="I7" s="493" t="e">
        <f ca="1">INDIRECT("'"&amp;"Income Exp &amp; Avg, W2 (3)"&amp;"'!Q102")</f>
        <v>#REF!</v>
      </c>
      <c r="J7" t="e">
        <f ca="1">INDIRECT("'"&amp;"Income Exp &amp; Avg, W2 (3)"&amp;"'!S113")</f>
        <v>#REF!</v>
      </c>
    </row>
    <row r="8" spans="1:10" ht="13.5" customHeight="1" x14ac:dyDescent="0.3">
      <c r="A8" s="911" t="str">
        <f t="shared" ca="1" si="2"/>
        <v/>
      </c>
      <c r="B8" s="245" t="s">
        <v>924</v>
      </c>
      <c r="C8" s="245" t="str">
        <f t="shared" ca="1" si="3"/>
        <v/>
      </c>
      <c r="D8" s="245" t="str">
        <f t="shared" ca="1" si="3"/>
        <v/>
      </c>
      <c r="E8" s="1132"/>
      <c r="F8" s="246">
        <f t="shared" ca="1" si="1"/>
        <v>0</v>
      </c>
      <c r="G8" s="492" t="e">
        <f ca="1">INDIRECT("'"&amp;"Income Exp &amp; Avg, W2 (4)"&amp;"'!C6")</f>
        <v>#REF!</v>
      </c>
      <c r="H8" s="492" t="e">
        <f ca="1">INDIRECT("'"&amp;"Income Exp &amp; Avg, W2 (4)"&amp;"'!C8")</f>
        <v>#REF!</v>
      </c>
      <c r="I8" s="493" t="e">
        <f ca="1">INDIRECT("'"&amp;"Income Exp &amp; Avg, W2 (4)"&amp;"'!Q102")</f>
        <v>#REF!</v>
      </c>
      <c r="J8" t="e">
        <f ca="1">INDIRECT("'"&amp;"Income Exp &amp; Avg, W2 (4)"&amp;"'!S113")</f>
        <v>#REF!</v>
      </c>
    </row>
    <row r="9" spans="1:10" ht="13.5" customHeight="1" x14ac:dyDescent="0.3">
      <c r="A9" s="910"/>
      <c r="B9" s="541" t="s">
        <v>411</v>
      </c>
      <c r="C9" s="541" t="str">
        <f ca="1">IF(G9=0,"",G9)</f>
        <v/>
      </c>
      <c r="D9" s="541" t="str">
        <f ca="1">IF(H9=0,"",H9)</f>
        <v/>
      </c>
      <c r="E9" s="295"/>
      <c r="F9" s="296">
        <f t="shared" ca="1" si="1"/>
        <v>0</v>
      </c>
      <c r="G9" s="492">
        <f ca="1">INDIRECT("'"&amp;"Inc. Exp, W2"&amp;"'!C7")</f>
        <v>0</v>
      </c>
      <c r="H9" s="492">
        <f ca="1">INDIRECT("'"&amp;"Inc. Exp, W2"&amp;"'!C9")</f>
        <v>0</v>
      </c>
      <c r="I9" s="493">
        <f ca="1">INDIRECT("'"&amp;"Inc. Exp, W2"&amp;"'!H24")</f>
        <v>0</v>
      </c>
    </row>
    <row r="10" spans="1:10" ht="13.5" customHeight="1" x14ac:dyDescent="0.3">
      <c r="A10" s="910"/>
      <c r="B10" s="541" t="s">
        <v>412</v>
      </c>
      <c r="C10" s="541" t="str">
        <f ca="1">IF(G10=0,"",G10)</f>
        <v/>
      </c>
      <c r="D10" s="541" t="str">
        <f ca="1">IF(H10=0,"",H10)</f>
        <v/>
      </c>
      <c r="E10" s="541"/>
      <c r="F10" s="296">
        <f t="shared" ca="1" si="1"/>
        <v>0</v>
      </c>
      <c r="G10" s="492">
        <f ca="1">INDIRECT("'"&amp;"Inc. Exp, W2"&amp;"'!C36")</f>
        <v>0</v>
      </c>
      <c r="H10" s="492">
        <f ca="1">INDIRECT("'"&amp;"Inc. Exp, W2"&amp;"'!C38")</f>
        <v>0</v>
      </c>
      <c r="I10" s="493">
        <f ca="1">INDIRECT("'"&amp;"Inc. Exp, W2"&amp;"'!H53")</f>
        <v>0</v>
      </c>
    </row>
    <row r="11" spans="1:10" ht="13.2" customHeight="1" x14ac:dyDescent="0.3">
      <c r="A11" s="910"/>
      <c r="B11" s="245" t="s">
        <v>304</v>
      </c>
      <c r="C11" s="245" t="str">
        <f t="shared" ref="C11:D12" ca="1" si="4">IFERROR(G11,"")</f>
        <v/>
      </c>
      <c r="D11" s="245" t="str">
        <f t="shared" ca="1" si="4"/>
        <v/>
      </c>
      <c r="E11" s="245"/>
      <c r="F11" s="246">
        <f t="shared" ref="F11:F16" ca="1" si="5">IFERROR(I11,0)</f>
        <v>0</v>
      </c>
      <c r="G11" s="492" t="e">
        <f ca="1">INDIRECT("'"&amp;"Inc. Exp, W2 (2)"&amp;"'!C7")</f>
        <v>#REF!</v>
      </c>
      <c r="H11" s="492" t="e">
        <f ca="1">INDIRECT("'"&amp;"Inc. Exp, W2 (2)"&amp;"'!C9")</f>
        <v>#REF!</v>
      </c>
      <c r="I11" s="493" t="e">
        <f ca="1">INDIRECT("'"&amp;"Inc. Exp, W2 (2)"&amp;"'!H24")</f>
        <v>#REF!</v>
      </c>
    </row>
    <row r="12" spans="1:10" ht="13.2" customHeight="1" x14ac:dyDescent="0.3">
      <c r="A12" s="910"/>
      <c r="B12" s="245" t="s">
        <v>305</v>
      </c>
      <c r="C12" s="245" t="str">
        <f t="shared" ca="1" si="4"/>
        <v/>
      </c>
      <c r="D12" s="245" t="str">
        <f t="shared" ca="1" si="4"/>
        <v/>
      </c>
      <c r="E12" s="245"/>
      <c r="F12" s="246">
        <f t="shared" ca="1" si="5"/>
        <v>0</v>
      </c>
      <c r="G12" s="492" t="e">
        <f ca="1">INDIRECT("'"&amp;"Inc. Exp, W2 (2)"&amp;"'!C36")</f>
        <v>#REF!</v>
      </c>
      <c r="H12" s="492" t="e">
        <f ca="1">INDIRECT("'"&amp;"Inc. Exp, W2 (2)"&amp;"'!C38")</f>
        <v>#REF!</v>
      </c>
      <c r="I12" s="493" t="e">
        <f ca="1">INDIRECT("'"&amp;"Inc. Exp, W2 (2)"&amp;"'!H53")</f>
        <v>#REF!</v>
      </c>
    </row>
    <row r="13" spans="1:10" ht="13.2" customHeight="1" x14ac:dyDescent="0.3">
      <c r="A13" s="910"/>
      <c r="B13" s="862" t="s">
        <v>306</v>
      </c>
      <c r="C13" s="245"/>
      <c r="D13" s="245"/>
      <c r="E13" s="245"/>
      <c r="F13" s="246"/>
      <c r="G13" s="492"/>
      <c r="H13" s="492"/>
      <c r="I13" s="493"/>
    </row>
    <row r="14" spans="1:10" ht="13.5" customHeight="1" x14ac:dyDescent="0.3">
      <c r="A14" s="910"/>
      <c r="B14" s="862" t="s">
        <v>307</v>
      </c>
      <c r="C14" s="245"/>
      <c r="D14" s="245"/>
      <c r="E14" s="245"/>
      <c r="F14" s="246"/>
      <c r="G14" s="492"/>
      <c r="H14" s="492"/>
      <c r="I14" s="493"/>
    </row>
    <row r="15" spans="1:10" ht="13.5" customHeight="1" x14ac:dyDescent="0.3">
      <c r="A15" s="911" t="str">
        <f ca="1">IF(J15=0,"",J15)</f>
        <v/>
      </c>
      <c r="B15" s="915" t="s">
        <v>1272</v>
      </c>
      <c r="C15" s="541" t="str">
        <f ca="1">IF(G15=0,"",G15)</f>
        <v/>
      </c>
      <c r="D15" s="541" t="str">
        <f ca="1">IF(H15=0,"",H15)</f>
        <v/>
      </c>
      <c r="E15" s="295"/>
      <c r="F15" s="296">
        <f t="shared" ca="1" si="5"/>
        <v>0</v>
      </c>
      <c r="G15" s="492" t="str">
        <f ca="1">INDIRECT("'"&amp;"Variable with Increase"&amp;"'!N6")</f>
        <v/>
      </c>
      <c r="H15" s="492" t="str">
        <f ca="1">INDIRECT("'"&amp;"Variable with Increase"&amp;"'!N8")</f>
        <v/>
      </c>
      <c r="I15" s="493">
        <f ca="1">INDIRECT("'"&amp;"Variable with Increase"&amp;"'!X32")</f>
        <v>0</v>
      </c>
      <c r="J15" t="str">
        <f ca="1">INDIRECT("'"&amp;"Variable with Increase"&amp;"'!T285")</f>
        <v/>
      </c>
    </row>
    <row r="16" spans="1:10" ht="13.5" customHeight="1" x14ac:dyDescent="0.3">
      <c r="A16" s="911" t="str">
        <f ca="1">IFERROR(J16,"")</f>
        <v/>
      </c>
      <c r="B16" s="916" t="s">
        <v>1272</v>
      </c>
      <c r="C16" s="245" t="str">
        <f ca="1">IFERROR(G16,"")</f>
        <v/>
      </c>
      <c r="D16" s="245" t="str">
        <f ca="1">IFERROR(H16,"")</f>
        <v/>
      </c>
      <c r="E16" s="245"/>
      <c r="F16" s="246">
        <f t="shared" ca="1" si="5"/>
        <v>0</v>
      </c>
      <c r="G16" s="492" t="e">
        <f ca="1">INDIRECT("'"&amp;"Variable with Increase (2)"&amp;"'!N6")</f>
        <v>#REF!</v>
      </c>
      <c r="H16" s="492" t="e">
        <f ca="1">INDIRECT("'"&amp;"Variable with Increase (2)"&amp;"'!N8")</f>
        <v>#REF!</v>
      </c>
      <c r="I16" s="493" t="e">
        <f ca="1">INDIRECT("'"&amp;"Variable with Increase (2)"&amp;"'!X32")</f>
        <v>#REF!</v>
      </c>
      <c r="J16" t="e">
        <f ca="1">INDIRECT("'"&amp;"Variable with Increase (2)"&amp;"'!T285")</f>
        <v>#REF!</v>
      </c>
    </row>
    <row r="17" spans="1:9" ht="13.5" customHeight="1" x14ac:dyDescent="0.3">
      <c r="A17" s="910"/>
      <c r="B17" s="225"/>
      <c r="C17" s="225"/>
      <c r="D17" s="225"/>
      <c r="E17" s="225"/>
      <c r="F17" s="235"/>
      <c r="G17" s="492"/>
      <c r="H17" s="492"/>
      <c r="I17" s="493"/>
    </row>
    <row r="18" spans="1:9" ht="13.5" customHeight="1" x14ac:dyDescent="0.3">
      <c r="A18" s="910"/>
      <c r="B18" s="225"/>
      <c r="C18" s="225"/>
      <c r="D18" s="225"/>
      <c r="E18" s="225"/>
      <c r="F18" s="235"/>
      <c r="G18" s="490"/>
      <c r="H18" s="492"/>
      <c r="I18" s="494"/>
    </row>
    <row r="19" spans="1:9" ht="13.5" customHeight="1" x14ac:dyDescent="0.3">
      <c r="B19" s="913" t="s">
        <v>391</v>
      </c>
      <c r="C19" s="913"/>
      <c r="D19" s="225"/>
      <c r="E19" s="225"/>
      <c r="F19" s="235"/>
      <c r="G19" s="490"/>
      <c r="H19" s="492"/>
      <c r="I19" s="494"/>
    </row>
    <row r="20" spans="1:9" ht="13.5" customHeight="1" x14ac:dyDescent="0.3">
      <c r="B20" s="541" t="s">
        <v>308</v>
      </c>
      <c r="C20" s="1387" t="e">
        <f ca="1">IF(G20=0,"",G20)</f>
        <v>#REF!</v>
      </c>
      <c r="D20" s="1387"/>
      <c r="E20" s="297"/>
      <c r="F20" s="296">
        <f t="shared" ref="F20:F25" ca="1" si="6">IFERROR(I20,0)</f>
        <v>0</v>
      </c>
      <c r="G20" s="492" t="e">
        <f ca="1">INDIRECT("'"&amp;"URE - 2106"&amp;"'!E7")</f>
        <v>#REF!</v>
      </c>
      <c r="H20" s="492"/>
      <c r="I20" s="493" t="e">
        <f ca="1">INDIRECT("'"&amp;"URE - 2106"&amp;"'!O34")</f>
        <v>#REF!</v>
      </c>
    </row>
    <row r="21" spans="1:9" ht="13.5" customHeight="1" x14ac:dyDescent="0.3">
      <c r="B21" s="245" t="s">
        <v>309</v>
      </c>
      <c r="C21" s="1386" t="str">
        <f ca="1">IFERROR(G21,"")</f>
        <v/>
      </c>
      <c r="D21" s="1386"/>
      <c r="E21" s="247"/>
      <c r="F21" s="246">
        <f t="shared" ca="1" si="6"/>
        <v>0</v>
      </c>
      <c r="G21" s="492" t="e">
        <f ca="1">INDIRECT("'"&amp;"URE - 2106 (2)"&amp;"'!E7")</f>
        <v>#REF!</v>
      </c>
      <c r="H21" s="492"/>
      <c r="I21" s="493" t="e">
        <f ca="1">INDIRECT("'"&amp;"URE - 2106 (2)"&amp;"'!O34")</f>
        <v>#REF!</v>
      </c>
    </row>
    <row r="22" spans="1:9" ht="13.5" customHeight="1" x14ac:dyDescent="0.3">
      <c r="B22" s="245" t="s">
        <v>310</v>
      </c>
      <c r="C22" s="1386" t="str">
        <f ca="1">IFERROR(G22,"")</f>
        <v/>
      </c>
      <c r="D22" s="1386"/>
      <c r="E22" s="247"/>
      <c r="F22" s="246">
        <f t="shared" ca="1" si="6"/>
        <v>0</v>
      </c>
      <c r="G22" s="492" t="e">
        <f ca="1">INDIRECT("'"&amp;"URE - 2106 (3)"&amp;"'!E7")</f>
        <v>#REF!</v>
      </c>
      <c r="H22" s="492"/>
      <c r="I22" s="493" t="e">
        <f ca="1">INDIRECT("'"&amp;"URE - 2106 (3)"&amp;"'!O34")</f>
        <v>#REF!</v>
      </c>
    </row>
    <row r="23" spans="1:9" ht="13.5" customHeight="1" x14ac:dyDescent="0.3">
      <c r="B23" s="245" t="s">
        <v>311</v>
      </c>
      <c r="C23" s="1386" t="str">
        <f ca="1">IFERROR(G23,"")</f>
        <v/>
      </c>
      <c r="D23" s="1386"/>
      <c r="E23" s="247"/>
      <c r="F23" s="246">
        <f t="shared" ca="1" si="6"/>
        <v>0</v>
      </c>
      <c r="G23" s="492" t="e">
        <f ca="1">INDIRECT("'"&amp;"URE - 2106 (4)"&amp;"'!E7")</f>
        <v>#REF!</v>
      </c>
      <c r="H23" s="492"/>
      <c r="I23" s="493" t="e">
        <f ca="1">INDIRECT("'"&amp;"URE - 2106 (4)"&amp;"'!O34")</f>
        <v>#REF!</v>
      </c>
    </row>
    <row r="24" spans="1:9" ht="13.5" customHeight="1" x14ac:dyDescent="0.3">
      <c r="B24" s="245" t="s">
        <v>392</v>
      </c>
      <c r="C24" s="1386" t="str">
        <f ca="1">IFERROR(G24,"")</f>
        <v/>
      </c>
      <c r="D24" s="1386"/>
      <c r="E24" s="247"/>
      <c r="F24" s="246">
        <f t="shared" ca="1" si="6"/>
        <v>0</v>
      </c>
      <c r="G24" s="492" t="e">
        <f ca="1">INDIRECT("'"&amp;"URE - 2106 (5)"&amp;"'!E7")</f>
        <v>#REF!</v>
      </c>
      <c r="H24" s="492"/>
      <c r="I24" s="493" t="e">
        <f ca="1">INDIRECT("'"&amp;"URE - 2106 (5)"&amp;"'!O34")</f>
        <v>#REF!</v>
      </c>
    </row>
    <row r="25" spans="1:9" ht="13.5" customHeight="1" x14ac:dyDescent="0.3">
      <c r="B25" s="245" t="s">
        <v>393</v>
      </c>
      <c r="C25" s="1386" t="str">
        <f ca="1">IFERROR(G25,"")</f>
        <v/>
      </c>
      <c r="D25" s="1386"/>
      <c r="E25" s="247"/>
      <c r="F25" s="246">
        <f t="shared" ca="1" si="6"/>
        <v>0</v>
      </c>
      <c r="G25" s="492" t="e">
        <f ca="1">INDIRECT("'"&amp;"URE - 2106 (6)"&amp;"'!E7")</f>
        <v>#REF!</v>
      </c>
      <c r="H25" s="492"/>
      <c r="I25" s="493" t="e">
        <f ca="1">INDIRECT("'"&amp;"URE - 2106 (6)"&amp;"'!O34")</f>
        <v>#REF!</v>
      </c>
    </row>
    <row r="26" spans="1:9" ht="13.5" customHeight="1" x14ac:dyDescent="0.3">
      <c r="B26" s="858" t="s">
        <v>312</v>
      </c>
      <c r="C26" s="1388"/>
      <c r="D26" s="1388"/>
      <c r="E26" s="858"/>
      <c r="F26" s="859"/>
      <c r="G26" s="492"/>
      <c r="H26" s="492"/>
      <c r="I26" s="493"/>
    </row>
    <row r="27" spans="1:9" ht="13.5" customHeight="1" x14ac:dyDescent="0.3">
      <c r="B27" s="858" t="s">
        <v>313</v>
      </c>
      <c r="C27" s="1388"/>
      <c r="D27" s="1388"/>
      <c r="E27" s="858"/>
      <c r="F27" s="859"/>
      <c r="G27" s="492"/>
      <c r="H27" s="492"/>
      <c r="I27" s="493"/>
    </row>
    <row r="28" spans="1:9" ht="13.5" customHeight="1" x14ac:dyDescent="0.3">
      <c r="B28" s="858" t="s">
        <v>314</v>
      </c>
      <c r="C28" s="1388"/>
      <c r="D28" s="1388"/>
      <c r="E28" s="858"/>
      <c r="F28" s="859"/>
      <c r="G28" s="492"/>
      <c r="H28" s="492"/>
      <c r="I28" s="493"/>
    </row>
    <row r="29" spans="1:9" ht="13.5" customHeight="1" x14ac:dyDescent="0.3">
      <c r="B29" s="858" t="s">
        <v>315</v>
      </c>
      <c r="C29" s="1388"/>
      <c r="D29" s="1388"/>
      <c r="E29" s="858"/>
      <c r="F29" s="859"/>
      <c r="G29" s="492"/>
      <c r="H29" s="492"/>
      <c r="I29" s="493"/>
    </row>
    <row r="30" spans="1:9" ht="13.5" customHeight="1" x14ac:dyDescent="0.3">
      <c r="B30" s="858" t="s">
        <v>396</v>
      </c>
      <c r="C30" s="1388"/>
      <c r="D30" s="1388"/>
      <c r="E30" s="858"/>
      <c r="F30" s="859"/>
      <c r="G30" s="492"/>
      <c r="H30" s="492"/>
      <c r="I30" s="493"/>
    </row>
    <row r="31" spans="1:9" ht="13.5" customHeight="1" x14ac:dyDescent="0.3">
      <c r="B31" s="858" t="s">
        <v>397</v>
      </c>
      <c r="C31" s="1388"/>
      <c r="D31" s="1388"/>
      <c r="E31" s="858"/>
      <c r="F31" s="860"/>
      <c r="G31" s="492"/>
      <c r="H31" s="492"/>
      <c r="I31" s="493"/>
    </row>
    <row r="32" spans="1:9" ht="13.5" customHeight="1" thickBot="1" x14ac:dyDescent="0.35">
      <c r="B32" s="224"/>
      <c r="C32" s="224"/>
      <c r="D32" s="224"/>
      <c r="E32" s="224"/>
      <c r="F32" s="251">
        <f ca="1">SUM(F20:F31)</f>
        <v>0</v>
      </c>
      <c r="G32" s="492"/>
      <c r="H32" s="492"/>
      <c r="I32" s="494"/>
    </row>
    <row r="33" spans="1:10" ht="13.5" customHeight="1" thickTop="1" x14ac:dyDescent="0.3">
      <c r="B33" s="224"/>
      <c r="C33" s="224"/>
      <c r="D33" s="224"/>
      <c r="E33" s="224"/>
      <c r="F33" s="542"/>
      <c r="G33" s="492"/>
      <c r="H33" s="492"/>
      <c r="I33" s="494"/>
    </row>
    <row r="34" spans="1:10" ht="13.5" customHeight="1" x14ac:dyDescent="0.3">
      <c r="B34" s="224"/>
      <c r="C34" s="224"/>
      <c r="D34" s="224"/>
      <c r="E34" s="224"/>
      <c r="F34" s="542"/>
      <c r="G34" s="492"/>
      <c r="H34" s="492"/>
      <c r="I34" s="494"/>
    </row>
    <row r="35" spans="1:10" ht="13.5" customHeight="1" x14ac:dyDescent="0.3">
      <c r="B35" s="224"/>
      <c r="C35" s="224"/>
      <c r="D35" s="224"/>
      <c r="E35" s="224"/>
      <c r="F35" s="542"/>
      <c r="G35" s="492"/>
      <c r="H35" s="492"/>
      <c r="I35" s="494"/>
    </row>
    <row r="36" spans="1:10" ht="13.5" customHeight="1" x14ac:dyDescent="0.3">
      <c r="A36" s="1057"/>
      <c r="B36" s="913"/>
      <c r="C36" s="224"/>
      <c r="D36" s="224"/>
      <c r="E36" s="224"/>
      <c r="F36" s="238"/>
      <c r="G36" s="492"/>
      <c r="H36" s="492"/>
      <c r="I36" s="494"/>
    </row>
    <row r="37" spans="1:10" ht="13.5" customHeight="1" x14ac:dyDescent="0.3">
      <c r="B37" s="913" t="s">
        <v>110</v>
      </c>
      <c r="C37" s="224"/>
      <c r="D37" s="224"/>
      <c r="E37" s="224"/>
      <c r="F37" s="238"/>
      <c r="G37" s="492"/>
      <c r="H37" s="492"/>
      <c r="I37" s="494"/>
    </row>
    <row r="38" spans="1:10" ht="13.5" customHeight="1" x14ac:dyDescent="0.3">
      <c r="B38" s="298" t="s">
        <v>394</v>
      </c>
      <c r="C38" s="541" t="str">
        <f ca="1">IF(G38=0,"",G38)</f>
        <v/>
      </c>
      <c r="D38" s="541" t="str">
        <f ca="1">IF(H38=0,"",H38)</f>
        <v/>
      </c>
      <c r="E38" s="297"/>
      <c r="F38" s="296">
        <f t="shared" ref="F38:F45" ca="1" si="7">IFERROR(I38,0)</f>
        <v>0</v>
      </c>
      <c r="G38" s="492">
        <f ca="1">INDIRECT("'"&amp;"Inc. Exp, Other"&amp;"'!C8")</f>
        <v>0</v>
      </c>
      <c r="H38" s="492">
        <f ca="1">INDIRECT("'"&amp;"Inc. Exp, Other"&amp;"'!C10")</f>
        <v>0</v>
      </c>
      <c r="I38" s="493">
        <f ca="1">INDIRECT("'"&amp;"Inc. Exp, Other"&amp;"'!M13")</f>
        <v>0</v>
      </c>
    </row>
    <row r="39" spans="1:10" ht="13.5" customHeight="1" x14ac:dyDescent="0.3">
      <c r="B39" s="298" t="s">
        <v>395</v>
      </c>
      <c r="C39" s="541" t="str">
        <f ca="1">IF(G39=0,"",G39)</f>
        <v/>
      </c>
      <c r="D39" s="541" t="str">
        <f ca="1">IF(H39=0,"",H39)</f>
        <v/>
      </c>
      <c r="E39" s="297"/>
      <c r="F39" s="296">
        <f t="shared" ca="1" si="7"/>
        <v>0</v>
      </c>
      <c r="G39" s="492">
        <f ca="1">INDIRECT("'"&amp;"Inc. Exp, Other"&amp;"'!C33")</f>
        <v>0</v>
      </c>
      <c r="H39" s="492">
        <f ca="1">INDIRECT("'"&amp;"Inc. Exp, Other"&amp;"'!C35")</f>
        <v>0</v>
      </c>
      <c r="I39" s="493">
        <f ca="1">INDIRECT("'"&amp;"Inc. Exp, Other"&amp;"'!M38")</f>
        <v>0</v>
      </c>
    </row>
    <row r="40" spans="1:10" ht="13.5" customHeight="1" x14ac:dyDescent="0.3">
      <c r="B40" s="248" t="s">
        <v>316</v>
      </c>
      <c r="C40" s="245" t="str">
        <f t="shared" ref="C40:D43" ca="1" si="8">IFERROR(G40,"")</f>
        <v/>
      </c>
      <c r="D40" s="245" t="str">
        <f t="shared" ca="1" si="8"/>
        <v/>
      </c>
      <c r="E40" s="247"/>
      <c r="F40" s="246">
        <f t="shared" ca="1" si="7"/>
        <v>0</v>
      </c>
      <c r="G40" s="492" t="e">
        <f ca="1">INDIRECT("'"&amp;"Inc. Exp, Other (2)"&amp;"'!C8")</f>
        <v>#REF!</v>
      </c>
      <c r="H40" s="492" t="e">
        <f ca="1">INDIRECT("'"&amp;"Inc. Exp, Other (2)"&amp;"'!C10")</f>
        <v>#REF!</v>
      </c>
      <c r="I40" s="493" t="e">
        <f ca="1">INDIRECT("'"&amp;"Inc. Exp, Other (2)"&amp;"'!M13")</f>
        <v>#REF!</v>
      </c>
    </row>
    <row r="41" spans="1:10" ht="13.5" customHeight="1" x14ac:dyDescent="0.3">
      <c r="B41" s="248" t="s">
        <v>317</v>
      </c>
      <c r="C41" s="245" t="str">
        <f t="shared" ca="1" si="8"/>
        <v/>
      </c>
      <c r="D41" s="245" t="str">
        <f t="shared" ca="1" si="8"/>
        <v/>
      </c>
      <c r="E41" s="247"/>
      <c r="F41" s="246">
        <f t="shared" ca="1" si="7"/>
        <v>0</v>
      </c>
      <c r="G41" s="492" t="e">
        <f ca="1">INDIRECT("'"&amp;"Inc. Exp, Other (2)"&amp;"'!C33")</f>
        <v>#REF!</v>
      </c>
      <c r="H41" s="492" t="e">
        <f ca="1">INDIRECT("'"&amp;"Inc. Exp, Other (2)"&amp;"'!C35")</f>
        <v>#REF!</v>
      </c>
      <c r="I41" s="493" t="e">
        <f ca="1">INDIRECT("'"&amp;"Inc. Exp, Other (2)"&amp;"'!M38")</f>
        <v>#REF!</v>
      </c>
    </row>
    <row r="42" spans="1:10" ht="13.5" customHeight="1" x14ac:dyDescent="0.3">
      <c r="B42" s="298" t="s">
        <v>1149</v>
      </c>
      <c r="C42" s="541" t="str">
        <f ca="1">IF(G42=0,"",G42)</f>
        <v/>
      </c>
      <c r="D42" s="541" t="str">
        <f ca="1">IF(H42=0,"",IF(OR(C42&lt;&gt;"",F42&gt;0),H42,""))</f>
        <v/>
      </c>
      <c r="E42" s="297"/>
      <c r="F42" s="296">
        <f t="shared" ca="1" si="7"/>
        <v>0</v>
      </c>
      <c r="G42" s="492">
        <f ca="1">INDIRECT("'"&amp;"Drill Pay"&amp;"'!E6")</f>
        <v>0</v>
      </c>
      <c r="H42" s="492" t="str">
        <f ca="1">INDIRECT("'"&amp;"Drill Pay"&amp;"'!A2")</f>
        <v>Drill Pay</v>
      </c>
      <c r="I42" s="493">
        <f ca="1">INDIRECT("'"&amp;"Drill Pay"&amp;"'!O27")</f>
        <v>0</v>
      </c>
    </row>
    <row r="43" spans="1:10" ht="13.5" customHeight="1" x14ac:dyDescent="0.3">
      <c r="B43" s="248" t="s">
        <v>1149</v>
      </c>
      <c r="C43" s="245" t="str">
        <f t="shared" ca="1" si="8"/>
        <v/>
      </c>
      <c r="D43" s="245" t="str">
        <f t="shared" ca="1" si="8"/>
        <v/>
      </c>
      <c r="E43" s="247"/>
      <c r="F43" s="246">
        <f ca="1">IFERROR(I43,0)</f>
        <v>0</v>
      </c>
      <c r="G43" s="492" t="e">
        <f ca="1">INDIRECT("'"&amp;"Drill Pay (2)"&amp;"'!E6")</f>
        <v>#REF!</v>
      </c>
      <c r="H43" s="492" t="e">
        <f ca="1">INDIRECT("'"&amp;"Drill Pay (2)"&amp;"'!A2")</f>
        <v>#REF!</v>
      </c>
      <c r="I43" s="493" t="e">
        <f ca="1">INDIRECT("'"&amp;"Drill Pay (2)"&amp;"'!O27")</f>
        <v>#REF!</v>
      </c>
    </row>
    <row r="44" spans="1:10" ht="13.5" customHeight="1" x14ac:dyDescent="0.3">
      <c r="B44" s="298" t="s">
        <v>895</v>
      </c>
      <c r="C44" s="541" t="str">
        <f ca="1">IF(G44=0,"",G44)</f>
        <v/>
      </c>
      <c r="D44" s="541" t="str">
        <f ca="1">IF(H44=0,"",H44)</f>
        <v/>
      </c>
      <c r="E44" s="297"/>
      <c r="F44" s="296">
        <f t="shared" ca="1" si="7"/>
        <v>0</v>
      </c>
      <c r="G44" s="492">
        <f ca="1">INDIRECT("'"&amp;"Income Averager"&amp;"'!C6")</f>
        <v>0</v>
      </c>
      <c r="H44" s="492">
        <f ca="1">INDIRECT("'"&amp;"Income Averager"&amp;"'!C8")</f>
        <v>0</v>
      </c>
      <c r="I44" s="492">
        <f ca="1">INDIRECT("'"&amp;"Income Averager"&amp;"'!T65")</f>
        <v>0</v>
      </c>
    </row>
    <row r="45" spans="1:10" ht="13.5" customHeight="1" x14ac:dyDescent="0.3">
      <c r="B45" s="248" t="s">
        <v>896</v>
      </c>
      <c r="C45" s="245" t="str">
        <f t="shared" ref="C45:D47" ca="1" si="9">IFERROR(G45,"")</f>
        <v/>
      </c>
      <c r="D45" s="245" t="str">
        <f t="shared" ca="1" si="9"/>
        <v/>
      </c>
      <c r="E45" s="247"/>
      <c r="F45" s="246">
        <f t="shared" ca="1" si="7"/>
        <v>0</v>
      </c>
      <c r="G45" s="492" t="e">
        <f ca="1">INDIRECT("'"&amp;"Income Averager (2)"&amp;"'!C6")</f>
        <v>#REF!</v>
      </c>
      <c r="H45" s="492" t="e">
        <f ca="1">INDIRECT("'"&amp;"Income Averager (2)"&amp;"'!C8")</f>
        <v>#REF!</v>
      </c>
      <c r="I45" s="492" t="e">
        <f ca="1">INDIRECT("'"&amp;"Income Averager (2)"&amp;"'!T65")</f>
        <v>#REF!</v>
      </c>
    </row>
    <row r="46" spans="1:10" ht="13.5" customHeight="1" x14ac:dyDescent="0.3">
      <c r="B46" s="248" t="s">
        <v>925</v>
      </c>
      <c r="C46" s="245" t="str">
        <f t="shared" ca="1" si="9"/>
        <v/>
      </c>
      <c r="D46" s="245" t="str">
        <f t="shared" ca="1" si="9"/>
        <v/>
      </c>
      <c r="E46" s="247"/>
      <c r="F46" s="246">
        <f t="shared" ref="F46:F58" ca="1" si="10">IFERROR(I46,0)</f>
        <v>0</v>
      </c>
      <c r="G46" s="492" t="e">
        <f ca="1">INDIRECT("'"&amp;"Income Averager (3)"&amp;"'!C6")</f>
        <v>#REF!</v>
      </c>
      <c r="H46" s="492" t="e">
        <f ca="1">INDIRECT("'"&amp;"Income Averager (3)"&amp;"'!C8")</f>
        <v>#REF!</v>
      </c>
      <c r="I46" s="492" t="e">
        <f ca="1">INDIRECT("'"&amp;"Income Averager (3)"&amp;"'!T65")</f>
        <v>#REF!</v>
      </c>
    </row>
    <row r="47" spans="1:10" ht="13.5" customHeight="1" x14ac:dyDescent="0.3">
      <c r="B47" s="248" t="s">
        <v>926</v>
      </c>
      <c r="C47" s="245" t="str">
        <f t="shared" ca="1" si="9"/>
        <v/>
      </c>
      <c r="D47" s="245" t="str">
        <f t="shared" ca="1" si="9"/>
        <v/>
      </c>
      <c r="E47" s="247"/>
      <c r="F47" s="246">
        <f t="shared" ca="1" si="10"/>
        <v>0</v>
      </c>
      <c r="G47" s="492" t="e">
        <f ca="1">INDIRECT("'"&amp;"Income Averager (4)"&amp;"'!C6")</f>
        <v>#REF!</v>
      </c>
      <c r="H47" s="492" t="e">
        <f ca="1">INDIRECT("'"&amp;"Income Averager (4)"&amp;"'!C8")</f>
        <v>#REF!</v>
      </c>
      <c r="I47" s="492" t="e">
        <f ca="1">INDIRECT("'"&amp;"Income Averager (4)"&amp;"'!T65")</f>
        <v>#REF!</v>
      </c>
    </row>
    <row r="48" spans="1:10" ht="13.5" customHeight="1" x14ac:dyDescent="0.3">
      <c r="A48" s="911" t="str">
        <f ca="1">IF(J48=0,"",J48)</f>
        <v/>
      </c>
      <c r="B48" s="914" t="s">
        <v>1215</v>
      </c>
      <c r="C48" s="541" t="str">
        <f ca="1">IF(G48=0,"",G48)</f>
        <v/>
      </c>
      <c r="D48" s="541" t="str">
        <f ca="1">IF(H48=0,"",H48)</f>
        <v/>
      </c>
      <c r="E48" s="297"/>
      <c r="F48" s="296">
        <f t="shared" ca="1" si="10"/>
        <v>0</v>
      </c>
      <c r="G48" s="492">
        <f ca="1">INDIRECT("'"&amp;"Assets as Income"&amp;"'!D6")</f>
        <v>0</v>
      </c>
      <c r="H48" s="492">
        <f ca="1">INDIRECT("'"&amp;"Assets as Income"&amp;"'!B29")</f>
        <v>0</v>
      </c>
      <c r="I48" s="492">
        <f ca="1">INDIRECT("'"&amp;"Assets as Income"&amp;"'!Y72")</f>
        <v>0</v>
      </c>
      <c r="J48" s="492" t="str">
        <f ca="1">INDIRECT("'"&amp;"Assets as Income"&amp;"'!V81")</f>
        <v/>
      </c>
    </row>
    <row r="49" spans="1:10" ht="13.5" customHeight="1" x14ac:dyDescent="0.3">
      <c r="A49" s="911" t="str">
        <f ca="1">IFERROR(J49,"")</f>
        <v/>
      </c>
      <c r="B49" s="917" t="s">
        <v>1213</v>
      </c>
      <c r="C49" s="245" t="str">
        <f t="shared" ref="C49:D51" ca="1" si="11">IFERROR(G49,"")</f>
        <v/>
      </c>
      <c r="D49" s="245" t="str">
        <f t="shared" ca="1" si="11"/>
        <v/>
      </c>
      <c r="E49" s="247"/>
      <c r="F49" s="246">
        <f t="shared" ca="1" si="10"/>
        <v>0</v>
      </c>
      <c r="G49" s="492" t="e">
        <f ca="1">INDIRECT("'"&amp;"Assets as Income (2)"&amp;"'!D6")</f>
        <v>#REF!</v>
      </c>
      <c r="H49" s="492" t="e">
        <f ca="1">INDIRECT("'"&amp;"Assets as Income (2)"&amp;"'!B29")</f>
        <v>#REF!</v>
      </c>
      <c r="I49" s="492" t="e">
        <f ca="1">INDIRECT("'"&amp;"Assets as Income (2)"&amp;"'!Y72")</f>
        <v>#REF!</v>
      </c>
      <c r="J49" s="492" t="e">
        <f ca="1">INDIRECT("'"&amp;"Assets as Income (2)"&amp;"'!V81")</f>
        <v>#REF!</v>
      </c>
    </row>
    <row r="50" spans="1:10" ht="13.5" customHeight="1" x14ac:dyDescent="0.3">
      <c r="A50" s="911" t="str">
        <f ca="1">IFERROR(J50,"")</f>
        <v/>
      </c>
      <c r="B50" s="917" t="s">
        <v>1214</v>
      </c>
      <c r="C50" s="245" t="str">
        <f t="shared" ca="1" si="11"/>
        <v/>
      </c>
      <c r="D50" s="245" t="str">
        <f t="shared" ca="1" si="11"/>
        <v/>
      </c>
      <c r="E50" s="247"/>
      <c r="F50" s="246">
        <f t="shared" ca="1" si="10"/>
        <v>0</v>
      </c>
      <c r="G50" s="492" t="e">
        <f ca="1">INDIRECT("'"&amp;"Assets as Income (3)"&amp;"'!D6")</f>
        <v>#REF!</v>
      </c>
      <c r="H50" s="492" t="e">
        <f ca="1">INDIRECT("'"&amp;"Assets as Income (3)"&amp;"'!B29")</f>
        <v>#REF!</v>
      </c>
      <c r="I50" s="492" t="e">
        <f ca="1">INDIRECT("'"&amp;"Assets as Income (3)"&amp;"'!Y72")</f>
        <v>#REF!</v>
      </c>
      <c r="J50" s="492" t="e">
        <f ca="1">INDIRECT("'"&amp;"Assets as Income (3)"&amp;"'!V81")</f>
        <v>#REF!</v>
      </c>
    </row>
    <row r="51" spans="1:10" ht="13.5" customHeight="1" x14ac:dyDescent="0.3">
      <c r="A51" s="911" t="str">
        <f ca="1">IFERROR(J51,"")</f>
        <v/>
      </c>
      <c r="B51" s="917" t="s">
        <v>1212</v>
      </c>
      <c r="C51" s="245" t="str">
        <f t="shared" ca="1" si="11"/>
        <v/>
      </c>
      <c r="D51" s="245" t="str">
        <f t="shared" ca="1" si="11"/>
        <v/>
      </c>
      <c r="E51" s="247"/>
      <c r="F51" s="246">
        <f t="shared" ca="1" si="10"/>
        <v>0</v>
      </c>
      <c r="G51" s="492" t="e">
        <f ca="1">INDIRECT("'"&amp;"Assets as Income (4)"&amp;"'!D6")</f>
        <v>#REF!</v>
      </c>
      <c r="H51" s="492" t="e">
        <f ca="1">INDIRECT("'"&amp;"Assets as Income (4)"&amp;"'!B29")</f>
        <v>#REF!</v>
      </c>
      <c r="I51" s="492" t="e">
        <f ca="1">INDIRECT("'"&amp;"Assets as Income (4)"&amp;"'!Y72")</f>
        <v>#REF!</v>
      </c>
      <c r="J51" s="492" t="e">
        <f ca="1">INDIRECT("'"&amp;"Assets as Income (4)"&amp;"'!V81")</f>
        <v>#REF!</v>
      </c>
    </row>
    <row r="52" spans="1:10" ht="13.5" customHeight="1" x14ac:dyDescent="0.3">
      <c r="B52" s="298" t="s">
        <v>1061</v>
      </c>
      <c r="C52" s="541" t="str">
        <f ca="1">IF(G52=0,"",G52)</f>
        <v/>
      </c>
      <c r="D52" s="541" t="str">
        <f ca="1">IF(H52=0,"",H52)</f>
        <v/>
      </c>
      <c r="E52" s="297"/>
      <c r="F52" s="296">
        <f t="shared" ca="1" si="10"/>
        <v>0</v>
      </c>
      <c r="G52" s="492">
        <f ca="1">INDIRECT("'"&amp;"Int. &amp; Div. (sch B)"&amp;"'!D6")</f>
        <v>0</v>
      </c>
      <c r="H52" s="492" t="str">
        <f ca="1">INDIRECT("'"&amp;"Int. &amp; Div. (sch B)"&amp;"'!C16")</f>
        <v/>
      </c>
      <c r="I52" s="492">
        <f ca="1">INDIRECT("'"&amp;"Int. &amp; Div. (sch B)"&amp;"'!W49")</f>
        <v>0</v>
      </c>
    </row>
    <row r="53" spans="1:10" ht="13.5" customHeight="1" x14ac:dyDescent="0.3">
      <c r="B53" s="248" t="s">
        <v>1061</v>
      </c>
      <c r="C53" s="245" t="str">
        <f t="shared" ref="C53:D55" ca="1" si="12">IFERROR(G53,"")</f>
        <v/>
      </c>
      <c r="D53" s="245" t="str">
        <f t="shared" ca="1" si="12"/>
        <v/>
      </c>
      <c r="E53" s="247"/>
      <c r="F53" s="246">
        <f t="shared" ca="1" si="10"/>
        <v>0</v>
      </c>
      <c r="G53" s="492" t="e">
        <f ca="1">INDIRECT("'"&amp;"Int. &amp; Div. (sch B) (2)"&amp;"'!D6")</f>
        <v>#REF!</v>
      </c>
      <c r="H53" s="492" t="e">
        <f ca="1">INDIRECT("'"&amp;"Int. &amp; Div. (sch B) (2)"&amp;"'!C16")</f>
        <v>#REF!</v>
      </c>
      <c r="I53" s="492" t="e">
        <f ca="1">INDIRECT("'"&amp;"Int. &amp; Div. (sch B) (2)"&amp;"'!W49")</f>
        <v>#REF!</v>
      </c>
    </row>
    <row r="54" spans="1:10" ht="13.5" customHeight="1" x14ac:dyDescent="0.3">
      <c r="B54" s="248" t="s">
        <v>1061</v>
      </c>
      <c r="C54" s="245" t="str">
        <f t="shared" ca="1" si="12"/>
        <v/>
      </c>
      <c r="D54" s="245" t="str">
        <f t="shared" ca="1" si="12"/>
        <v/>
      </c>
      <c r="E54" s="247"/>
      <c r="F54" s="246">
        <f t="shared" ca="1" si="10"/>
        <v>0</v>
      </c>
      <c r="G54" s="492" t="e">
        <f ca="1">INDIRECT("'"&amp;"Int. &amp; Div. (sch B) (3)"&amp;"'!D6")</f>
        <v>#REF!</v>
      </c>
      <c r="H54" s="492" t="e">
        <f ca="1">INDIRECT("'"&amp;"Int. &amp; Div. (sch B) (3)"&amp;"'!C16")</f>
        <v>#REF!</v>
      </c>
      <c r="I54" s="492" t="e">
        <f ca="1">INDIRECT("'"&amp;"Int. &amp; Div. (sch B) (3)"&amp;"'!W49")</f>
        <v>#REF!</v>
      </c>
    </row>
    <row r="55" spans="1:10" ht="13.5" customHeight="1" x14ac:dyDescent="0.3">
      <c r="B55" s="248" t="s">
        <v>1061</v>
      </c>
      <c r="C55" s="245" t="str">
        <f t="shared" ca="1" si="12"/>
        <v/>
      </c>
      <c r="D55" s="245" t="str">
        <f t="shared" ca="1" si="12"/>
        <v/>
      </c>
      <c r="E55" s="247"/>
      <c r="F55" s="246">
        <f t="shared" ca="1" si="10"/>
        <v>0</v>
      </c>
      <c r="G55" s="492" t="e">
        <f ca="1">INDIRECT("'"&amp;"Int. &amp; Div. (sch B) (4)"&amp;"'!D6")</f>
        <v>#REF!</v>
      </c>
      <c r="H55" s="492" t="e">
        <f ca="1">INDIRECT("'"&amp;"Int. &amp; Div. (sch B) (4)"&amp;"'!C16")</f>
        <v>#REF!</v>
      </c>
      <c r="I55" s="492" t="e">
        <f ca="1">INDIRECT("'"&amp;"Int. &amp; Div. (sch B) (4)"&amp;"'!W49")</f>
        <v>#REF!</v>
      </c>
    </row>
    <row r="56" spans="1:10" ht="13.5" customHeight="1" x14ac:dyDescent="0.3">
      <c r="A56" s="911" t="str">
        <f ca="1">IF(J56=0,"",J56)</f>
        <v/>
      </c>
      <c r="B56" s="914" t="s">
        <v>1211</v>
      </c>
      <c r="C56" s="541" t="str">
        <f ca="1">IF(G56=0,"",G56)</f>
        <v/>
      </c>
      <c r="D56" s="541" t="str">
        <f ca="1">IF(H56=0,"",H56)</f>
        <v/>
      </c>
      <c r="E56" s="297"/>
      <c r="F56" s="296">
        <f t="shared" ca="1" si="10"/>
        <v>0</v>
      </c>
      <c r="G56" s="492">
        <f ca="1">INDIRECT("'"&amp;"RSU Income"&amp;"'!C6")</f>
        <v>0</v>
      </c>
      <c r="H56" s="492" t="str">
        <f ca="1">INDIRECT("'"&amp;"RSU Income"&amp;"'!C19")</f>
        <v/>
      </c>
      <c r="I56" s="794">
        <f ca="1">INDIRECT("'"&amp;"RSU Income"&amp;"'!K52")</f>
        <v>0</v>
      </c>
      <c r="J56" s="492" t="str">
        <f ca="1">INDIRECT("'"&amp;"RSU Income"&amp;"'!I85")</f>
        <v/>
      </c>
    </row>
    <row r="57" spans="1:10" ht="13.5" customHeight="1" x14ac:dyDescent="0.3">
      <c r="A57" s="911" t="str">
        <f ca="1">IFERROR(J57,"")</f>
        <v/>
      </c>
      <c r="B57" s="917" t="s">
        <v>1210</v>
      </c>
      <c r="C57" s="245" t="str">
        <f ca="1">IFERROR(G57,"")</f>
        <v/>
      </c>
      <c r="D57" s="245" t="str">
        <f ca="1">IFERROR(H57,"")</f>
        <v/>
      </c>
      <c r="E57" s="247"/>
      <c r="F57" s="246">
        <f t="shared" ca="1" si="10"/>
        <v>0</v>
      </c>
      <c r="G57" s="492" t="e">
        <f ca="1">INDIRECT("'"&amp;"RSU Income (2)"&amp;"'!C6")</f>
        <v>#REF!</v>
      </c>
      <c r="H57" s="492" t="e">
        <f ca="1">INDIRECT("'"&amp;"RSU Income (2)"&amp;"'!C19")</f>
        <v>#REF!</v>
      </c>
      <c r="I57" s="794" t="e">
        <f ca="1">INDIRECT("'"&amp;"RSU Income (2)"&amp;"'!K52")</f>
        <v>#REF!</v>
      </c>
      <c r="J57" s="492" t="e">
        <f ca="1">INDIRECT("'"&amp;"RSU Income (2)"&amp;"'!I85")</f>
        <v>#REF!</v>
      </c>
    </row>
    <row r="58" spans="1:10" ht="13.5" customHeight="1" x14ac:dyDescent="0.3">
      <c r="A58" s="911" t="str">
        <f ca="1">IFERROR(J58,"")</f>
        <v/>
      </c>
      <c r="B58" s="917" t="s">
        <v>1220</v>
      </c>
      <c r="C58" s="245" t="str">
        <f ca="1">IFERROR(G58,"")</f>
        <v/>
      </c>
      <c r="D58" s="245" t="str">
        <f ca="1">IFERROR(H58,"")</f>
        <v/>
      </c>
      <c r="E58" s="247"/>
      <c r="F58" s="246">
        <f t="shared" ca="1" si="10"/>
        <v>0</v>
      </c>
      <c r="G58" s="492" t="e">
        <f ca="1">INDIRECT("'"&amp;"RSU Income (3)"&amp;"'!C6")</f>
        <v>#REF!</v>
      </c>
      <c r="H58" s="492" t="e">
        <f ca="1">INDIRECT("'"&amp;"RSU Income (3)"&amp;"'!C19")</f>
        <v>#REF!</v>
      </c>
      <c r="I58" s="794" t="e">
        <f ca="1">INDIRECT("'"&amp;"RSU Income (3)"&amp;"'!K52")</f>
        <v>#REF!</v>
      </c>
      <c r="J58" s="492" t="e">
        <f ca="1">INDIRECT("'"&amp;"RSU Income (3)"&amp;"'!I85")</f>
        <v>#REF!</v>
      </c>
    </row>
    <row r="59" spans="1:10" ht="13.5" customHeight="1" x14ac:dyDescent="0.3">
      <c r="A59" s="911" t="str">
        <f ca="1">IF(J59=0,"",J59)</f>
        <v/>
      </c>
      <c r="B59" s="914" t="s">
        <v>1358</v>
      </c>
      <c r="C59" s="541" t="str">
        <f ca="1">IF(G59=0,"",G59)</f>
        <v/>
      </c>
      <c r="D59" s="541" t="str">
        <f ca="1">IF(H59=0,"",H59)</f>
        <v/>
      </c>
      <c r="E59" s="297"/>
      <c r="F59" s="296">
        <f t="shared" ref="F59:F60" ca="1" si="13">IFERROR(I59,0)</f>
        <v>0</v>
      </c>
      <c r="G59" s="492">
        <f ca="1">INDIRECT("'"&amp;"1099 Non-Self Employed"&amp;"'!C6")</f>
        <v>0</v>
      </c>
      <c r="H59" s="492">
        <f ca="1">INDIRECT("'"&amp;"1099 Non-Self Employed"&amp;"'!C8")</f>
        <v>0</v>
      </c>
      <c r="I59" s="794">
        <f ca="1">INDIRECT("'"&amp;"1099 Non-Self Employed"&amp;"'!U85")</f>
        <v>0</v>
      </c>
      <c r="J59" s="492" t="str">
        <f ca="1">INDIRECT("'"&amp;"1099 Non-Self Employed"&amp;"'!Q104")</f>
        <v/>
      </c>
    </row>
    <row r="60" spans="1:10" ht="13.5" customHeight="1" x14ac:dyDescent="0.3">
      <c r="A60" s="911" t="str">
        <f ca="1">IFERROR(J60,"")</f>
        <v/>
      </c>
      <c r="B60" s="1126" t="s">
        <v>1359</v>
      </c>
      <c r="C60" s="245" t="str">
        <f ca="1">IFERROR(G60,"")</f>
        <v/>
      </c>
      <c r="D60" s="245" t="str">
        <f ca="1">IFERROR(H60,"")</f>
        <v/>
      </c>
      <c r="E60" s="247"/>
      <c r="F60" s="246">
        <f t="shared" ca="1" si="13"/>
        <v>0</v>
      </c>
      <c r="G60" s="492" t="e">
        <f ca="1">INDIRECT("'"&amp;"1099 Non-Self Employed (2)"&amp;"'!C6")</f>
        <v>#REF!</v>
      </c>
      <c r="H60" s="492" t="e">
        <f ca="1">INDIRECT("'"&amp;"1099 Non-Self Employed (2)"&amp;"'!C8")</f>
        <v>#REF!</v>
      </c>
      <c r="I60" s="794" t="e">
        <f ca="1">INDIRECT("'"&amp;"1099 Non-Self Employed (2)"&amp;"'!U85")</f>
        <v>#REF!</v>
      </c>
      <c r="J60" s="492" t="e">
        <f ca="1">INDIRECT("'"&amp;"1099 Non-Self Employed (2)"&amp;"'!Q104")</f>
        <v>#REF!</v>
      </c>
    </row>
    <row r="61" spans="1:10" ht="13.5" customHeight="1" x14ac:dyDescent="0.3">
      <c r="C61" s="225"/>
      <c r="D61" s="225"/>
      <c r="E61" s="224"/>
      <c r="F61" s="235"/>
      <c r="G61" s="492"/>
      <c r="H61" s="492"/>
      <c r="I61" s="492"/>
    </row>
    <row r="62" spans="1:10" ht="13.5" customHeight="1" x14ac:dyDescent="0.3">
      <c r="C62" s="225"/>
      <c r="D62" s="225"/>
      <c r="E62" s="224"/>
      <c r="F62" s="235"/>
      <c r="G62" s="492"/>
      <c r="H62" s="492"/>
      <c r="I62" s="492"/>
    </row>
    <row r="63" spans="1:10" ht="13.5" customHeight="1" x14ac:dyDescent="0.3">
      <c r="B63" s="297" t="s">
        <v>998</v>
      </c>
      <c r="C63" s="1387" t="str">
        <f ca="1">IF(G63=0,"",G63)</f>
        <v/>
      </c>
      <c r="D63" s="1387"/>
      <c r="E63" s="297"/>
      <c r="F63" s="296">
        <f ca="1">IFERROR(I63,0)</f>
        <v>0</v>
      </c>
      <c r="G63" s="492">
        <f ca="1">INDIRECT("'"&amp;"MCC Income Credit"&amp;"'!E7")</f>
        <v>0</v>
      </c>
      <c r="H63" s="492"/>
      <c r="I63" s="493">
        <f ca="1">INDIRECT("'"&amp;"MCC Income Credit"&amp;"'!O27")</f>
        <v>0</v>
      </c>
    </row>
    <row r="64" spans="1:10" ht="13.5" customHeight="1" x14ac:dyDescent="0.3">
      <c r="C64" s="225"/>
      <c r="D64" s="225"/>
      <c r="E64" s="224"/>
      <c r="F64" s="235"/>
      <c r="G64" s="492"/>
      <c r="H64" s="492"/>
      <c r="I64" s="492"/>
    </row>
    <row r="65" spans="1:10" ht="13.5" customHeight="1" x14ac:dyDescent="0.3">
      <c r="C65" s="225"/>
      <c r="D65" s="225"/>
      <c r="E65" s="224"/>
      <c r="F65" s="235"/>
      <c r="G65" s="492"/>
      <c r="H65" s="492"/>
      <c r="I65" s="492"/>
    </row>
    <row r="66" spans="1:10" ht="13.5" customHeight="1" x14ac:dyDescent="0.3">
      <c r="C66" s="225"/>
      <c r="D66" s="225"/>
      <c r="E66" s="224"/>
      <c r="F66" s="235"/>
      <c r="G66" s="492"/>
      <c r="H66" s="492"/>
      <c r="I66" s="492"/>
    </row>
    <row r="67" spans="1:10" ht="13.5" customHeight="1" x14ac:dyDescent="0.3">
      <c r="C67" s="225"/>
      <c r="D67" s="225"/>
      <c r="E67" s="225"/>
      <c r="F67" s="235"/>
      <c r="G67" s="492"/>
      <c r="H67" s="492"/>
      <c r="I67" s="494"/>
    </row>
    <row r="68" spans="1:10" ht="13.5" customHeight="1" x14ac:dyDescent="0.3">
      <c r="A68" s="909">
        <f ca="1">COUNTIF(A69:A88,"E")</f>
        <v>0</v>
      </c>
      <c r="B68" s="1385" t="s">
        <v>408</v>
      </c>
      <c r="C68" s="1385"/>
      <c r="D68" s="225"/>
      <c r="E68" s="225"/>
      <c r="F68" s="235"/>
      <c r="G68" s="492"/>
      <c r="H68" s="492"/>
      <c r="I68" s="494"/>
    </row>
    <row r="69" spans="1:10" ht="13.5" customHeight="1" x14ac:dyDescent="0.3">
      <c r="A69" s="911" t="str">
        <f ca="1">IF(J69=0,"",J69)</f>
        <v/>
      </c>
      <c r="B69" s="297" t="s">
        <v>318</v>
      </c>
      <c r="C69" s="1387" t="str">
        <f ca="1">IF(G69=0,"",G69)</f>
        <v/>
      </c>
      <c r="D69" s="1387"/>
      <c r="E69" s="296">
        <f t="shared" ref="E69:F72" ca="1" si="14">IFERROR(H69,0)</f>
        <v>0</v>
      </c>
      <c r="F69" s="296">
        <f t="shared" ca="1" si="14"/>
        <v>0</v>
      </c>
      <c r="G69" s="492">
        <f ca="1">INDIRECT("'"&amp;"Rent Inc. (sch E)"&amp;"'!B5")</f>
        <v>0</v>
      </c>
      <c r="H69" s="493">
        <f ca="1">INDIRECT("'"&amp;"Rent Inc. (sch E)"&amp;"'!P49")</f>
        <v>0</v>
      </c>
      <c r="I69" s="493">
        <f ca="1">INDIRECT("'"&amp;"Rent Inc. (sch E)"&amp;"'!P48")</f>
        <v>0</v>
      </c>
      <c r="J69">
        <f ca="1">INDIRECT("'"&amp;"Rent Inc. (sch E)"&amp;"'!K74")</f>
        <v>0</v>
      </c>
    </row>
    <row r="70" spans="1:10" ht="13.5" customHeight="1" x14ac:dyDescent="0.3">
      <c r="A70" s="911" t="str">
        <f ca="1">IFERROR(J70,"")</f>
        <v/>
      </c>
      <c r="B70" s="247" t="s">
        <v>319</v>
      </c>
      <c r="C70" s="1386" t="str">
        <f ca="1">IFERROR(G70,"")</f>
        <v/>
      </c>
      <c r="D70" s="1386"/>
      <c r="E70" s="246">
        <f t="shared" ca="1" si="14"/>
        <v>0</v>
      </c>
      <c r="F70" s="246">
        <f t="shared" ca="1" si="14"/>
        <v>0</v>
      </c>
      <c r="G70" s="492" t="e">
        <f ca="1">INDIRECT("'"&amp;"Rent Inc. (sch E) (2)"&amp;"'!B5")</f>
        <v>#REF!</v>
      </c>
      <c r="H70" s="493" t="e">
        <f ca="1">INDIRECT("'"&amp;"Rent Inc. (sch E) (2)"&amp;"'!P49")</f>
        <v>#REF!</v>
      </c>
      <c r="I70" s="493" t="e">
        <f ca="1">INDIRECT("'"&amp;"Rent Inc. (sch E) (2)"&amp;"'!P48")</f>
        <v>#REF!</v>
      </c>
      <c r="J70" t="e">
        <f ca="1">INDIRECT("'"&amp;"Rent Inc. (sch E) (2)"&amp;"'!K74")</f>
        <v>#REF!</v>
      </c>
    </row>
    <row r="71" spans="1:10" ht="13.5" customHeight="1" x14ac:dyDescent="0.3">
      <c r="A71" s="911" t="str">
        <f t="shared" ref="A71:A88" ca="1" si="15">IFERROR(J71,"")</f>
        <v/>
      </c>
      <c r="B71" s="247" t="s">
        <v>320</v>
      </c>
      <c r="C71" s="1386" t="str">
        <f t="shared" ref="C71:C88" ca="1" si="16">IFERROR(G71,"")</f>
        <v/>
      </c>
      <c r="D71" s="1386"/>
      <c r="E71" s="246">
        <f t="shared" ca="1" si="14"/>
        <v>0</v>
      </c>
      <c r="F71" s="246">
        <f t="shared" ca="1" si="14"/>
        <v>0</v>
      </c>
      <c r="G71" s="492" t="e">
        <f ca="1">INDIRECT("'"&amp;"Rent Inc. (sch E) (3)"&amp;"'!B5")</f>
        <v>#REF!</v>
      </c>
      <c r="H71" s="493" t="e">
        <f ca="1">INDIRECT("'"&amp;"Rent Inc. (sch E) (3)"&amp;"'!P49")</f>
        <v>#REF!</v>
      </c>
      <c r="I71" s="493" t="e">
        <f ca="1">INDIRECT("'"&amp;"Rent Inc. (sch E) (3)"&amp;"'!P48")</f>
        <v>#REF!</v>
      </c>
      <c r="J71" t="e">
        <f ca="1">INDIRECT("'"&amp;"Rent Inc. (sch E) (3)"&amp;"'!K74")</f>
        <v>#REF!</v>
      </c>
    </row>
    <row r="72" spans="1:10" ht="13.5" customHeight="1" x14ac:dyDescent="0.3">
      <c r="A72" s="911" t="str">
        <f t="shared" ca="1" si="15"/>
        <v/>
      </c>
      <c r="B72" s="247" t="s">
        <v>321</v>
      </c>
      <c r="C72" s="1386" t="str">
        <f t="shared" ca="1" si="16"/>
        <v/>
      </c>
      <c r="D72" s="1386"/>
      <c r="E72" s="246">
        <f t="shared" ca="1" si="14"/>
        <v>0</v>
      </c>
      <c r="F72" s="246">
        <f t="shared" ca="1" si="14"/>
        <v>0</v>
      </c>
      <c r="G72" s="492" t="e">
        <f ca="1">INDIRECT("'"&amp;"Rent Inc. (sch E) (4)"&amp;"'!B5")</f>
        <v>#REF!</v>
      </c>
      <c r="H72" s="493" t="e">
        <f ca="1">INDIRECT("'"&amp;"Rent Inc. (sch E) (4)"&amp;"'!P49")</f>
        <v>#REF!</v>
      </c>
      <c r="I72" s="493" t="e">
        <f ca="1">INDIRECT("'"&amp;"Rent Inc. (sch E) (4)"&amp;"'!P48")</f>
        <v>#REF!</v>
      </c>
      <c r="J72" t="e">
        <f ca="1">INDIRECT("'"&amp;"Rent Inc. (sch E) (4)"&amp;"'!K74")</f>
        <v>#REF!</v>
      </c>
    </row>
    <row r="73" spans="1:10" ht="13.5" customHeight="1" x14ac:dyDescent="0.3">
      <c r="A73" s="911" t="str">
        <f t="shared" ca="1" si="15"/>
        <v/>
      </c>
      <c r="B73" s="247" t="s">
        <v>322</v>
      </c>
      <c r="C73" s="1386" t="str">
        <f t="shared" ca="1" si="16"/>
        <v/>
      </c>
      <c r="D73" s="1386"/>
      <c r="E73" s="246">
        <f t="shared" ref="E73:F88" ca="1" si="17">IFERROR(H73,0)</f>
        <v>0</v>
      </c>
      <c r="F73" s="246">
        <f t="shared" ca="1" si="17"/>
        <v>0</v>
      </c>
      <c r="G73" s="492" t="e">
        <f ca="1">INDIRECT("'"&amp;"Rent Inc. (sch E) (5)"&amp;"'!B5")</f>
        <v>#REF!</v>
      </c>
      <c r="H73" s="493" t="e">
        <f ca="1">INDIRECT("'"&amp;"Rent Inc. (sch E) (5)"&amp;"'!P49")</f>
        <v>#REF!</v>
      </c>
      <c r="I73" s="493" t="e">
        <f ca="1">INDIRECT("'"&amp;"Rent Inc. (sch E) (5)"&amp;"'!P48")</f>
        <v>#REF!</v>
      </c>
      <c r="J73" t="e">
        <f ca="1">INDIRECT("'"&amp;"Rent Inc. (sch E) (5)"&amp;"'!K74")</f>
        <v>#REF!</v>
      </c>
    </row>
    <row r="74" spans="1:10" ht="13.5" customHeight="1" x14ac:dyDescent="0.3">
      <c r="A74" s="911" t="str">
        <f t="shared" ca="1" si="15"/>
        <v/>
      </c>
      <c r="B74" s="247" t="s">
        <v>323</v>
      </c>
      <c r="C74" s="1386" t="str">
        <f t="shared" ca="1" si="16"/>
        <v/>
      </c>
      <c r="D74" s="1386"/>
      <c r="E74" s="246">
        <f t="shared" ca="1" si="17"/>
        <v>0</v>
      </c>
      <c r="F74" s="246">
        <f t="shared" ca="1" si="17"/>
        <v>0</v>
      </c>
      <c r="G74" s="492" t="e">
        <f ca="1">INDIRECT("'"&amp;"Rent Inc. (sch E) (6)"&amp;"'!B5")</f>
        <v>#REF!</v>
      </c>
      <c r="H74" s="493" t="e">
        <f ca="1">INDIRECT("'"&amp;"Rent Inc. (sch E) (6)"&amp;"'!P49")</f>
        <v>#REF!</v>
      </c>
      <c r="I74" s="493" t="e">
        <f ca="1">INDIRECT("'"&amp;"Rent Inc. (sch E) (6)"&amp;"'!P48")</f>
        <v>#REF!</v>
      </c>
      <c r="J74" t="e">
        <f ca="1">INDIRECT("'"&amp;"Rent Inc. (sch E) (6)"&amp;"'!K74")</f>
        <v>#REF!</v>
      </c>
    </row>
    <row r="75" spans="1:10" ht="13.5" customHeight="1" x14ac:dyDescent="0.3">
      <c r="A75" s="911" t="str">
        <f t="shared" ca="1" si="15"/>
        <v/>
      </c>
      <c r="B75" s="247" t="s">
        <v>324</v>
      </c>
      <c r="C75" s="1386" t="str">
        <f t="shared" ca="1" si="16"/>
        <v/>
      </c>
      <c r="D75" s="1386"/>
      <c r="E75" s="246">
        <f t="shared" ca="1" si="17"/>
        <v>0</v>
      </c>
      <c r="F75" s="246">
        <f t="shared" ca="1" si="17"/>
        <v>0</v>
      </c>
      <c r="G75" s="492" t="e">
        <f ca="1">INDIRECT("'"&amp;"Rent Inc. (sch E) (7)"&amp;"'!B5")</f>
        <v>#REF!</v>
      </c>
      <c r="H75" s="493" t="e">
        <f ca="1">INDIRECT("'"&amp;"Rent Inc. (sch E) (7)"&amp;"'!P49")</f>
        <v>#REF!</v>
      </c>
      <c r="I75" s="493" t="e">
        <f ca="1">INDIRECT("'"&amp;"Rent Inc. (sch E) (7)"&amp;"'!P48")</f>
        <v>#REF!</v>
      </c>
      <c r="J75" t="e">
        <f ca="1">INDIRECT("'"&amp;"Rent Inc. (sch E) (7)"&amp;"'!K74")</f>
        <v>#REF!</v>
      </c>
    </row>
    <row r="76" spans="1:10" ht="13.5" customHeight="1" x14ac:dyDescent="0.3">
      <c r="A76" s="911" t="str">
        <f t="shared" ca="1" si="15"/>
        <v/>
      </c>
      <c r="B76" s="247" t="s">
        <v>325</v>
      </c>
      <c r="C76" s="1386" t="str">
        <f t="shared" ca="1" si="16"/>
        <v/>
      </c>
      <c r="D76" s="1386"/>
      <c r="E76" s="246">
        <f t="shared" ca="1" si="17"/>
        <v>0</v>
      </c>
      <c r="F76" s="246">
        <f t="shared" ca="1" si="17"/>
        <v>0</v>
      </c>
      <c r="G76" s="492" t="e">
        <f ca="1">INDIRECT("'"&amp;"Rent Inc. (sch E) (8)"&amp;"'!B5")</f>
        <v>#REF!</v>
      </c>
      <c r="H76" s="493" t="e">
        <f ca="1">INDIRECT("'"&amp;"Rent Inc. (sch E) (8)"&amp;"'!P49")</f>
        <v>#REF!</v>
      </c>
      <c r="I76" s="493" t="e">
        <f ca="1">INDIRECT("'"&amp;"Rent Inc. (sch E) (8)"&amp;"'!P48")</f>
        <v>#REF!</v>
      </c>
      <c r="J76" t="e">
        <f ca="1">INDIRECT("'"&amp;"Rent Inc. (sch E) (8)"&amp;"'!K74")</f>
        <v>#REF!</v>
      </c>
    </row>
    <row r="77" spans="1:10" ht="13.5" customHeight="1" x14ac:dyDescent="0.3">
      <c r="A77" s="911" t="str">
        <f t="shared" ca="1" si="15"/>
        <v/>
      </c>
      <c r="B77" s="247" t="s">
        <v>326</v>
      </c>
      <c r="C77" s="1386" t="str">
        <f t="shared" ca="1" si="16"/>
        <v/>
      </c>
      <c r="D77" s="1386"/>
      <c r="E77" s="246">
        <f t="shared" ca="1" si="17"/>
        <v>0</v>
      </c>
      <c r="F77" s="246">
        <f t="shared" ca="1" si="17"/>
        <v>0</v>
      </c>
      <c r="G77" s="492" t="e">
        <f ca="1">INDIRECT("'"&amp;"Rent Inc. (sch E) (9)"&amp;"'!B5")</f>
        <v>#REF!</v>
      </c>
      <c r="H77" s="493" t="e">
        <f ca="1">INDIRECT("'"&amp;"Rent Inc. (sch E) (9)"&amp;"'!P49")</f>
        <v>#REF!</v>
      </c>
      <c r="I77" s="493" t="e">
        <f ca="1">INDIRECT("'"&amp;"Rent Inc. (sch E) (9)"&amp;"'!P48")</f>
        <v>#REF!</v>
      </c>
      <c r="J77" t="e">
        <f ca="1">INDIRECT("'"&amp;"Rent Inc. (sch E) (9)"&amp;"'!K74")</f>
        <v>#REF!</v>
      </c>
    </row>
    <row r="78" spans="1:10" ht="13.5" customHeight="1" x14ac:dyDescent="0.3">
      <c r="A78" s="911" t="str">
        <f t="shared" ca="1" si="15"/>
        <v/>
      </c>
      <c r="B78" s="247" t="s">
        <v>327</v>
      </c>
      <c r="C78" s="1386" t="str">
        <f t="shared" ca="1" si="16"/>
        <v/>
      </c>
      <c r="D78" s="1386"/>
      <c r="E78" s="246">
        <f t="shared" ca="1" si="17"/>
        <v>0</v>
      </c>
      <c r="F78" s="246">
        <f t="shared" ca="1" si="17"/>
        <v>0</v>
      </c>
      <c r="G78" s="492" t="e">
        <f ca="1">INDIRECT("'"&amp;"Rent Inc. (sch E) (10)"&amp;"'!B5")</f>
        <v>#REF!</v>
      </c>
      <c r="H78" s="493" t="e">
        <f ca="1">INDIRECT("'"&amp;"Rent Inc. (sch E) (10)"&amp;"'!P49")</f>
        <v>#REF!</v>
      </c>
      <c r="I78" s="493" t="e">
        <f ca="1">INDIRECT("'"&amp;"Rent Inc. (sch E) (10)"&amp;"'!P48")</f>
        <v>#REF!</v>
      </c>
      <c r="J78" t="e">
        <f ca="1">INDIRECT("'"&amp;"Rent Inc. (sch E) (10)"&amp;"'!K74")</f>
        <v>#REF!</v>
      </c>
    </row>
    <row r="79" spans="1:10" ht="13.5" customHeight="1" x14ac:dyDescent="0.3">
      <c r="A79" s="911" t="str">
        <f t="shared" ca="1" si="15"/>
        <v/>
      </c>
      <c r="B79" s="247" t="s">
        <v>328</v>
      </c>
      <c r="C79" s="1386" t="str">
        <f t="shared" ca="1" si="16"/>
        <v/>
      </c>
      <c r="D79" s="1386"/>
      <c r="E79" s="246">
        <f t="shared" ca="1" si="17"/>
        <v>0</v>
      </c>
      <c r="F79" s="246">
        <f t="shared" ca="1" si="17"/>
        <v>0</v>
      </c>
      <c r="G79" s="492" t="e">
        <f ca="1">INDIRECT("'"&amp;"Rent Inc. (sch E) (11)"&amp;"'!B5")</f>
        <v>#REF!</v>
      </c>
      <c r="H79" s="493" t="e">
        <f ca="1">INDIRECT("'"&amp;"Rent Inc. (sch E) (11)"&amp;"'!P49")</f>
        <v>#REF!</v>
      </c>
      <c r="I79" s="493" t="e">
        <f ca="1">INDIRECT("'"&amp;"Rent Inc. (sch E) (11)"&amp;"'!P48")</f>
        <v>#REF!</v>
      </c>
      <c r="J79" t="e">
        <f ca="1">INDIRECT("'"&amp;"Rent Inc. (sch E) (11)"&amp;"'!K74")</f>
        <v>#REF!</v>
      </c>
    </row>
    <row r="80" spans="1:10" ht="13.5" customHeight="1" x14ac:dyDescent="0.3">
      <c r="A80" s="911" t="str">
        <f t="shared" ca="1" si="15"/>
        <v/>
      </c>
      <c r="B80" s="247" t="s">
        <v>329</v>
      </c>
      <c r="C80" s="1386" t="str">
        <f t="shared" ca="1" si="16"/>
        <v/>
      </c>
      <c r="D80" s="1386"/>
      <c r="E80" s="246">
        <f t="shared" ca="1" si="17"/>
        <v>0</v>
      </c>
      <c r="F80" s="246">
        <f t="shared" ca="1" si="17"/>
        <v>0</v>
      </c>
      <c r="G80" s="492" t="e">
        <f ca="1">INDIRECT("'"&amp;"Rent Inc. (sch E) (12)"&amp;"'!B5")</f>
        <v>#REF!</v>
      </c>
      <c r="H80" s="493" t="e">
        <f ca="1">INDIRECT("'"&amp;"Rent Inc. (sch E) (12)"&amp;"'!P49")</f>
        <v>#REF!</v>
      </c>
      <c r="I80" s="493" t="e">
        <f ca="1">INDIRECT("'"&amp;"Rent Inc. (sch E) (12)"&amp;"'!P48")</f>
        <v>#REF!</v>
      </c>
      <c r="J80" t="e">
        <f ca="1">INDIRECT("'"&amp;"Rent Inc. (sch E) (12)"&amp;"'!K74")</f>
        <v>#REF!</v>
      </c>
    </row>
    <row r="81" spans="1:10" ht="13.5" customHeight="1" x14ac:dyDescent="0.3">
      <c r="A81" s="911" t="str">
        <f t="shared" ca="1" si="15"/>
        <v/>
      </c>
      <c r="B81" s="247" t="s">
        <v>886</v>
      </c>
      <c r="C81" s="1386" t="str">
        <f t="shared" ca="1" si="16"/>
        <v/>
      </c>
      <c r="D81" s="1386"/>
      <c r="E81" s="246">
        <f t="shared" ca="1" si="17"/>
        <v>0</v>
      </c>
      <c r="F81" s="246">
        <f t="shared" ca="1" si="17"/>
        <v>0</v>
      </c>
      <c r="G81" s="492" t="e">
        <f ca="1">INDIRECT("'"&amp;"Rent Inc. (sch E) (13)"&amp;"'!B5")</f>
        <v>#REF!</v>
      </c>
      <c r="H81" s="493" t="e">
        <f ca="1">INDIRECT("'"&amp;"Rent Inc. (sch E) (13)"&amp;"'!P49")</f>
        <v>#REF!</v>
      </c>
      <c r="I81" s="493" t="e">
        <f ca="1">INDIRECT("'"&amp;"Rent Inc. (sch E) (13)"&amp;"'!P48")</f>
        <v>#REF!</v>
      </c>
      <c r="J81" t="e">
        <f ca="1">INDIRECT("'"&amp;"Rent Inc. (sch E) (13)"&amp;"'!K74")</f>
        <v>#REF!</v>
      </c>
    </row>
    <row r="82" spans="1:10" ht="13.5" customHeight="1" x14ac:dyDescent="0.3">
      <c r="A82" s="911" t="str">
        <f t="shared" ca="1" si="15"/>
        <v/>
      </c>
      <c r="B82" s="247" t="s">
        <v>330</v>
      </c>
      <c r="C82" s="1386" t="str">
        <f t="shared" ca="1" si="16"/>
        <v/>
      </c>
      <c r="D82" s="1386"/>
      <c r="E82" s="246">
        <f t="shared" ca="1" si="17"/>
        <v>0</v>
      </c>
      <c r="F82" s="246">
        <f t="shared" ca="1" si="17"/>
        <v>0</v>
      </c>
      <c r="G82" s="492" t="e">
        <f ca="1">INDIRECT("'"&amp;"Rent Inc. (sch E) (14)"&amp;"'!B5")</f>
        <v>#REF!</v>
      </c>
      <c r="H82" s="493" t="e">
        <f ca="1">INDIRECT("'"&amp;"Rent Inc. (sch E) (14)"&amp;"'!P49")</f>
        <v>#REF!</v>
      </c>
      <c r="I82" s="493" t="e">
        <f ca="1">INDIRECT("'"&amp;"Rent Inc. (sch E) (14)"&amp;"'!P48")</f>
        <v>#REF!</v>
      </c>
      <c r="J82" t="e">
        <f ca="1">INDIRECT("'"&amp;"Rent Inc. (sch E) (14)"&amp;"'!K74")</f>
        <v>#REF!</v>
      </c>
    </row>
    <row r="83" spans="1:10" ht="13.5" customHeight="1" x14ac:dyDescent="0.3">
      <c r="A83" s="911" t="str">
        <f t="shared" ca="1" si="15"/>
        <v/>
      </c>
      <c r="B83" s="247" t="s">
        <v>331</v>
      </c>
      <c r="C83" s="1386" t="str">
        <f t="shared" ca="1" si="16"/>
        <v/>
      </c>
      <c r="D83" s="1386"/>
      <c r="E83" s="246">
        <f t="shared" ca="1" si="17"/>
        <v>0</v>
      </c>
      <c r="F83" s="246">
        <f t="shared" ca="1" si="17"/>
        <v>0</v>
      </c>
      <c r="G83" s="492" t="e">
        <f ca="1">INDIRECT("'"&amp;"Rent Inc. (sch E) (15)"&amp;"'!B5")</f>
        <v>#REF!</v>
      </c>
      <c r="H83" s="493" t="e">
        <f ca="1">INDIRECT("'"&amp;"Rent Inc. (sch E) (15)"&amp;"'!P49")</f>
        <v>#REF!</v>
      </c>
      <c r="I83" s="493" t="e">
        <f ca="1">INDIRECT("'"&amp;"Rent Inc. (sch E) (15)"&amp;"'!P48")</f>
        <v>#REF!</v>
      </c>
      <c r="J83" t="e">
        <f ca="1">INDIRECT("'"&amp;"Rent Inc. (sch E) (15)"&amp;"'!K74")</f>
        <v>#REF!</v>
      </c>
    </row>
    <row r="84" spans="1:10" ht="13.5" customHeight="1" x14ac:dyDescent="0.3">
      <c r="A84" s="911" t="str">
        <f t="shared" ca="1" si="15"/>
        <v/>
      </c>
      <c r="B84" s="247" t="s">
        <v>332</v>
      </c>
      <c r="C84" s="1386" t="str">
        <f t="shared" ca="1" si="16"/>
        <v/>
      </c>
      <c r="D84" s="1386"/>
      <c r="E84" s="246">
        <f t="shared" ca="1" si="17"/>
        <v>0</v>
      </c>
      <c r="F84" s="246">
        <f t="shared" ca="1" si="17"/>
        <v>0</v>
      </c>
      <c r="G84" s="492" t="e">
        <f ca="1">INDIRECT("'"&amp;"Rent Inc. (sch E) (16)"&amp;"'!B5")</f>
        <v>#REF!</v>
      </c>
      <c r="H84" s="493" t="e">
        <f ca="1">INDIRECT("'"&amp;"Rent Inc. (sch E) (16)"&amp;"'!P49")</f>
        <v>#REF!</v>
      </c>
      <c r="I84" s="493" t="e">
        <f ca="1">INDIRECT("'"&amp;"Rent Inc. (sch E) (16)"&amp;"'!P48")</f>
        <v>#REF!</v>
      </c>
      <c r="J84" t="e">
        <f ca="1">INDIRECT("'"&amp;"Rent Inc. (sch E) (16)"&amp;"'!K74")</f>
        <v>#REF!</v>
      </c>
    </row>
    <row r="85" spans="1:10" ht="13.5" customHeight="1" x14ac:dyDescent="0.3">
      <c r="A85" s="911" t="str">
        <f t="shared" ca="1" si="15"/>
        <v/>
      </c>
      <c r="B85" s="247" t="s">
        <v>333</v>
      </c>
      <c r="C85" s="1386" t="str">
        <f t="shared" ca="1" si="16"/>
        <v/>
      </c>
      <c r="D85" s="1386"/>
      <c r="E85" s="246">
        <f t="shared" ca="1" si="17"/>
        <v>0</v>
      </c>
      <c r="F85" s="246">
        <f t="shared" ca="1" si="17"/>
        <v>0</v>
      </c>
      <c r="G85" s="492" t="e">
        <f ca="1">INDIRECT("'"&amp;"Rent Inc. (sch E) (17)"&amp;"'!B5")</f>
        <v>#REF!</v>
      </c>
      <c r="H85" s="493" t="e">
        <f ca="1">INDIRECT("'"&amp;"Rent Inc. (sch E) (17)"&amp;"'!P49")</f>
        <v>#REF!</v>
      </c>
      <c r="I85" s="493" t="e">
        <f ca="1">INDIRECT("'"&amp;"Rent Inc. (sch E) (17)"&amp;"'!P48")</f>
        <v>#REF!</v>
      </c>
      <c r="J85" t="e">
        <f ca="1">INDIRECT("'"&amp;"Rent Inc. (sch E) (17)"&amp;"'!K74")</f>
        <v>#REF!</v>
      </c>
    </row>
    <row r="86" spans="1:10" ht="13.5" customHeight="1" x14ac:dyDescent="0.3">
      <c r="A86" s="911" t="str">
        <f t="shared" ca="1" si="15"/>
        <v/>
      </c>
      <c r="B86" s="247" t="s">
        <v>334</v>
      </c>
      <c r="C86" s="1386" t="str">
        <f t="shared" ca="1" si="16"/>
        <v/>
      </c>
      <c r="D86" s="1386"/>
      <c r="E86" s="246">
        <f t="shared" ca="1" si="17"/>
        <v>0</v>
      </c>
      <c r="F86" s="246">
        <f t="shared" ca="1" si="17"/>
        <v>0</v>
      </c>
      <c r="G86" s="492" t="e">
        <f ca="1">INDIRECT("'"&amp;"Rent Inc. (sch E) (18)"&amp;"'!B5")</f>
        <v>#REF!</v>
      </c>
      <c r="H86" s="493" t="e">
        <f ca="1">INDIRECT("'"&amp;"Rent Inc. (sch E) (18)"&amp;"'!P49")</f>
        <v>#REF!</v>
      </c>
      <c r="I86" s="493" t="e">
        <f ca="1">INDIRECT("'"&amp;"Rent Inc. (sch E) (18)"&amp;"'!P48")</f>
        <v>#REF!</v>
      </c>
      <c r="J86" t="e">
        <f ca="1">INDIRECT("'"&amp;"Rent Inc. (sch E) (18)"&amp;"'!K74")</f>
        <v>#REF!</v>
      </c>
    </row>
    <row r="87" spans="1:10" ht="13.5" customHeight="1" x14ac:dyDescent="0.3">
      <c r="A87" s="911" t="str">
        <f t="shared" ca="1" si="15"/>
        <v/>
      </c>
      <c r="B87" s="247" t="s">
        <v>336</v>
      </c>
      <c r="C87" s="1386" t="str">
        <f t="shared" ca="1" si="16"/>
        <v/>
      </c>
      <c r="D87" s="1386"/>
      <c r="E87" s="246">
        <f t="shared" ca="1" si="17"/>
        <v>0</v>
      </c>
      <c r="F87" s="246">
        <f t="shared" ca="1" si="17"/>
        <v>0</v>
      </c>
      <c r="G87" s="492" t="e">
        <f ca="1">INDIRECT("'"&amp;"Rent Inc. (sch E) (19)"&amp;"'!B5")</f>
        <v>#REF!</v>
      </c>
      <c r="H87" s="493" t="e">
        <f ca="1">INDIRECT("'"&amp;"Rent Inc. (sch E) (19)"&amp;"'!P49")</f>
        <v>#REF!</v>
      </c>
      <c r="I87" s="493" t="e">
        <f ca="1">INDIRECT("'"&amp;"Rent Inc. (sch E) (19)"&amp;"'!P48")</f>
        <v>#REF!</v>
      </c>
      <c r="J87" t="e">
        <f ca="1">INDIRECT("'"&amp;"Rent Inc. (sch E) (19)"&amp;"'!K74")</f>
        <v>#REF!</v>
      </c>
    </row>
    <row r="88" spans="1:10" ht="13.5" customHeight="1" x14ac:dyDescent="0.3">
      <c r="A88" s="911" t="str">
        <f t="shared" ca="1" si="15"/>
        <v/>
      </c>
      <c r="B88" s="247" t="s">
        <v>335</v>
      </c>
      <c r="C88" s="1386" t="str">
        <f t="shared" ca="1" si="16"/>
        <v/>
      </c>
      <c r="D88" s="1386"/>
      <c r="E88" s="249">
        <f t="shared" ca="1" si="17"/>
        <v>0</v>
      </c>
      <c r="F88" s="246">
        <f t="shared" ca="1" si="17"/>
        <v>0</v>
      </c>
      <c r="G88" s="492" t="e">
        <f ca="1">INDIRECT("'"&amp;"Rent Inc. (sch E) (20)"&amp;"'!B5")</f>
        <v>#REF!</v>
      </c>
      <c r="H88" s="493" t="e">
        <f ca="1">INDIRECT("'"&amp;"Rent Inc. (sch E) (20)"&amp;"'!P49")</f>
        <v>#REF!</v>
      </c>
      <c r="I88" s="493" t="e">
        <f ca="1">INDIRECT("'"&amp;"Rent Inc. (sch E) (20)"&amp;"'!P48")</f>
        <v>#REF!</v>
      </c>
      <c r="J88" t="e">
        <f ca="1">INDIRECT("'"&amp;"Rent Inc. (sch E) (20)"&amp;"'!K74")</f>
        <v>#REF!</v>
      </c>
    </row>
    <row r="89" spans="1:10" ht="13.5" customHeight="1" thickBot="1" x14ac:dyDescent="0.35">
      <c r="A89" s="911" t="str">
        <f ca="1">IF(J89=0,"",J89)</f>
        <v/>
      </c>
      <c r="B89" s="915" t="s">
        <v>1216</v>
      </c>
      <c r="C89" s="1387" t="str">
        <f t="shared" ref="C89:C108" ca="1" si="18">IF(F89&lt;&gt;0,G89,"")</f>
        <v/>
      </c>
      <c r="D89" s="1387"/>
      <c r="E89" s="865">
        <f ca="1">SUM(E69:E88)</f>
        <v>0</v>
      </c>
      <c r="F89" s="296">
        <f t="shared" ref="F89:F108" ca="1" si="19">IFERROR(I89,0)</f>
        <v>0</v>
      </c>
      <c r="G89" s="492">
        <f ca="1">INDIRECT("'"&amp;"Add. Properties"&amp;"'!B8")</f>
        <v>0</v>
      </c>
      <c r="H89" s="492"/>
      <c r="I89" s="493">
        <f ca="1">INDIRECT("'"&amp;"Add. Properties"&amp;"'!O11")</f>
        <v>0</v>
      </c>
      <c r="J89" s="492" t="str">
        <f ca="1">INDIRECT("'"&amp;"Add. Properties"&amp;"'!L61")</f>
        <v/>
      </c>
    </row>
    <row r="90" spans="1:10" ht="13.5" customHeight="1" thickTop="1" x14ac:dyDescent="0.3">
      <c r="B90" s="541" t="s">
        <v>338</v>
      </c>
      <c r="C90" s="1387" t="str">
        <f t="shared" ca="1" si="18"/>
        <v/>
      </c>
      <c r="D90" s="1387"/>
      <c r="E90" s="855"/>
      <c r="F90" s="296">
        <f t="shared" ca="1" si="19"/>
        <v>0</v>
      </c>
      <c r="G90" s="492">
        <f ca="1">INDIRECT("'"&amp;"Add. Properties"&amp;"'!B17")</f>
        <v>0</v>
      </c>
      <c r="H90" s="492"/>
      <c r="I90" s="493">
        <f ca="1">INDIRECT("'"&amp;"Add. Properties"&amp;"'!O20")</f>
        <v>0</v>
      </c>
    </row>
    <row r="91" spans="1:10" ht="13.5" customHeight="1" x14ac:dyDescent="0.3">
      <c r="B91" s="541" t="s">
        <v>339</v>
      </c>
      <c r="C91" s="1387" t="str">
        <f t="shared" ca="1" si="18"/>
        <v/>
      </c>
      <c r="D91" s="1387"/>
      <c r="E91" s="297"/>
      <c r="F91" s="296">
        <f t="shared" ca="1" si="19"/>
        <v>0</v>
      </c>
      <c r="G91" s="492">
        <f ca="1">INDIRECT("'"&amp;"Add. Properties"&amp;"'!B26")</f>
        <v>0</v>
      </c>
      <c r="H91" s="492"/>
      <c r="I91" s="493">
        <f ca="1">INDIRECT("'"&amp;"Add. Properties"&amp;"'!O29")</f>
        <v>0</v>
      </c>
      <c r="J91" s="492"/>
    </row>
    <row r="92" spans="1:10" ht="13.5" customHeight="1" x14ac:dyDescent="0.3">
      <c r="B92" s="541" t="s">
        <v>340</v>
      </c>
      <c r="C92" s="1387" t="str">
        <f t="shared" ca="1" si="18"/>
        <v/>
      </c>
      <c r="D92" s="1387"/>
      <c r="E92" s="297"/>
      <c r="F92" s="296">
        <f t="shared" ca="1" si="19"/>
        <v>0</v>
      </c>
      <c r="G92" s="492">
        <f ca="1">INDIRECT("'"&amp;"Add. Properties"&amp;"'!B35")</f>
        <v>0</v>
      </c>
      <c r="H92" s="492"/>
      <c r="I92" s="493">
        <f ca="1">INDIRECT("'"&amp;"Add. Properties"&amp;"'!O38")</f>
        <v>0</v>
      </c>
    </row>
    <row r="93" spans="1:10" ht="13.5" customHeight="1" x14ac:dyDescent="0.3">
      <c r="B93" s="541" t="s">
        <v>341</v>
      </c>
      <c r="C93" s="1387" t="str">
        <f t="shared" ca="1" si="18"/>
        <v/>
      </c>
      <c r="D93" s="1387"/>
      <c r="E93" s="297"/>
      <c r="F93" s="296">
        <f t="shared" ca="1" si="19"/>
        <v>0</v>
      </c>
      <c r="G93" s="492">
        <f ca="1">INDIRECT("'"&amp;"Add. Properties"&amp;"'!B44")</f>
        <v>0</v>
      </c>
      <c r="H93" s="492"/>
      <c r="I93" s="493">
        <f ca="1">INDIRECT("'"&amp;"Add. Properties"&amp;"'!O47")</f>
        <v>0</v>
      </c>
    </row>
    <row r="94" spans="1:10" ht="13.5" customHeight="1" x14ac:dyDescent="0.3">
      <c r="A94" s="911" t="str">
        <f ca="1">IFERROR(J94,"")</f>
        <v/>
      </c>
      <c r="B94" s="916" t="s">
        <v>1217</v>
      </c>
      <c r="C94" s="1386" t="str">
        <f t="shared" ca="1" si="18"/>
        <v/>
      </c>
      <c r="D94" s="1386"/>
      <c r="E94" s="247"/>
      <c r="F94" s="246">
        <f t="shared" ca="1" si="19"/>
        <v>0</v>
      </c>
      <c r="G94" s="492" t="e">
        <f ca="1">INDIRECT("'"&amp;"Add. Properties (2)"&amp;"'!B8")</f>
        <v>#REF!</v>
      </c>
      <c r="H94" s="492"/>
      <c r="I94" s="493" t="e">
        <f ca="1">INDIRECT("'"&amp;"Add. Properties (2)"&amp;"'!O11")</f>
        <v>#REF!</v>
      </c>
      <c r="J94" s="492" t="e">
        <f ca="1">INDIRECT("'"&amp;"Add. Properties (2)"&amp;"'!L61")</f>
        <v>#REF!</v>
      </c>
    </row>
    <row r="95" spans="1:10" ht="13.5" customHeight="1" x14ac:dyDescent="0.3">
      <c r="B95" s="245" t="s">
        <v>343</v>
      </c>
      <c r="C95" s="1386" t="str">
        <f t="shared" ca="1" si="18"/>
        <v/>
      </c>
      <c r="D95" s="1386"/>
      <c r="E95" s="247"/>
      <c r="F95" s="246">
        <f t="shared" ca="1" si="19"/>
        <v>0</v>
      </c>
      <c r="G95" s="492" t="e">
        <f ca="1">INDIRECT("'"&amp;"Add. Properties (2)"&amp;"'!B17")</f>
        <v>#REF!</v>
      </c>
      <c r="H95" s="492"/>
      <c r="I95" s="493" t="e">
        <f ca="1">INDIRECT("'"&amp;"Add. Properties (2)"&amp;"'!O20")</f>
        <v>#REF!</v>
      </c>
    </row>
    <row r="96" spans="1:10" ht="13.5" customHeight="1" x14ac:dyDescent="0.3">
      <c r="B96" s="245" t="s">
        <v>344</v>
      </c>
      <c r="C96" s="1386" t="str">
        <f t="shared" ca="1" si="18"/>
        <v/>
      </c>
      <c r="D96" s="1386"/>
      <c r="E96" s="245"/>
      <c r="F96" s="246">
        <f t="shared" ca="1" si="19"/>
        <v>0</v>
      </c>
      <c r="G96" s="492" t="e">
        <f ca="1">INDIRECT("'"&amp;"Add. Properties (2)"&amp;"'!B26")</f>
        <v>#REF!</v>
      </c>
      <c r="H96" s="492"/>
      <c r="I96" s="493" t="e">
        <f ca="1">INDIRECT("'"&amp;"Add. Properties (2)"&amp;"'!O29")</f>
        <v>#REF!</v>
      </c>
    </row>
    <row r="97" spans="1:10" ht="13.5" customHeight="1" x14ac:dyDescent="0.3">
      <c r="B97" s="245" t="s">
        <v>345</v>
      </c>
      <c r="C97" s="1386" t="str">
        <f t="shared" ca="1" si="18"/>
        <v/>
      </c>
      <c r="D97" s="1386"/>
      <c r="E97" s="245"/>
      <c r="F97" s="246">
        <f t="shared" ca="1" si="19"/>
        <v>0</v>
      </c>
      <c r="G97" s="492" t="e">
        <f ca="1">INDIRECT("'"&amp;"Add. Properties (2)"&amp;"'!B35")</f>
        <v>#REF!</v>
      </c>
      <c r="H97" s="492"/>
      <c r="I97" s="493" t="e">
        <f ca="1">INDIRECT("'"&amp;"Add. Properties (2)"&amp;"'!O38")</f>
        <v>#REF!</v>
      </c>
    </row>
    <row r="98" spans="1:10" ht="13.5" customHeight="1" x14ac:dyDescent="0.3">
      <c r="B98" s="245" t="s">
        <v>346</v>
      </c>
      <c r="C98" s="1386" t="str">
        <f t="shared" ca="1" si="18"/>
        <v/>
      </c>
      <c r="D98" s="1386"/>
      <c r="E98" s="245"/>
      <c r="F98" s="246">
        <f t="shared" ca="1" si="19"/>
        <v>0</v>
      </c>
      <c r="G98" s="492" t="e">
        <f ca="1">INDIRECT("'"&amp;"Add. Properties (2)"&amp;"'!B44")</f>
        <v>#REF!</v>
      </c>
      <c r="H98" s="492"/>
      <c r="I98" s="493" t="e">
        <f ca="1">INDIRECT("'"&amp;"Add. Properties (2)"&amp;"'!O47")</f>
        <v>#REF!</v>
      </c>
    </row>
    <row r="99" spans="1:10" ht="13.5" customHeight="1" x14ac:dyDescent="0.3">
      <c r="A99" s="911" t="str">
        <f ca="1">IFERROR(J99,"")</f>
        <v/>
      </c>
      <c r="B99" s="916" t="s">
        <v>1218</v>
      </c>
      <c r="C99" s="1386" t="str">
        <f t="shared" ca="1" si="18"/>
        <v/>
      </c>
      <c r="D99" s="1386"/>
      <c r="E99" s="247"/>
      <c r="F99" s="246">
        <f t="shared" ca="1" si="19"/>
        <v>0</v>
      </c>
      <c r="G99" s="492" t="e">
        <f ca="1">INDIRECT("'"&amp;"Add. Properties (3)"&amp;"'!B8")</f>
        <v>#REF!</v>
      </c>
      <c r="H99" s="492"/>
      <c r="I99" s="493" t="e">
        <f ca="1">INDIRECT("'"&amp;"Add. Properties (3)"&amp;"'!O11")</f>
        <v>#REF!</v>
      </c>
      <c r="J99" s="492" t="e">
        <f ca="1">INDIRECT("'"&amp;"Add. Properties (3)"&amp;"'!L61")</f>
        <v>#REF!</v>
      </c>
    </row>
    <row r="100" spans="1:10" ht="13.5" customHeight="1" x14ac:dyDescent="0.3">
      <c r="B100" s="245" t="s">
        <v>348</v>
      </c>
      <c r="C100" s="1386" t="str">
        <f t="shared" ca="1" si="18"/>
        <v/>
      </c>
      <c r="D100" s="1386"/>
      <c r="E100" s="247"/>
      <c r="F100" s="246">
        <f t="shared" ca="1" si="19"/>
        <v>0</v>
      </c>
      <c r="G100" s="492" t="e">
        <f ca="1">INDIRECT("'"&amp;"Add. Properties (3)"&amp;"'!B17")</f>
        <v>#REF!</v>
      </c>
      <c r="H100" s="492"/>
      <c r="I100" s="493" t="e">
        <f ca="1">INDIRECT("'"&amp;"Add. Properties (3)"&amp;"'!O19")</f>
        <v>#REF!</v>
      </c>
    </row>
    <row r="101" spans="1:10" ht="13.5" customHeight="1" x14ac:dyDescent="0.3">
      <c r="B101" s="245" t="s">
        <v>349</v>
      </c>
      <c r="C101" s="1386" t="str">
        <f t="shared" ca="1" si="18"/>
        <v/>
      </c>
      <c r="D101" s="1386"/>
      <c r="E101" s="245"/>
      <c r="F101" s="246">
        <f t="shared" ca="1" si="19"/>
        <v>0</v>
      </c>
      <c r="G101" s="492" t="e">
        <f ca="1">INDIRECT("'"&amp;"Add. Properties (3)"&amp;"'!B26")</f>
        <v>#REF!</v>
      </c>
      <c r="H101" s="492"/>
      <c r="I101" s="493" t="e">
        <f ca="1">INDIRECT("'"&amp;"Add. Properties (3)"&amp;"'!O29")</f>
        <v>#REF!</v>
      </c>
    </row>
    <row r="102" spans="1:10" ht="13.5" customHeight="1" x14ac:dyDescent="0.3">
      <c r="B102" s="245" t="s">
        <v>350</v>
      </c>
      <c r="C102" s="1386" t="str">
        <f t="shared" ca="1" si="18"/>
        <v/>
      </c>
      <c r="D102" s="1386"/>
      <c r="E102" s="245"/>
      <c r="F102" s="246">
        <f t="shared" ca="1" si="19"/>
        <v>0</v>
      </c>
      <c r="G102" s="492" t="e">
        <f ca="1">INDIRECT("'"&amp;"Add. Properties (3)"&amp;"'!B35")</f>
        <v>#REF!</v>
      </c>
      <c r="H102" s="492"/>
      <c r="I102" s="493" t="e">
        <f ca="1">INDIRECT("'"&amp;"Add. Properties (3)"&amp;"'!O38")</f>
        <v>#REF!</v>
      </c>
    </row>
    <row r="103" spans="1:10" ht="13.5" customHeight="1" x14ac:dyDescent="0.3">
      <c r="B103" s="245" t="s">
        <v>351</v>
      </c>
      <c r="C103" s="1386" t="str">
        <f t="shared" ca="1" si="18"/>
        <v/>
      </c>
      <c r="D103" s="1386"/>
      <c r="E103" s="245"/>
      <c r="F103" s="246">
        <f t="shared" ca="1" si="19"/>
        <v>0</v>
      </c>
      <c r="G103" s="492" t="e">
        <f ca="1">INDIRECT("'"&amp;"Add. Properties (3)"&amp;"'!B44")</f>
        <v>#REF!</v>
      </c>
      <c r="H103" s="492"/>
      <c r="I103" s="493" t="e">
        <f ca="1">INDIRECT("'"&amp;"Add. Properties (3)"&amp;"'!O47")</f>
        <v>#REF!</v>
      </c>
    </row>
    <row r="104" spans="1:10" ht="13.5" customHeight="1" x14ac:dyDescent="0.3">
      <c r="A104" s="911" t="str">
        <f ca="1">IFERROR(J104,"")</f>
        <v/>
      </c>
      <c r="B104" s="916" t="s">
        <v>1219</v>
      </c>
      <c r="C104" s="1386" t="str">
        <f t="shared" ca="1" si="18"/>
        <v/>
      </c>
      <c r="D104" s="1386"/>
      <c r="E104" s="247"/>
      <c r="F104" s="246">
        <f t="shared" ca="1" si="19"/>
        <v>0</v>
      </c>
      <c r="G104" s="492" t="e">
        <f ca="1">INDIRECT("'"&amp;"Add. Properties (4)"&amp;"'!B8")</f>
        <v>#REF!</v>
      </c>
      <c r="H104" s="492"/>
      <c r="I104" s="493" t="e">
        <f ca="1">INDIRECT("'"&amp;"Add. Properties (4)"&amp;"'!O11")</f>
        <v>#REF!</v>
      </c>
      <c r="J104" s="492" t="e">
        <f ca="1">INDIRECT("'"&amp;"Add. Properties (4)"&amp;"'!L61")</f>
        <v>#REF!</v>
      </c>
    </row>
    <row r="105" spans="1:10" ht="13.5" customHeight="1" x14ac:dyDescent="0.3">
      <c r="B105" s="245" t="s">
        <v>353</v>
      </c>
      <c r="C105" s="1386" t="str">
        <f t="shared" ca="1" si="18"/>
        <v/>
      </c>
      <c r="D105" s="1386"/>
      <c r="E105" s="247"/>
      <c r="F105" s="246">
        <f t="shared" ca="1" si="19"/>
        <v>0</v>
      </c>
      <c r="G105" s="492" t="e">
        <f ca="1">INDIRECT("'"&amp;"Add. Properties (4)"&amp;"'!B17")</f>
        <v>#REF!</v>
      </c>
      <c r="H105" s="492"/>
      <c r="I105" s="493" t="e">
        <f ca="1">INDIRECT("'"&amp;"Add. Properties (4)"&amp;"'!O20")</f>
        <v>#REF!</v>
      </c>
    </row>
    <row r="106" spans="1:10" ht="13.5" customHeight="1" x14ac:dyDescent="0.3">
      <c r="B106" s="245" t="s">
        <v>354</v>
      </c>
      <c r="C106" s="1386" t="str">
        <f t="shared" ca="1" si="18"/>
        <v/>
      </c>
      <c r="D106" s="1386"/>
      <c r="E106" s="245"/>
      <c r="F106" s="246">
        <f t="shared" ca="1" si="19"/>
        <v>0</v>
      </c>
      <c r="G106" s="492" t="e">
        <f ca="1">INDIRECT("'"&amp;"Add. Properties (4)"&amp;"'!B26")</f>
        <v>#REF!</v>
      </c>
      <c r="H106" s="492"/>
      <c r="I106" s="493" t="e">
        <f ca="1">INDIRECT("'"&amp;"Add. Properties (4)"&amp;"'!O29")</f>
        <v>#REF!</v>
      </c>
    </row>
    <row r="107" spans="1:10" ht="13.5" customHeight="1" x14ac:dyDescent="0.3">
      <c r="B107" s="245" t="s">
        <v>355</v>
      </c>
      <c r="C107" s="1386" t="str">
        <f t="shared" ca="1" si="18"/>
        <v/>
      </c>
      <c r="D107" s="1386"/>
      <c r="E107" s="245"/>
      <c r="F107" s="246">
        <f t="shared" ca="1" si="19"/>
        <v>0</v>
      </c>
      <c r="G107" s="492" t="e">
        <f ca="1">INDIRECT("'"&amp;"Add. Properties (4)"&amp;"'!B35")</f>
        <v>#REF!</v>
      </c>
      <c r="H107" s="492"/>
      <c r="I107" s="493" t="e">
        <f ca="1">INDIRECT("'"&amp;"Add. Properties (4)"&amp;"'!O38")</f>
        <v>#REF!</v>
      </c>
    </row>
    <row r="108" spans="1:10" ht="13.5" customHeight="1" x14ac:dyDescent="0.3">
      <c r="B108" s="245" t="s">
        <v>356</v>
      </c>
      <c r="C108" s="1386" t="str">
        <f t="shared" ca="1" si="18"/>
        <v/>
      </c>
      <c r="D108" s="1386"/>
      <c r="E108" s="245"/>
      <c r="F108" s="249">
        <f t="shared" ca="1" si="19"/>
        <v>0</v>
      </c>
      <c r="G108" s="492" t="e">
        <f ca="1">INDIRECT("'"&amp;"Add. Properties (4)"&amp;"'!B44")</f>
        <v>#REF!</v>
      </c>
      <c r="H108" s="492"/>
      <c r="I108" s="493" t="e">
        <f ca="1">INDIRECT("'"&amp;"Add. Properties (4)"&amp;"'!O47")</f>
        <v>#REF!</v>
      </c>
    </row>
    <row r="109" spans="1:10" ht="13.5" customHeight="1" thickBot="1" x14ac:dyDescent="0.35">
      <c r="B109" s="225"/>
      <c r="C109" s="186"/>
      <c r="D109" s="186"/>
      <c r="E109" s="186"/>
      <c r="F109" s="250">
        <f ca="1">SUM(F69:F108)</f>
        <v>0</v>
      </c>
      <c r="G109" s="495"/>
      <c r="H109" s="495"/>
    </row>
    <row r="110" spans="1:10" ht="13.5" customHeight="1" thickTop="1" x14ac:dyDescent="0.3">
      <c r="B110" s="225"/>
      <c r="C110" s="186"/>
      <c r="D110" s="186"/>
      <c r="E110" s="186"/>
      <c r="F110" s="234"/>
      <c r="G110" s="495"/>
      <c r="H110" s="495"/>
    </row>
    <row r="111" spans="1:10" ht="13.5" customHeight="1" x14ac:dyDescent="0.3">
      <c r="B111" s="1385" t="s">
        <v>404</v>
      </c>
      <c r="C111" s="1385"/>
      <c r="D111" s="186"/>
      <c r="E111" s="186"/>
      <c r="F111" s="234"/>
      <c r="G111" s="495"/>
      <c r="H111" s="495"/>
    </row>
    <row r="112" spans="1:10" ht="13.5" customHeight="1" x14ac:dyDescent="0.3">
      <c r="B112" s="541" t="s">
        <v>337</v>
      </c>
      <c r="C112" s="1387" t="str">
        <f t="shared" ref="C112:C131" ca="1" si="20">IF(F112&lt;&gt;0,G112,"")</f>
        <v/>
      </c>
      <c r="D112" s="1387"/>
      <c r="E112" s="297"/>
      <c r="F112" s="296">
        <f t="shared" ref="F112:F133" ca="1" si="21">IFERROR(I112,0)</f>
        <v>0</v>
      </c>
      <c r="G112" s="492">
        <f ca="1">INDIRECT("'"&amp;"Add. Properties"&amp;"'!B8")</f>
        <v>0</v>
      </c>
      <c r="H112" s="492"/>
      <c r="I112" s="493">
        <f ca="1">INDIRECT("'"&amp;"Add. Properties"&amp;"'!E13")</f>
        <v>0</v>
      </c>
    </row>
    <row r="113" spans="2:9" ht="13.5" customHeight="1" x14ac:dyDescent="0.3">
      <c r="B113" s="541" t="s">
        <v>338</v>
      </c>
      <c r="C113" s="1387" t="str">
        <f t="shared" ca="1" si="20"/>
        <v/>
      </c>
      <c r="D113" s="1387"/>
      <c r="E113" s="297"/>
      <c r="F113" s="296">
        <f t="shared" ca="1" si="21"/>
        <v>0</v>
      </c>
      <c r="G113" s="492">
        <f ca="1">INDIRECT("'"&amp;"Add. Properties"&amp;"'!B17")</f>
        <v>0</v>
      </c>
      <c r="H113" s="492"/>
      <c r="I113" s="493">
        <f ca="1">INDIRECT("'"&amp;"Add. Properties"&amp;"'!E22")</f>
        <v>0</v>
      </c>
    </row>
    <row r="114" spans="2:9" ht="13.5" customHeight="1" x14ac:dyDescent="0.3">
      <c r="B114" s="541" t="s">
        <v>339</v>
      </c>
      <c r="C114" s="1387" t="str">
        <f t="shared" ca="1" si="20"/>
        <v/>
      </c>
      <c r="D114" s="1387"/>
      <c r="E114" s="297"/>
      <c r="F114" s="296">
        <f t="shared" ca="1" si="21"/>
        <v>0</v>
      </c>
      <c r="G114" s="492">
        <f ca="1">INDIRECT("'"&amp;"Add. Properties"&amp;"'!B26")</f>
        <v>0</v>
      </c>
      <c r="H114" s="492"/>
      <c r="I114" s="493">
        <f ca="1">INDIRECT("'"&amp;"Add. Properties"&amp;"'!E31")</f>
        <v>0</v>
      </c>
    </row>
    <row r="115" spans="2:9" ht="13.5" customHeight="1" x14ac:dyDescent="0.3">
      <c r="B115" s="541" t="s">
        <v>340</v>
      </c>
      <c r="C115" s="1387" t="str">
        <f t="shared" ca="1" si="20"/>
        <v/>
      </c>
      <c r="D115" s="1387"/>
      <c r="E115" s="297"/>
      <c r="F115" s="296">
        <f t="shared" ca="1" si="21"/>
        <v>0</v>
      </c>
      <c r="G115" s="492">
        <f ca="1">INDIRECT("'"&amp;"Add. Properties"&amp;"'!B35")</f>
        <v>0</v>
      </c>
      <c r="H115" s="492"/>
      <c r="I115" s="493">
        <f ca="1">INDIRECT("'"&amp;"Add. Properties"&amp;"'!E40")</f>
        <v>0</v>
      </c>
    </row>
    <row r="116" spans="2:9" ht="13.5" customHeight="1" x14ac:dyDescent="0.3">
      <c r="B116" s="541" t="s">
        <v>341</v>
      </c>
      <c r="C116" s="1387" t="str">
        <f t="shared" ca="1" si="20"/>
        <v/>
      </c>
      <c r="D116" s="1387"/>
      <c r="E116" s="297"/>
      <c r="F116" s="296">
        <f t="shared" ca="1" si="21"/>
        <v>0</v>
      </c>
      <c r="G116" s="492">
        <f ca="1">INDIRECT("'"&amp;"Add. Properties"&amp;"'!B44")</f>
        <v>0</v>
      </c>
      <c r="H116" s="492"/>
      <c r="I116" s="493">
        <f ca="1">INDIRECT("'"&amp;"Add. Properties"&amp;"'!E49")</f>
        <v>0</v>
      </c>
    </row>
    <row r="117" spans="2:9" ht="13.5" customHeight="1" x14ac:dyDescent="0.3">
      <c r="B117" s="245" t="s">
        <v>342</v>
      </c>
      <c r="C117" s="1386" t="str">
        <f t="shared" ca="1" si="20"/>
        <v/>
      </c>
      <c r="D117" s="1386"/>
      <c r="E117" s="247"/>
      <c r="F117" s="246">
        <f t="shared" ca="1" si="21"/>
        <v>0</v>
      </c>
      <c r="G117" s="492" t="e">
        <f ca="1">INDIRECT("'"&amp;"Add. Properties (2)"&amp;"'!B8")</f>
        <v>#REF!</v>
      </c>
      <c r="H117" s="492"/>
      <c r="I117" s="493" t="e">
        <f ca="1">INDIRECT("'"&amp;"Add. Properties (2)"&amp;"'!E13")</f>
        <v>#REF!</v>
      </c>
    </row>
    <row r="118" spans="2:9" ht="13.5" customHeight="1" x14ac:dyDescent="0.3">
      <c r="B118" s="245" t="s">
        <v>343</v>
      </c>
      <c r="C118" s="1386" t="str">
        <f t="shared" ca="1" si="20"/>
        <v/>
      </c>
      <c r="D118" s="1386"/>
      <c r="E118" s="247"/>
      <c r="F118" s="246">
        <f t="shared" ca="1" si="21"/>
        <v>0</v>
      </c>
      <c r="G118" s="492" t="e">
        <f ca="1">INDIRECT("'"&amp;"Add. Properties (2)"&amp;"'!B17")</f>
        <v>#REF!</v>
      </c>
      <c r="H118" s="492"/>
      <c r="I118" s="493" t="e">
        <f ca="1">INDIRECT("'"&amp;"Add. Properties (2)"&amp;"'!E22")</f>
        <v>#REF!</v>
      </c>
    </row>
    <row r="119" spans="2:9" ht="13.5" customHeight="1" x14ac:dyDescent="0.3">
      <c r="B119" s="245" t="s">
        <v>344</v>
      </c>
      <c r="C119" s="1386" t="str">
        <f t="shared" ca="1" si="20"/>
        <v/>
      </c>
      <c r="D119" s="1386"/>
      <c r="E119" s="245"/>
      <c r="F119" s="246">
        <f t="shared" ca="1" si="21"/>
        <v>0</v>
      </c>
      <c r="G119" s="492" t="e">
        <f ca="1">INDIRECT("'"&amp;"Add. Properties (2)"&amp;"'!B26")</f>
        <v>#REF!</v>
      </c>
      <c r="H119" s="492"/>
      <c r="I119" s="493" t="e">
        <f ca="1">INDIRECT("'"&amp;"Add. Properties (2)"&amp;"'!E31")</f>
        <v>#REF!</v>
      </c>
    </row>
    <row r="120" spans="2:9" ht="13.5" customHeight="1" x14ac:dyDescent="0.3">
      <c r="B120" s="245" t="s">
        <v>345</v>
      </c>
      <c r="C120" s="1386" t="str">
        <f t="shared" ca="1" si="20"/>
        <v/>
      </c>
      <c r="D120" s="1386"/>
      <c r="E120" s="245"/>
      <c r="F120" s="246">
        <f t="shared" ca="1" si="21"/>
        <v>0</v>
      </c>
      <c r="G120" s="492" t="e">
        <f ca="1">INDIRECT("'"&amp;"Add. Properties (2)"&amp;"'!B35")</f>
        <v>#REF!</v>
      </c>
      <c r="H120" s="492"/>
      <c r="I120" s="493" t="e">
        <f ca="1">INDIRECT("'"&amp;"Add. Properties (2)"&amp;"'!E40")</f>
        <v>#REF!</v>
      </c>
    </row>
    <row r="121" spans="2:9" ht="13.5" customHeight="1" x14ac:dyDescent="0.3">
      <c r="B121" s="245" t="s">
        <v>346</v>
      </c>
      <c r="C121" s="1386" t="str">
        <f t="shared" ca="1" si="20"/>
        <v/>
      </c>
      <c r="D121" s="1386"/>
      <c r="E121" s="245"/>
      <c r="F121" s="246">
        <f t="shared" ca="1" si="21"/>
        <v>0</v>
      </c>
      <c r="G121" s="492" t="e">
        <f ca="1">INDIRECT("'"&amp;"Add. Properties (2)"&amp;"'!B44")</f>
        <v>#REF!</v>
      </c>
      <c r="H121" s="492"/>
      <c r="I121" s="493" t="e">
        <f ca="1">INDIRECT("'"&amp;"Add. Properties (2)"&amp;"'!E49")</f>
        <v>#REF!</v>
      </c>
    </row>
    <row r="122" spans="2:9" ht="13.5" customHeight="1" x14ac:dyDescent="0.3">
      <c r="B122" s="245" t="s">
        <v>347</v>
      </c>
      <c r="C122" s="1386" t="str">
        <f t="shared" ca="1" si="20"/>
        <v/>
      </c>
      <c r="D122" s="1386"/>
      <c r="E122" s="247"/>
      <c r="F122" s="246">
        <f t="shared" ca="1" si="21"/>
        <v>0</v>
      </c>
      <c r="G122" s="492" t="e">
        <f ca="1">INDIRECT("'"&amp;"Add. Properties (3)"&amp;"'!B8")</f>
        <v>#REF!</v>
      </c>
      <c r="H122" s="492"/>
      <c r="I122" s="493" t="e">
        <f ca="1">INDIRECT("'"&amp;"Add. Properties (3)"&amp;"'!E13")</f>
        <v>#REF!</v>
      </c>
    </row>
    <row r="123" spans="2:9" ht="13.5" customHeight="1" x14ac:dyDescent="0.3">
      <c r="B123" s="245" t="s">
        <v>348</v>
      </c>
      <c r="C123" s="1386" t="str">
        <f t="shared" ca="1" si="20"/>
        <v/>
      </c>
      <c r="D123" s="1386"/>
      <c r="E123" s="247"/>
      <c r="F123" s="246">
        <f t="shared" ca="1" si="21"/>
        <v>0</v>
      </c>
      <c r="G123" s="492" t="e">
        <f ca="1">INDIRECT("'"&amp;"Add. Properties (3)"&amp;"'!B17")</f>
        <v>#REF!</v>
      </c>
      <c r="H123" s="492"/>
      <c r="I123" s="493" t="e">
        <f ca="1">INDIRECT("'"&amp;"Add. Properties (3)"&amp;"'!E22")</f>
        <v>#REF!</v>
      </c>
    </row>
    <row r="124" spans="2:9" ht="13.5" customHeight="1" x14ac:dyDescent="0.3">
      <c r="B124" s="245" t="s">
        <v>349</v>
      </c>
      <c r="C124" s="1386" t="str">
        <f t="shared" ca="1" si="20"/>
        <v/>
      </c>
      <c r="D124" s="1386"/>
      <c r="E124" s="245"/>
      <c r="F124" s="246">
        <f t="shared" ca="1" si="21"/>
        <v>0</v>
      </c>
      <c r="G124" s="492" t="e">
        <f ca="1">INDIRECT("'"&amp;"Add. Properties (3)"&amp;"'!B26")</f>
        <v>#REF!</v>
      </c>
      <c r="H124" s="492"/>
      <c r="I124" s="493" t="e">
        <f ca="1">INDIRECT("'"&amp;"Add. Properties (3)"&amp;"'!E31")</f>
        <v>#REF!</v>
      </c>
    </row>
    <row r="125" spans="2:9" ht="13.5" customHeight="1" x14ac:dyDescent="0.3">
      <c r="B125" s="245" t="s">
        <v>350</v>
      </c>
      <c r="C125" s="1386" t="str">
        <f t="shared" ca="1" si="20"/>
        <v/>
      </c>
      <c r="D125" s="1386"/>
      <c r="E125" s="245"/>
      <c r="F125" s="246">
        <f t="shared" ca="1" si="21"/>
        <v>0</v>
      </c>
      <c r="G125" s="492" t="e">
        <f ca="1">INDIRECT("'"&amp;"Add. Properties (3)"&amp;"'!B35")</f>
        <v>#REF!</v>
      </c>
      <c r="H125" s="492"/>
      <c r="I125" s="493" t="e">
        <f ca="1">INDIRECT("'"&amp;"Add. Properties (3)"&amp;"'!E40")</f>
        <v>#REF!</v>
      </c>
    </row>
    <row r="126" spans="2:9" ht="13.5" customHeight="1" x14ac:dyDescent="0.3">
      <c r="B126" s="245" t="s">
        <v>351</v>
      </c>
      <c r="C126" s="1386" t="str">
        <f t="shared" ca="1" si="20"/>
        <v/>
      </c>
      <c r="D126" s="1386"/>
      <c r="E126" s="245"/>
      <c r="F126" s="246">
        <f t="shared" ca="1" si="21"/>
        <v>0</v>
      </c>
      <c r="G126" s="492" t="e">
        <f ca="1">INDIRECT("'"&amp;"Add. Properties (3)"&amp;"'!B44")</f>
        <v>#REF!</v>
      </c>
      <c r="H126" s="492"/>
      <c r="I126" s="493" t="e">
        <f ca="1">INDIRECT("'"&amp;"Add. Properties (3)"&amp;"'!E49")</f>
        <v>#REF!</v>
      </c>
    </row>
    <row r="127" spans="2:9" ht="13.5" customHeight="1" x14ac:dyDescent="0.3">
      <c r="B127" s="245" t="s">
        <v>352</v>
      </c>
      <c r="C127" s="1386" t="str">
        <f t="shared" ca="1" si="20"/>
        <v/>
      </c>
      <c r="D127" s="1386"/>
      <c r="E127" s="247"/>
      <c r="F127" s="246">
        <f t="shared" ca="1" si="21"/>
        <v>0</v>
      </c>
      <c r="G127" s="492" t="e">
        <f ca="1">INDIRECT("'"&amp;"Add. Properties (4)"&amp;"'!B8")</f>
        <v>#REF!</v>
      </c>
      <c r="H127" s="492"/>
      <c r="I127" s="493" t="e">
        <f ca="1">INDIRECT("'"&amp;"Add. Properties (4)"&amp;"'!E13")</f>
        <v>#REF!</v>
      </c>
    </row>
    <row r="128" spans="2:9" ht="13.5" customHeight="1" x14ac:dyDescent="0.3">
      <c r="B128" s="245" t="s">
        <v>353</v>
      </c>
      <c r="C128" s="1386" t="str">
        <f t="shared" ca="1" si="20"/>
        <v/>
      </c>
      <c r="D128" s="1386"/>
      <c r="E128" s="247"/>
      <c r="F128" s="246">
        <f t="shared" ca="1" si="21"/>
        <v>0</v>
      </c>
      <c r="G128" s="492" t="e">
        <f ca="1">INDIRECT("'"&amp;"Add. Properties (4)"&amp;"'!B17")</f>
        <v>#REF!</v>
      </c>
      <c r="H128" s="492"/>
      <c r="I128" s="493" t="e">
        <f ca="1">INDIRECT("'"&amp;"Add. Properties (4)"&amp;"'!E22")</f>
        <v>#REF!</v>
      </c>
    </row>
    <row r="129" spans="2:9" ht="13.5" customHeight="1" x14ac:dyDescent="0.3">
      <c r="B129" s="245" t="s">
        <v>354</v>
      </c>
      <c r="C129" s="1386" t="str">
        <f t="shared" ca="1" si="20"/>
        <v/>
      </c>
      <c r="D129" s="1386"/>
      <c r="E129" s="245"/>
      <c r="F129" s="246">
        <f t="shared" ca="1" si="21"/>
        <v>0</v>
      </c>
      <c r="G129" s="492" t="e">
        <f ca="1">INDIRECT("'"&amp;"Add. Properties (4)"&amp;"'!B26")</f>
        <v>#REF!</v>
      </c>
      <c r="H129" s="492"/>
      <c r="I129" s="493" t="e">
        <f ca="1">INDIRECT("'"&amp;"Add. Properties (4)"&amp;"'!E31")</f>
        <v>#REF!</v>
      </c>
    </row>
    <row r="130" spans="2:9" ht="13.5" customHeight="1" x14ac:dyDescent="0.3">
      <c r="B130" s="245" t="s">
        <v>355</v>
      </c>
      <c r="C130" s="1386" t="str">
        <f t="shared" ca="1" si="20"/>
        <v/>
      </c>
      <c r="D130" s="1386"/>
      <c r="E130" s="245"/>
      <c r="F130" s="246">
        <f t="shared" ca="1" si="21"/>
        <v>0</v>
      </c>
      <c r="G130" s="492" t="e">
        <f ca="1">INDIRECT("'"&amp;"Add. Properties (4)"&amp;"'!B35")</f>
        <v>#REF!</v>
      </c>
      <c r="H130" s="492"/>
      <c r="I130" s="493" t="e">
        <f ca="1">INDIRECT("'"&amp;"Add. Properties (4)"&amp;"'!E40")</f>
        <v>#REF!</v>
      </c>
    </row>
    <row r="131" spans="2:9" ht="13.5" customHeight="1" x14ac:dyDescent="0.3">
      <c r="B131" s="245" t="s">
        <v>356</v>
      </c>
      <c r="C131" s="1386" t="str">
        <f t="shared" ca="1" si="20"/>
        <v/>
      </c>
      <c r="D131" s="1386"/>
      <c r="E131" s="245"/>
      <c r="F131" s="249">
        <f t="shared" ca="1" si="21"/>
        <v>0</v>
      </c>
      <c r="G131" s="492" t="e">
        <f ca="1">INDIRECT("'"&amp;"Add. Properties (4)"&amp;"'!B44")</f>
        <v>#REF!</v>
      </c>
      <c r="H131" s="492"/>
      <c r="I131" s="493" t="e">
        <f ca="1">INDIRECT("'"&amp;"Add. Properties (4)"&amp;"'!E49")</f>
        <v>#REF!</v>
      </c>
    </row>
    <row r="132" spans="2:9" ht="13.5" customHeight="1" x14ac:dyDescent="0.3">
      <c r="B132" s="225" t="s">
        <v>1306</v>
      </c>
      <c r="C132" s="1386" t="str">
        <f ca="1">IF(F132&lt;&gt;0,G132,"")</f>
        <v/>
      </c>
      <c r="D132" s="1386"/>
      <c r="E132" s="186"/>
      <c r="F132" s="249">
        <f t="shared" ca="1" si="21"/>
        <v>0</v>
      </c>
      <c r="G132" s="492">
        <f ca="1">INDIRECT("'"&amp;"Primary with Rent inc."&amp;"'!D7")</f>
        <v>0</v>
      </c>
      <c r="H132" s="495"/>
      <c r="I132" s="493">
        <f ca="1">INDIRECT("'"&amp;"Primary with Rent inc."&amp;"'!K61")</f>
        <v>0</v>
      </c>
    </row>
    <row r="133" spans="2:9" ht="13.5" customHeight="1" x14ac:dyDescent="0.3">
      <c r="B133" s="225" t="s">
        <v>1307</v>
      </c>
      <c r="C133" s="1386" t="str">
        <f ca="1">IF(F133&lt;&gt;0,G133,"")</f>
        <v/>
      </c>
      <c r="D133" s="1386"/>
      <c r="E133" s="186"/>
      <c r="F133" s="249">
        <f t="shared" ca="1" si="21"/>
        <v>0</v>
      </c>
      <c r="G133" s="492" t="e">
        <f ca="1">INDIRECT("'"&amp;"Primary with Rent inc. (2)"&amp;"'!D7")</f>
        <v>#REF!</v>
      </c>
      <c r="H133" s="495"/>
      <c r="I133" s="493" t="e">
        <f ca="1">INDIRECT("'"&amp;"Primary with Rent inc. (2)"&amp;"'!K61")</f>
        <v>#REF!</v>
      </c>
    </row>
    <row r="134" spans="2:9" ht="13.5" customHeight="1" thickBot="1" x14ac:dyDescent="0.35">
      <c r="B134" s="225"/>
      <c r="C134" s="225"/>
      <c r="D134" s="225"/>
      <c r="E134" s="186"/>
      <c r="F134" s="250">
        <f ca="1">SUM(F112:F133)</f>
        <v>0</v>
      </c>
      <c r="G134" s="492"/>
      <c r="H134" s="495"/>
      <c r="I134" s="493"/>
    </row>
    <row r="135" spans="2:9" ht="13.5" customHeight="1" thickTop="1" x14ac:dyDescent="0.3">
      <c r="B135" s="225"/>
      <c r="C135" s="225"/>
      <c r="D135" s="225"/>
      <c r="E135" s="186"/>
      <c r="F135" s="543"/>
      <c r="G135" s="492"/>
      <c r="H135" s="495"/>
      <c r="I135" s="493"/>
    </row>
    <row r="136" spans="2:9" ht="13.5" customHeight="1" x14ac:dyDescent="0.3">
      <c r="B136" s="225"/>
      <c r="C136" s="225"/>
      <c r="D136" s="225"/>
      <c r="E136" s="186"/>
      <c r="F136" s="543"/>
      <c r="G136" s="492"/>
      <c r="H136" s="495"/>
      <c r="I136" s="493"/>
    </row>
    <row r="137" spans="2:9" ht="13.5" customHeight="1" x14ac:dyDescent="0.3">
      <c r="B137" s="225"/>
      <c r="C137" s="225"/>
      <c r="D137" s="225"/>
      <c r="E137" s="186"/>
      <c r="F137" s="543"/>
      <c r="G137" s="492"/>
      <c r="H137" s="495"/>
      <c r="I137" s="493"/>
    </row>
    <row r="138" spans="2:9" ht="13.5" customHeight="1" x14ac:dyDescent="0.3">
      <c r="B138" s="225"/>
      <c r="C138" s="225"/>
      <c r="D138" s="225"/>
      <c r="E138" s="186"/>
      <c r="F138" s="543"/>
      <c r="G138" s="492"/>
      <c r="H138" s="495"/>
      <c r="I138" s="493"/>
    </row>
    <row r="139" spans="2:9" ht="13.5" customHeight="1" x14ac:dyDescent="0.3">
      <c r="B139" s="1385" t="s">
        <v>403</v>
      </c>
      <c r="C139" s="1385"/>
      <c r="D139" s="186"/>
      <c r="E139" s="186"/>
      <c r="F139"/>
      <c r="G139" s="495"/>
      <c r="H139" s="495"/>
    </row>
    <row r="140" spans="2:9" ht="13.5" customHeight="1" x14ac:dyDescent="0.3">
      <c r="B140" s="541" t="s">
        <v>337</v>
      </c>
      <c r="C140" s="1387" t="str">
        <f t="shared" ref="C140:C159" ca="1" si="22">IF(F140&lt;&gt;0,G140,"")</f>
        <v/>
      </c>
      <c r="D140" s="1387"/>
      <c r="E140" s="297"/>
      <c r="F140" s="296">
        <f t="shared" ref="F140:F161" ca="1" si="23">IFERROR(I140,0)</f>
        <v>0</v>
      </c>
      <c r="G140" s="492">
        <f ca="1">INDIRECT("'"&amp;"Add. Properties"&amp;"'!B8")</f>
        <v>0</v>
      </c>
      <c r="H140" s="492"/>
      <c r="I140" s="493">
        <f ca="1">INDIRECT("'"&amp;"Add. Properties"&amp;"'!D13")</f>
        <v>0</v>
      </c>
    </row>
    <row r="141" spans="2:9" ht="13.5" customHeight="1" x14ac:dyDescent="0.3">
      <c r="B141" s="541" t="s">
        <v>338</v>
      </c>
      <c r="C141" s="1387" t="str">
        <f t="shared" ca="1" si="22"/>
        <v/>
      </c>
      <c r="D141" s="1387"/>
      <c r="E141" s="297"/>
      <c r="F141" s="296">
        <f t="shared" ca="1" si="23"/>
        <v>0</v>
      </c>
      <c r="G141" s="492">
        <f ca="1">INDIRECT("'"&amp;"Add. Properties"&amp;"'!B17")</f>
        <v>0</v>
      </c>
      <c r="H141" s="492"/>
      <c r="I141" s="493">
        <f ca="1">INDIRECT("'"&amp;"Add. Properties"&amp;"'!D22")</f>
        <v>0</v>
      </c>
    </row>
    <row r="142" spans="2:9" ht="13.5" customHeight="1" x14ac:dyDescent="0.3">
      <c r="B142" s="541" t="s">
        <v>339</v>
      </c>
      <c r="C142" s="1387" t="str">
        <f t="shared" ca="1" si="22"/>
        <v/>
      </c>
      <c r="D142" s="1387"/>
      <c r="E142" s="297"/>
      <c r="F142" s="296">
        <f t="shared" ca="1" si="23"/>
        <v>0</v>
      </c>
      <c r="G142" s="492">
        <f ca="1">INDIRECT("'"&amp;"Add. Properties"&amp;"'!B26")</f>
        <v>0</v>
      </c>
      <c r="H142" s="492"/>
      <c r="I142" s="493">
        <f ca="1">INDIRECT("'"&amp;"Add. Properties"&amp;"'!D31")</f>
        <v>0</v>
      </c>
    </row>
    <row r="143" spans="2:9" ht="13.5" customHeight="1" x14ac:dyDescent="0.3">
      <c r="B143" s="541" t="s">
        <v>340</v>
      </c>
      <c r="C143" s="1387" t="str">
        <f t="shared" ca="1" si="22"/>
        <v/>
      </c>
      <c r="D143" s="1387"/>
      <c r="E143" s="297"/>
      <c r="F143" s="296">
        <f t="shared" ca="1" si="23"/>
        <v>0</v>
      </c>
      <c r="G143" s="492">
        <f ca="1">INDIRECT("'"&amp;"Add. Properties"&amp;"'!B35")</f>
        <v>0</v>
      </c>
      <c r="H143" s="492"/>
      <c r="I143" s="493">
        <f ca="1">INDIRECT("'"&amp;"Add. Properties"&amp;"'!D40")</f>
        <v>0</v>
      </c>
    </row>
    <row r="144" spans="2:9" ht="13.5" customHeight="1" x14ac:dyDescent="0.3">
      <c r="B144" s="541" t="s">
        <v>341</v>
      </c>
      <c r="C144" s="1387" t="str">
        <f t="shared" ca="1" si="22"/>
        <v/>
      </c>
      <c r="D144" s="1387"/>
      <c r="E144" s="297"/>
      <c r="F144" s="296">
        <f t="shared" ca="1" si="23"/>
        <v>0</v>
      </c>
      <c r="G144" s="492">
        <f ca="1">INDIRECT("'"&amp;"Add. Properties"&amp;"'!B44")</f>
        <v>0</v>
      </c>
      <c r="H144" s="492"/>
      <c r="I144" s="493">
        <f ca="1">INDIRECT("'"&amp;"Add. Properties"&amp;"'!D49")</f>
        <v>0</v>
      </c>
    </row>
    <row r="145" spans="2:9" ht="13.5" customHeight="1" x14ac:dyDescent="0.3">
      <c r="B145" s="245" t="s">
        <v>342</v>
      </c>
      <c r="C145" s="1386" t="str">
        <f t="shared" ca="1" si="22"/>
        <v/>
      </c>
      <c r="D145" s="1386"/>
      <c r="E145" s="247"/>
      <c r="F145" s="246">
        <f t="shared" ca="1" si="23"/>
        <v>0</v>
      </c>
      <c r="G145" s="492" t="e">
        <f ca="1">INDIRECT("'"&amp;"Add. Properties (2)"&amp;"'!B8")</f>
        <v>#REF!</v>
      </c>
      <c r="H145" s="492"/>
      <c r="I145" s="493" t="e">
        <f ca="1">INDIRECT("'"&amp;"Add. Properties (2)"&amp;"'!D13")</f>
        <v>#REF!</v>
      </c>
    </row>
    <row r="146" spans="2:9" ht="13.5" customHeight="1" x14ac:dyDescent="0.3">
      <c r="B146" s="245" t="s">
        <v>343</v>
      </c>
      <c r="C146" s="1386" t="str">
        <f t="shared" ca="1" si="22"/>
        <v/>
      </c>
      <c r="D146" s="1386"/>
      <c r="E146" s="247"/>
      <c r="F146" s="246">
        <f t="shared" ca="1" si="23"/>
        <v>0</v>
      </c>
      <c r="G146" s="492" t="e">
        <f ca="1">INDIRECT("'"&amp;"Add. Properties (2)"&amp;"'!B17")</f>
        <v>#REF!</v>
      </c>
      <c r="H146" s="492"/>
      <c r="I146" s="493" t="e">
        <f ca="1">INDIRECT("'"&amp;"Add. Properties (2)"&amp;"'!D22")</f>
        <v>#REF!</v>
      </c>
    </row>
    <row r="147" spans="2:9" ht="13.5" customHeight="1" x14ac:dyDescent="0.3">
      <c r="B147" s="245" t="s">
        <v>344</v>
      </c>
      <c r="C147" s="1386" t="str">
        <f t="shared" ca="1" si="22"/>
        <v/>
      </c>
      <c r="D147" s="1386"/>
      <c r="E147" s="245"/>
      <c r="F147" s="246">
        <f t="shared" ca="1" si="23"/>
        <v>0</v>
      </c>
      <c r="G147" s="492" t="e">
        <f ca="1">INDIRECT("'"&amp;"Add. Properties (2)"&amp;"'!B26")</f>
        <v>#REF!</v>
      </c>
      <c r="H147" s="492"/>
      <c r="I147" s="493" t="e">
        <f ca="1">INDIRECT("'"&amp;"Add. Properties (2)"&amp;"'!D31")</f>
        <v>#REF!</v>
      </c>
    </row>
    <row r="148" spans="2:9" ht="13.5" customHeight="1" x14ac:dyDescent="0.3">
      <c r="B148" s="245" t="s">
        <v>345</v>
      </c>
      <c r="C148" s="1386" t="str">
        <f t="shared" ca="1" si="22"/>
        <v/>
      </c>
      <c r="D148" s="1386"/>
      <c r="E148" s="245"/>
      <c r="F148" s="246">
        <f t="shared" ca="1" si="23"/>
        <v>0</v>
      </c>
      <c r="G148" s="492" t="e">
        <f ca="1">INDIRECT("'"&amp;"Add. Properties (2)"&amp;"'!B35")</f>
        <v>#REF!</v>
      </c>
      <c r="H148" s="492"/>
      <c r="I148" s="493" t="e">
        <f ca="1">INDIRECT("'"&amp;"Add. Properties (2)"&amp;"'!D40")</f>
        <v>#REF!</v>
      </c>
    </row>
    <row r="149" spans="2:9" ht="13.5" customHeight="1" x14ac:dyDescent="0.3">
      <c r="B149" s="245" t="s">
        <v>346</v>
      </c>
      <c r="C149" s="1386" t="str">
        <f t="shared" ca="1" si="22"/>
        <v/>
      </c>
      <c r="D149" s="1386"/>
      <c r="E149" s="245"/>
      <c r="F149" s="246">
        <f t="shared" ca="1" si="23"/>
        <v>0</v>
      </c>
      <c r="G149" s="492" t="e">
        <f ca="1">INDIRECT("'"&amp;"Add. Properties (2)"&amp;"'!B44")</f>
        <v>#REF!</v>
      </c>
      <c r="H149" s="492"/>
      <c r="I149" s="493" t="e">
        <f ca="1">INDIRECT("'"&amp;"Add. Properties (2)"&amp;"'!D49")</f>
        <v>#REF!</v>
      </c>
    </row>
    <row r="150" spans="2:9" ht="13.5" customHeight="1" x14ac:dyDescent="0.3">
      <c r="B150" s="245" t="s">
        <v>347</v>
      </c>
      <c r="C150" s="1386" t="str">
        <f t="shared" ca="1" si="22"/>
        <v/>
      </c>
      <c r="D150" s="1386"/>
      <c r="E150" s="247"/>
      <c r="F150" s="246">
        <f t="shared" ca="1" si="23"/>
        <v>0</v>
      </c>
      <c r="G150" s="492" t="e">
        <f ca="1">INDIRECT("'"&amp;"Add. Properties (3)"&amp;"'!B8")</f>
        <v>#REF!</v>
      </c>
      <c r="H150" s="492"/>
      <c r="I150" s="493" t="e">
        <f ca="1">INDIRECT("'"&amp;"Add. Properties (3)"&amp;"'!D13")</f>
        <v>#REF!</v>
      </c>
    </row>
    <row r="151" spans="2:9" ht="13.5" customHeight="1" x14ac:dyDescent="0.3">
      <c r="B151" s="245" t="s">
        <v>348</v>
      </c>
      <c r="C151" s="1386" t="str">
        <f t="shared" ca="1" si="22"/>
        <v/>
      </c>
      <c r="D151" s="1386"/>
      <c r="E151" s="247"/>
      <c r="F151" s="246">
        <f t="shared" ca="1" si="23"/>
        <v>0</v>
      </c>
      <c r="G151" s="492" t="e">
        <f ca="1">INDIRECT("'"&amp;"Add. Properties (3)"&amp;"'!B17")</f>
        <v>#REF!</v>
      </c>
      <c r="H151" s="492"/>
      <c r="I151" s="493" t="e">
        <f ca="1">INDIRECT("'"&amp;"Add. Properties (3)"&amp;"'!D22")</f>
        <v>#REF!</v>
      </c>
    </row>
    <row r="152" spans="2:9" ht="13.5" customHeight="1" x14ac:dyDescent="0.3">
      <c r="B152" s="245" t="s">
        <v>349</v>
      </c>
      <c r="C152" s="1386" t="str">
        <f t="shared" ca="1" si="22"/>
        <v/>
      </c>
      <c r="D152" s="1386"/>
      <c r="E152" s="245"/>
      <c r="F152" s="246">
        <f t="shared" ca="1" si="23"/>
        <v>0</v>
      </c>
      <c r="G152" s="492" t="e">
        <f ca="1">INDIRECT("'"&amp;"Add. Properties (3)"&amp;"'!B26")</f>
        <v>#REF!</v>
      </c>
      <c r="H152" s="492"/>
      <c r="I152" s="493" t="e">
        <f ca="1">INDIRECT("'"&amp;"Add. Properties (3)"&amp;"'!D31")</f>
        <v>#REF!</v>
      </c>
    </row>
    <row r="153" spans="2:9" ht="13.5" customHeight="1" x14ac:dyDescent="0.3">
      <c r="B153" s="245" t="s">
        <v>350</v>
      </c>
      <c r="C153" s="1386" t="str">
        <f t="shared" ca="1" si="22"/>
        <v/>
      </c>
      <c r="D153" s="1386"/>
      <c r="E153" s="245"/>
      <c r="F153" s="246">
        <f t="shared" ca="1" si="23"/>
        <v>0</v>
      </c>
      <c r="G153" s="492" t="e">
        <f ca="1">INDIRECT("'"&amp;"Add. Properties (3)"&amp;"'!B35")</f>
        <v>#REF!</v>
      </c>
      <c r="H153" s="492"/>
      <c r="I153" s="493" t="e">
        <f ca="1">INDIRECT("'"&amp;"Add. Properties (3)"&amp;"'!D40")</f>
        <v>#REF!</v>
      </c>
    </row>
    <row r="154" spans="2:9" ht="13.5" customHeight="1" x14ac:dyDescent="0.3">
      <c r="B154" s="245" t="s">
        <v>351</v>
      </c>
      <c r="C154" s="1386" t="str">
        <f t="shared" ca="1" si="22"/>
        <v/>
      </c>
      <c r="D154" s="1386"/>
      <c r="E154" s="245"/>
      <c r="F154" s="246">
        <f t="shared" ca="1" si="23"/>
        <v>0</v>
      </c>
      <c r="G154" s="492" t="e">
        <f ca="1">INDIRECT("'"&amp;"Add. Properties (3)"&amp;"'!B44")</f>
        <v>#REF!</v>
      </c>
      <c r="H154" s="492"/>
      <c r="I154" s="493" t="e">
        <f ca="1">INDIRECT("'"&amp;"Add. Properties (3)"&amp;"'!D49")</f>
        <v>#REF!</v>
      </c>
    </row>
    <row r="155" spans="2:9" ht="13.5" customHeight="1" x14ac:dyDescent="0.3">
      <c r="B155" s="245" t="s">
        <v>352</v>
      </c>
      <c r="C155" s="1386" t="str">
        <f t="shared" ca="1" si="22"/>
        <v/>
      </c>
      <c r="D155" s="1386"/>
      <c r="E155" s="247"/>
      <c r="F155" s="246">
        <f t="shared" ca="1" si="23"/>
        <v>0</v>
      </c>
      <c r="G155" s="492" t="e">
        <f ca="1">INDIRECT("'"&amp;"Add. Properties (4)"&amp;"'!B8")</f>
        <v>#REF!</v>
      </c>
      <c r="H155" s="492"/>
      <c r="I155" s="493" t="e">
        <f ca="1">INDIRECT("'"&amp;"Add. Properties (4)"&amp;"'!D13")</f>
        <v>#REF!</v>
      </c>
    </row>
    <row r="156" spans="2:9" ht="13.5" customHeight="1" x14ac:dyDescent="0.3">
      <c r="B156" s="245" t="s">
        <v>353</v>
      </c>
      <c r="C156" s="1386" t="str">
        <f t="shared" ca="1" si="22"/>
        <v/>
      </c>
      <c r="D156" s="1386"/>
      <c r="E156" s="247"/>
      <c r="F156" s="246">
        <f t="shared" ca="1" si="23"/>
        <v>0</v>
      </c>
      <c r="G156" s="492" t="e">
        <f ca="1">INDIRECT("'"&amp;"Add. Properties (4)"&amp;"'!B17")</f>
        <v>#REF!</v>
      </c>
      <c r="H156" s="492"/>
      <c r="I156" s="493" t="e">
        <f ca="1">INDIRECT("'"&amp;"Add. Properties (4)"&amp;"'!D22")</f>
        <v>#REF!</v>
      </c>
    </row>
    <row r="157" spans="2:9" ht="13.5" customHeight="1" x14ac:dyDescent="0.3">
      <c r="B157" s="245" t="s">
        <v>354</v>
      </c>
      <c r="C157" s="1386" t="str">
        <f t="shared" ca="1" si="22"/>
        <v/>
      </c>
      <c r="D157" s="1386"/>
      <c r="E157" s="245"/>
      <c r="F157" s="246">
        <f t="shared" ca="1" si="23"/>
        <v>0</v>
      </c>
      <c r="G157" s="492" t="e">
        <f ca="1">INDIRECT("'"&amp;"Add. Properties (4)"&amp;"'!B26")</f>
        <v>#REF!</v>
      </c>
      <c r="H157" s="492"/>
      <c r="I157" s="493" t="e">
        <f ca="1">INDIRECT("'"&amp;"Add. Properties (4)"&amp;"'!D31")</f>
        <v>#REF!</v>
      </c>
    </row>
    <row r="158" spans="2:9" ht="13.5" customHeight="1" x14ac:dyDescent="0.3">
      <c r="B158" s="245" t="s">
        <v>355</v>
      </c>
      <c r="C158" s="1386" t="str">
        <f t="shared" ca="1" si="22"/>
        <v/>
      </c>
      <c r="D158" s="1386"/>
      <c r="E158" s="245"/>
      <c r="F158" s="246">
        <f t="shared" ca="1" si="23"/>
        <v>0</v>
      </c>
      <c r="G158" s="492" t="e">
        <f ca="1">INDIRECT("'"&amp;"Add. Properties (4)"&amp;"'!B35")</f>
        <v>#REF!</v>
      </c>
      <c r="H158" s="492"/>
      <c r="I158" s="493" t="e">
        <f ca="1">INDIRECT("'"&amp;"Add. Properties (4)"&amp;"'!D40")</f>
        <v>#REF!</v>
      </c>
    </row>
    <row r="159" spans="2:9" ht="13.5" customHeight="1" x14ac:dyDescent="0.3">
      <c r="B159" s="245" t="s">
        <v>356</v>
      </c>
      <c r="C159" s="1386" t="str">
        <f t="shared" ca="1" si="22"/>
        <v/>
      </c>
      <c r="D159" s="1386"/>
      <c r="E159" s="245"/>
      <c r="F159" s="249">
        <f t="shared" ca="1" si="23"/>
        <v>0</v>
      </c>
      <c r="G159" s="492" t="e">
        <f ca="1">INDIRECT("'"&amp;"Add. Properties (4)"&amp;"'!B44")</f>
        <v>#REF!</v>
      </c>
      <c r="H159" s="492"/>
      <c r="I159" s="493" t="e">
        <f ca="1">INDIRECT("'"&amp;"Add. Properties (4)"&amp;"'!D49")</f>
        <v>#REF!</v>
      </c>
    </row>
    <row r="160" spans="2:9" ht="13.5" customHeight="1" x14ac:dyDescent="0.3">
      <c r="B160" s="225" t="s">
        <v>1306</v>
      </c>
      <c r="C160" s="1386" t="str">
        <f ca="1">IF(F160&lt;&gt;0,G160,"")</f>
        <v/>
      </c>
      <c r="D160" s="1386"/>
      <c r="E160" s="186"/>
      <c r="F160" s="249">
        <f t="shared" ca="1" si="23"/>
        <v>0</v>
      </c>
      <c r="G160" s="492">
        <f ca="1">INDIRECT("'"&amp;"Primary with Rent inc."&amp;"'!D7")</f>
        <v>0</v>
      </c>
      <c r="H160" s="495"/>
      <c r="I160" s="493">
        <f ca="1">INDIRECT("'"&amp;"Primary with Rent inc."&amp;"'!K60")</f>
        <v>0</v>
      </c>
    </row>
    <row r="161" spans="1:9" ht="13.5" customHeight="1" x14ac:dyDescent="0.3">
      <c r="B161" s="225" t="s">
        <v>1307</v>
      </c>
      <c r="C161" s="1386" t="str">
        <f ca="1">IF(F161&lt;&gt;0,G161,"")</f>
        <v/>
      </c>
      <c r="D161" s="1386"/>
      <c r="E161" s="186"/>
      <c r="F161" s="249">
        <f t="shared" ca="1" si="23"/>
        <v>0</v>
      </c>
      <c r="G161" s="492" t="e">
        <f ca="1">INDIRECT("'"&amp;"Primary with Rent inc. (2)"&amp;"'!D7")</f>
        <v>#REF!</v>
      </c>
      <c r="H161" s="495"/>
      <c r="I161" s="493" t="e">
        <f ca="1">INDIRECT("'"&amp;"Primary with Rent inc. (2)"&amp;"'!K60")</f>
        <v>#REF!</v>
      </c>
    </row>
    <row r="162" spans="1:9" ht="13.5" customHeight="1" thickBot="1" x14ac:dyDescent="0.35">
      <c r="B162" s="225"/>
      <c r="C162" s="225"/>
      <c r="D162" s="225"/>
      <c r="E162" s="186"/>
      <c r="F162" s="250">
        <f ca="1">SUM(F140:F161)</f>
        <v>0</v>
      </c>
      <c r="G162" s="492"/>
      <c r="H162" s="495"/>
      <c r="I162" s="493"/>
    </row>
    <row r="163" spans="1:9" ht="13.5" customHeight="1" thickTop="1" x14ac:dyDescent="0.3">
      <c r="B163" s="225"/>
      <c r="C163" s="225"/>
      <c r="D163" s="225"/>
      <c r="E163" s="186"/>
      <c r="F163" s="543"/>
      <c r="G163" s="492"/>
      <c r="H163" s="495"/>
      <c r="I163" s="493"/>
    </row>
    <row r="164" spans="1:9" ht="13.5" customHeight="1" x14ac:dyDescent="0.3">
      <c r="B164" s="225"/>
      <c r="C164" s="225"/>
      <c r="D164" s="225"/>
      <c r="E164" s="186"/>
      <c r="F164" s="543"/>
      <c r="G164" s="492"/>
      <c r="H164" s="495"/>
      <c r="I164" s="493"/>
    </row>
    <row r="165" spans="1:9" ht="13.5" customHeight="1" x14ac:dyDescent="0.3">
      <c r="B165" s="913" t="s">
        <v>398</v>
      </c>
      <c r="C165" s="186"/>
      <c r="D165" s="186"/>
      <c r="E165" s="186"/>
      <c r="F165"/>
      <c r="G165" s="495"/>
      <c r="H165" s="495"/>
    </row>
    <row r="166" spans="1:9" ht="13.5" customHeight="1" x14ac:dyDescent="0.3">
      <c r="A166" s="912"/>
      <c r="B166" s="541" t="s">
        <v>399</v>
      </c>
      <c r="C166" s="541" t="str">
        <f ca="1">IF(G166=0,"",G166)</f>
        <v/>
      </c>
      <c r="D166" s="541" t="str">
        <f ca="1">IF(H166=0,"",H166)</f>
        <v/>
      </c>
      <c r="E166" s="297"/>
      <c r="F166" s="296">
        <f t="shared" ref="F166:F173" ca="1" si="24">IFERROR(I166,0)</f>
        <v>0</v>
      </c>
      <c r="G166" s="492">
        <f ca="1">INDIRECT("'"&amp;"Sch C"&amp;"'!D6")</f>
        <v>0</v>
      </c>
      <c r="H166" s="492">
        <f ca="1">INDIRECT("'"&amp;"Sch C"&amp;"'!D8")</f>
        <v>0</v>
      </c>
      <c r="I166" s="493">
        <f ca="1">INDIRECT("'"&amp;"Sch C"&amp;"'!N35")</f>
        <v>0</v>
      </c>
    </row>
    <row r="167" spans="1:9" ht="13.5" customHeight="1" x14ac:dyDescent="0.3">
      <c r="B167" s="245" t="s">
        <v>357</v>
      </c>
      <c r="C167" s="245" t="str">
        <f t="shared" ref="C167:D169" ca="1" si="25">IFERROR(G167,"")</f>
        <v/>
      </c>
      <c r="D167" s="245" t="str">
        <f t="shared" ca="1" si="25"/>
        <v/>
      </c>
      <c r="E167" s="247"/>
      <c r="F167" s="246">
        <f t="shared" ca="1" si="24"/>
        <v>0</v>
      </c>
      <c r="G167" s="492" t="e">
        <f ca="1">INDIRECT("'"&amp;"Sch C (2)"&amp;"'!D6")</f>
        <v>#REF!</v>
      </c>
      <c r="H167" s="492" t="e">
        <f ca="1">INDIRECT("'"&amp;"Sch C (2)"&amp;"'!D8")</f>
        <v>#REF!</v>
      </c>
      <c r="I167" s="493" t="e">
        <f ca="1">INDIRECT("'"&amp;"Sch C (2)"&amp;"'!N35")</f>
        <v>#REF!</v>
      </c>
    </row>
    <row r="168" spans="1:9" ht="13.5" customHeight="1" x14ac:dyDescent="0.3">
      <c r="B168" s="245" t="s">
        <v>358</v>
      </c>
      <c r="C168" s="245" t="str">
        <f t="shared" ca="1" si="25"/>
        <v/>
      </c>
      <c r="D168" s="245" t="str">
        <f t="shared" ca="1" si="25"/>
        <v/>
      </c>
      <c r="E168" s="247"/>
      <c r="F168" s="246">
        <f t="shared" ca="1" si="24"/>
        <v>0</v>
      </c>
      <c r="G168" s="492" t="e">
        <f ca="1">INDIRECT("'"&amp;"Sch C (3)"&amp;"'!D6")</f>
        <v>#REF!</v>
      </c>
      <c r="H168" s="492" t="e">
        <f ca="1">INDIRECT("'"&amp;"Sch C (3)"&amp;"'!D8")</f>
        <v>#REF!</v>
      </c>
      <c r="I168" s="493" t="e">
        <f ca="1">INDIRECT("'"&amp;"Sch C (3)"&amp;"'!N35")</f>
        <v>#REF!</v>
      </c>
    </row>
    <row r="169" spans="1:9" ht="13.5" customHeight="1" x14ac:dyDescent="0.3">
      <c r="B169" s="245" t="s">
        <v>359</v>
      </c>
      <c r="C169" s="245" t="str">
        <f t="shared" ca="1" si="25"/>
        <v/>
      </c>
      <c r="D169" s="245" t="str">
        <f t="shared" ca="1" si="25"/>
        <v/>
      </c>
      <c r="E169" s="247"/>
      <c r="F169" s="246">
        <f t="shared" ca="1" si="24"/>
        <v>0</v>
      </c>
      <c r="G169" s="492" t="e">
        <f ca="1">INDIRECT("'"&amp;"Sch C (4)"&amp;"'!D6")</f>
        <v>#REF!</v>
      </c>
      <c r="H169" s="492" t="e">
        <f ca="1">INDIRECT("'"&amp;"Sch C (4)"&amp;"'!D8")</f>
        <v>#REF!</v>
      </c>
      <c r="I169" s="493" t="e">
        <f ca="1">INDIRECT("'"&amp;"Sch C (4)"&amp;"'!N35")</f>
        <v>#REF!</v>
      </c>
    </row>
    <row r="170" spans="1:9" ht="13.5" customHeight="1" x14ac:dyDescent="0.3">
      <c r="B170" s="861" t="s">
        <v>360</v>
      </c>
      <c r="C170" s="861"/>
      <c r="D170" s="861"/>
      <c r="E170" s="856"/>
      <c r="F170" s="857">
        <f t="shared" ca="1" si="24"/>
        <v>0</v>
      </c>
      <c r="G170" s="492" t="e">
        <f ca="1">INDIRECT("'"&amp;"C-EZ"&amp;"'!D6")</f>
        <v>#REF!</v>
      </c>
      <c r="H170" s="492" t="e">
        <f ca="1">INDIRECT("'"&amp;"C-EZ"&amp;"'!D8")</f>
        <v>#REF!</v>
      </c>
      <c r="I170" s="493" t="e">
        <f ca="1">INDIRECT("'"&amp;"C-EZ"&amp;"'!N31")</f>
        <v>#REF!</v>
      </c>
    </row>
    <row r="171" spans="1:9" ht="13.5" customHeight="1" x14ac:dyDescent="0.3">
      <c r="B171" s="862" t="s">
        <v>361</v>
      </c>
      <c r="C171" s="862" t="str">
        <f t="shared" ref="C171:D173" ca="1" si="26">IFERROR(G171,"")</f>
        <v/>
      </c>
      <c r="D171" s="862" t="str">
        <f t="shared" ca="1" si="26"/>
        <v/>
      </c>
      <c r="E171" s="858"/>
      <c r="F171" s="859">
        <f t="shared" ca="1" si="24"/>
        <v>0</v>
      </c>
      <c r="G171" s="492" t="e">
        <f ca="1">INDIRECT("'"&amp;"C-EZ (2)"&amp;"'!D6")</f>
        <v>#REF!</v>
      </c>
      <c r="H171" s="492" t="e">
        <f ca="1">INDIRECT("'"&amp;"C-EZ (2)"&amp;"'!D8")</f>
        <v>#REF!</v>
      </c>
      <c r="I171" s="493" t="e">
        <f ca="1">INDIRECT("'"&amp;"C-EZ (2)"&amp;"'!N31")</f>
        <v>#REF!</v>
      </c>
    </row>
    <row r="172" spans="1:9" ht="13.5" customHeight="1" x14ac:dyDescent="0.3">
      <c r="B172" s="862" t="s">
        <v>405</v>
      </c>
      <c r="C172" s="862" t="str">
        <f t="shared" ca="1" si="26"/>
        <v/>
      </c>
      <c r="D172" s="862" t="str">
        <f t="shared" ca="1" si="26"/>
        <v/>
      </c>
      <c r="E172" s="858"/>
      <c r="F172" s="859">
        <f t="shared" ca="1" si="24"/>
        <v>0</v>
      </c>
      <c r="G172" s="492" t="e">
        <f ca="1">INDIRECT("'"&amp;"C-EZ (3)"&amp;"'!D6")</f>
        <v>#REF!</v>
      </c>
      <c r="H172" s="492" t="e">
        <f ca="1">INDIRECT("'"&amp;"C-EZ (3)"&amp;"'!D8")</f>
        <v>#REF!</v>
      </c>
      <c r="I172" s="493" t="e">
        <f ca="1">INDIRECT("'"&amp;"C-EZ (3)"&amp;"'!N31")</f>
        <v>#REF!</v>
      </c>
    </row>
    <row r="173" spans="1:9" ht="13.5" customHeight="1" x14ac:dyDescent="0.3">
      <c r="B173" s="862" t="s">
        <v>406</v>
      </c>
      <c r="C173" s="862" t="str">
        <f t="shared" ca="1" si="26"/>
        <v/>
      </c>
      <c r="D173" s="862" t="str">
        <f t="shared" ca="1" si="26"/>
        <v/>
      </c>
      <c r="E173" s="858"/>
      <c r="F173" s="859">
        <f t="shared" ca="1" si="24"/>
        <v>0</v>
      </c>
      <c r="G173" s="492" t="e">
        <f ca="1">INDIRECT("'"&amp;"C-EZ (4)"&amp;"'!D6")</f>
        <v>#REF!</v>
      </c>
      <c r="H173" s="492" t="e">
        <f ca="1">INDIRECT("'"&amp;"C-EZ (4)"&amp;"'!D8")</f>
        <v>#REF!</v>
      </c>
      <c r="I173" s="493" t="e">
        <f ca="1">INDIRECT("'"&amp;"C-EZ (4)"&amp;"'!N31")</f>
        <v>#REF!</v>
      </c>
    </row>
    <row r="174" spans="1:9" ht="13.5" customHeight="1" x14ac:dyDescent="0.3">
      <c r="B174" s="225"/>
      <c r="C174" s="186"/>
      <c r="D174" s="186"/>
      <c r="E174" s="186"/>
      <c r="F174" s="234"/>
      <c r="G174" s="495"/>
      <c r="H174" s="495"/>
    </row>
    <row r="175" spans="1:9" ht="13.5" customHeight="1" x14ac:dyDescent="0.3">
      <c r="B175" s="225"/>
      <c r="C175" s="186"/>
      <c r="D175" s="186"/>
      <c r="E175" s="186"/>
      <c r="F175" s="234"/>
      <c r="G175" s="495"/>
      <c r="H175" s="495"/>
    </row>
    <row r="176" spans="1:9" ht="13.5" customHeight="1" x14ac:dyDescent="0.3">
      <c r="B176" s="908">
        <v>1065</v>
      </c>
      <c r="C176" s="913"/>
      <c r="D176" s="186"/>
      <c r="E176" s="186"/>
      <c r="F176" s="234"/>
      <c r="G176" s="495"/>
      <c r="H176" s="495"/>
    </row>
    <row r="177" spans="1:9" ht="13.5" customHeight="1" x14ac:dyDescent="0.3">
      <c r="A177" s="912"/>
      <c r="B177" s="541" t="s">
        <v>400</v>
      </c>
      <c r="C177" s="541" t="str">
        <f ca="1">IF(G177=0,"",G177)</f>
        <v/>
      </c>
      <c r="D177" s="541" t="str">
        <f ca="1">IF(H177=0,"",H177)</f>
        <v/>
      </c>
      <c r="E177" s="297"/>
      <c r="F177" s="296">
        <f ca="1">IFERROR(I177,0)</f>
        <v>0</v>
      </c>
      <c r="G177" s="492">
        <f ca="1">INDIRECT("'"&amp;"1065"&amp;"'!D6")</f>
        <v>0</v>
      </c>
      <c r="H177" s="492">
        <f ca="1">INDIRECT("'"&amp;"1065"&amp;"'!D8")</f>
        <v>0</v>
      </c>
      <c r="I177" s="493">
        <f ca="1">INDIRECT("'"&amp;"1065"&amp;"'!N58")</f>
        <v>0</v>
      </c>
    </row>
    <row r="178" spans="1:9" ht="13.5" customHeight="1" x14ac:dyDescent="0.3">
      <c r="B178" s="245" t="s">
        <v>362</v>
      </c>
      <c r="C178" s="245" t="str">
        <f t="shared" ref="C178:D184" ca="1" si="27">IFERROR(G178,"")</f>
        <v/>
      </c>
      <c r="D178" s="245" t="str">
        <f t="shared" ca="1" si="27"/>
        <v/>
      </c>
      <c r="E178" s="247"/>
      <c r="F178" s="246">
        <f ca="1">IFERROR(I178,0)</f>
        <v>0</v>
      </c>
      <c r="G178" s="492" t="e">
        <f ca="1">INDIRECT("'"&amp;"1065 (2)"&amp;"'!D6")</f>
        <v>#REF!</v>
      </c>
      <c r="H178" s="492" t="e">
        <f ca="1">INDIRECT("'"&amp;"1065 (2)"&amp;"'!D8")</f>
        <v>#REF!</v>
      </c>
      <c r="I178" s="493" t="e">
        <f ca="1">INDIRECT("'"&amp;"1065 (2)"&amp;"'!N58")</f>
        <v>#REF!</v>
      </c>
    </row>
    <row r="179" spans="1:9" ht="13.5" customHeight="1" x14ac:dyDescent="0.3">
      <c r="B179" s="245" t="s">
        <v>363</v>
      </c>
      <c r="C179" s="245" t="str">
        <f t="shared" ref="C179:C184" ca="1" si="28">IFERROR(G179,"")</f>
        <v/>
      </c>
      <c r="D179" s="245" t="str">
        <f t="shared" ca="1" si="27"/>
        <v/>
      </c>
      <c r="E179" s="247"/>
      <c r="F179" s="246">
        <f t="shared" ref="F179:F184" ca="1" si="29">IFERROR(I179,0)</f>
        <v>0</v>
      </c>
      <c r="G179" s="492" t="e">
        <f ca="1">INDIRECT("'"&amp;"1065 (3)"&amp;"'!D6")</f>
        <v>#REF!</v>
      </c>
      <c r="H179" s="492" t="e">
        <f ca="1">INDIRECT("'"&amp;"1065 (3)"&amp;"'!D8")</f>
        <v>#REF!</v>
      </c>
      <c r="I179" s="493" t="e">
        <f ca="1">INDIRECT("'"&amp;"1065 (3)"&amp;"'!N58")</f>
        <v>#REF!</v>
      </c>
    </row>
    <row r="180" spans="1:9" ht="13.5" customHeight="1" x14ac:dyDescent="0.3">
      <c r="B180" s="245" t="s">
        <v>364</v>
      </c>
      <c r="C180" s="245" t="str">
        <f t="shared" ca="1" si="28"/>
        <v/>
      </c>
      <c r="D180" s="245" t="str">
        <f t="shared" ca="1" si="27"/>
        <v/>
      </c>
      <c r="E180" s="247"/>
      <c r="F180" s="246">
        <f t="shared" ca="1" si="29"/>
        <v>0</v>
      </c>
      <c r="G180" s="492" t="e">
        <f ca="1">INDIRECT("'"&amp;"1065 (4)"&amp;"'!D6")</f>
        <v>#REF!</v>
      </c>
      <c r="H180" s="492" t="e">
        <f ca="1">INDIRECT("'"&amp;"1065 (4)"&amp;"'!D8")</f>
        <v>#REF!</v>
      </c>
      <c r="I180" s="493" t="e">
        <f ca="1">INDIRECT("'"&amp;"1065 (4)"&amp;"'!N58")</f>
        <v>#REF!</v>
      </c>
    </row>
    <row r="181" spans="1:9" ht="13.5" customHeight="1" x14ac:dyDescent="0.3">
      <c r="B181" s="245" t="s">
        <v>365</v>
      </c>
      <c r="C181" s="245" t="str">
        <f t="shared" ca="1" si="28"/>
        <v/>
      </c>
      <c r="D181" s="245" t="str">
        <f t="shared" ca="1" si="27"/>
        <v/>
      </c>
      <c r="E181" s="247"/>
      <c r="F181" s="246">
        <f t="shared" ca="1" si="29"/>
        <v>0</v>
      </c>
      <c r="G181" s="492" t="e">
        <f ca="1">INDIRECT("'"&amp;"1065 (5)"&amp;"'!D6")</f>
        <v>#REF!</v>
      </c>
      <c r="H181" s="492" t="e">
        <f ca="1">INDIRECT("'"&amp;"1065 (5)"&amp;"'!D8")</f>
        <v>#REF!</v>
      </c>
      <c r="I181" s="493" t="e">
        <f ca="1">INDIRECT("'"&amp;"1065 (5)"&amp;"'!N58")</f>
        <v>#REF!</v>
      </c>
    </row>
    <row r="182" spans="1:9" ht="13.5" customHeight="1" x14ac:dyDescent="0.3">
      <c r="B182" s="245" t="s">
        <v>366</v>
      </c>
      <c r="C182" s="245" t="str">
        <f t="shared" ca="1" si="28"/>
        <v/>
      </c>
      <c r="D182" s="245" t="str">
        <f t="shared" ca="1" si="27"/>
        <v/>
      </c>
      <c r="E182" s="247"/>
      <c r="F182" s="246">
        <f t="shared" ca="1" si="29"/>
        <v>0</v>
      </c>
      <c r="G182" s="492" t="e">
        <f ca="1">INDIRECT("'"&amp;"1065 (6)"&amp;"'!D6")</f>
        <v>#REF!</v>
      </c>
      <c r="H182" s="492" t="e">
        <f ca="1">INDIRECT("'"&amp;"1065 (6)"&amp;"'!D8")</f>
        <v>#REF!</v>
      </c>
      <c r="I182" s="493" t="e">
        <f ca="1">INDIRECT("'"&amp;"1065 (6)"&amp;"'!N58")</f>
        <v>#REF!</v>
      </c>
    </row>
    <row r="183" spans="1:9" ht="13.5" customHeight="1" x14ac:dyDescent="0.3">
      <c r="B183" s="245" t="s">
        <v>367</v>
      </c>
      <c r="C183" s="245" t="str">
        <f t="shared" ca="1" si="28"/>
        <v/>
      </c>
      <c r="D183" s="245" t="str">
        <f t="shared" ca="1" si="27"/>
        <v/>
      </c>
      <c r="E183" s="247"/>
      <c r="F183" s="246">
        <f t="shared" ca="1" si="29"/>
        <v>0</v>
      </c>
      <c r="G183" s="492" t="e">
        <f ca="1">INDIRECT("'"&amp;"1065 (7)"&amp;"'!D6")</f>
        <v>#REF!</v>
      </c>
      <c r="H183" s="492" t="e">
        <f ca="1">INDIRECT("'"&amp;"1065 (7)"&amp;"'!D8")</f>
        <v>#REF!</v>
      </c>
      <c r="I183" s="493" t="e">
        <f ca="1">INDIRECT("'"&amp;"1065 (7)"&amp;"'!N58")</f>
        <v>#REF!</v>
      </c>
    </row>
    <row r="184" spans="1:9" ht="13.5" customHeight="1" x14ac:dyDescent="0.3">
      <c r="B184" s="245" t="s">
        <v>368</v>
      </c>
      <c r="C184" s="245" t="str">
        <f t="shared" ca="1" si="28"/>
        <v/>
      </c>
      <c r="D184" s="245" t="str">
        <f t="shared" ca="1" si="27"/>
        <v/>
      </c>
      <c r="E184" s="247"/>
      <c r="F184" s="246">
        <f t="shared" ca="1" si="29"/>
        <v>0</v>
      </c>
      <c r="G184" s="492" t="e">
        <f ca="1">INDIRECT("'"&amp;"1065 (8)"&amp;"'!D6")</f>
        <v>#REF!</v>
      </c>
      <c r="H184" s="492" t="e">
        <f ca="1">INDIRECT("'"&amp;"1065 (8)"&amp;"'!D8")</f>
        <v>#REF!</v>
      </c>
      <c r="I184" s="493" t="e">
        <f ca="1">INDIRECT("'"&amp;"1065 (8)"&amp;"'!N58")</f>
        <v>#REF!</v>
      </c>
    </row>
    <row r="185" spans="1:9" ht="13.5" customHeight="1" x14ac:dyDescent="0.3">
      <c r="B185" s="225"/>
      <c r="C185" s="186"/>
      <c r="D185" s="186"/>
      <c r="E185" s="186"/>
      <c r="F185" s="234"/>
      <c r="G185" s="495"/>
      <c r="H185" s="495"/>
    </row>
    <row r="186" spans="1:9" ht="13.5" customHeight="1" x14ac:dyDescent="0.3">
      <c r="B186" s="225"/>
      <c r="C186" s="186"/>
      <c r="D186" s="186"/>
      <c r="E186" s="186"/>
      <c r="F186" s="234"/>
      <c r="G186" s="495"/>
      <c r="H186" s="495"/>
    </row>
    <row r="187" spans="1:9" ht="13.5" customHeight="1" x14ac:dyDescent="0.3">
      <c r="B187" s="913" t="s">
        <v>407</v>
      </c>
      <c r="C187" s="186"/>
      <c r="D187" s="186"/>
      <c r="E187" s="186"/>
      <c r="F187" s="234"/>
      <c r="G187" s="495"/>
      <c r="H187" s="495"/>
    </row>
    <row r="188" spans="1:9" ht="13.5" customHeight="1" x14ac:dyDescent="0.3">
      <c r="A188" s="912"/>
      <c r="B188" s="541" t="s">
        <v>401</v>
      </c>
      <c r="C188" s="541" t="str">
        <f ca="1">IF(G188=0,"",G188)</f>
        <v/>
      </c>
      <c r="D188" s="541" t="str">
        <f ca="1">IF(H188=0,"",H188)</f>
        <v/>
      </c>
      <c r="E188" s="297"/>
      <c r="F188" s="296">
        <f ca="1">IFERROR(I188,0)</f>
        <v>0</v>
      </c>
      <c r="G188" s="492">
        <f ca="1">INDIRECT("'"&amp;"1120S"&amp;"'!D6")</f>
        <v>0</v>
      </c>
      <c r="H188" s="492">
        <f ca="1">INDIRECT("'"&amp;"1120S"&amp;"'!D8")</f>
        <v>0</v>
      </c>
      <c r="I188" s="493">
        <f ca="1">INDIRECT("'"&amp;"1120S"&amp;"'!N55")</f>
        <v>0</v>
      </c>
    </row>
    <row r="189" spans="1:9" ht="13.5" customHeight="1" x14ac:dyDescent="0.3">
      <c r="B189" s="245" t="s">
        <v>369</v>
      </c>
      <c r="C189" s="245" t="str">
        <f t="shared" ref="C189:D195" ca="1" si="30">IFERROR(G189,"")</f>
        <v/>
      </c>
      <c r="D189" s="245" t="str">
        <f t="shared" ca="1" si="30"/>
        <v/>
      </c>
      <c r="E189" s="247"/>
      <c r="F189" s="246">
        <f ca="1">IFERROR(I189,0)</f>
        <v>0</v>
      </c>
      <c r="G189" s="492" t="e">
        <f ca="1">INDIRECT("'"&amp;"1120S (2)"&amp;"'!D6")</f>
        <v>#REF!</v>
      </c>
      <c r="H189" s="492" t="e">
        <f ca="1">INDIRECT("'"&amp;"1120S (2)"&amp;"'!D8")</f>
        <v>#REF!</v>
      </c>
      <c r="I189" s="493" t="e">
        <f ca="1">INDIRECT("'"&amp;"1120S (2)"&amp;"'!N55")</f>
        <v>#REF!</v>
      </c>
    </row>
    <row r="190" spans="1:9" ht="13.5" customHeight="1" x14ac:dyDescent="0.3">
      <c r="B190" s="245" t="s">
        <v>370</v>
      </c>
      <c r="C190" s="245" t="str">
        <f t="shared" ref="C190:C195" ca="1" si="31">IFERROR(G190,"")</f>
        <v/>
      </c>
      <c r="D190" s="245" t="str">
        <f t="shared" ca="1" si="30"/>
        <v/>
      </c>
      <c r="E190" s="247"/>
      <c r="F190" s="246">
        <f t="shared" ref="F190:F195" ca="1" si="32">IFERROR(I190,0)</f>
        <v>0</v>
      </c>
      <c r="G190" s="492" t="e">
        <f ca="1">INDIRECT("'"&amp;"1120S (3)"&amp;"'!D6")</f>
        <v>#REF!</v>
      </c>
      <c r="H190" s="492" t="e">
        <f ca="1">INDIRECT("'"&amp;"1120S (3)"&amp;"'!D8")</f>
        <v>#REF!</v>
      </c>
      <c r="I190" s="493" t="e">
        <f ca="1">INDIRECT("'"&amp;"1120S (3)"&amp;"'!N55")</f>
        <v>#REF!</v>
      </c>
    </row>
    <row r="191" spans="1:9" ht="13.5" customHeight="1" x14ac:dyDescent="0.3">
      <c r="B191" s="245" t="s">
        <v>371</v>
      </c>
      <c r="C191" s="245" t="str">
        <f t="shared" ca="1" si="31"/>
        <v/>
      </c>
      <c r="D191" s="245" t="str">
        <f t="shared" ca="1" si="30"/>
        <v/>
      </c>
      <c r="E191" s="247"/>
      <c r="F191" s="246">
        <f t="shared" ca="1" si="32"/>
        <v>0</v>
      </c>
      <c r="G191" s="492" t="e">
        <f ca="1">INDIRECT("'"&amp;"1120S (4)"&amp;"'!D6")</f>
        <v>#REF!</v>
      </c>
      <c r="H191" s="492" t="e">
        <f ca="1">INDIRECT("'"&amp;"1120S (4)"&amp;"'!D8")</f>
        <v>#REF!</v>
      </c>
      <c r="I191" s="493" t="e">
        <f ca="1">INDIRECT("'"&amp;"1120S (4)"&amp;"'!N55")</f>
        <v>#REF!</v>
      </c>
    </row>
    <row r="192" spans="1:9" ht="13.5" customHeight="1" x14ac:dyDescent="0.3">
      <c r="B192" s="245" t="s">
        <v>372</v>
      </c>
      <c r="C192" s="245" t="str">
        <f t="shared" ca="1" si="31"/>
        <v/>
      </c>
      <c r="D192" s="245" t="str">
        <f t="shared" ca="1" si="30"/>
        <v/>
      </c>
      <c r="E192" s="247"/>
      <c r="F192" s="246">
        <f t="shared" ca="1" si="32"/>
        <v>0</v>
      </c>
      <c r="G192" s="492" t="e">
        <f ca="1">INDIRECT("'"&amp;"1120S (5)"&amp;"'!D6")</f>
        <v>#REF!</v>
      </c>
      <c r="H192" s="492" t="e">
        <f ca="1">INDIRECT("'"&amp;"1120S (5)"&amp;"'!D8")</f>
        <v>#REF!</v>
      </c>
      <c r="I192" s="493" t="e">
        <f ca="1">INDIRECT("'"&amp;"1120S (5)"&amp;"'!N55")</f>
        <v>#REF!</v>
      </c>
    </row>
    <row r="193" spans="1:9" ht="13.5" customHeight="1" x14ac:dyDescent="0.3">
      <c r="B193" s="245" t="s">
        <v>373</v>
      </c>
      <c r="C193" s="245" t="str">
        <f t="shared" ca="1" si="31"/>
        <v/>
      </c>
      <c r="D193" s="245" t="str">
        <f t="shared" ca="1" si="30"/>
        <v/>
      </c>
      <c r="E193" s="247"/>
      <c r="F193" s="246">
        <f t="shared" ca="1" si="32"/>
        <v>0</v>
      </c>
      <c r="G193" s="492" t="e">
        <f ca="1">INDIRECT("'"&amp;"1120S (6)"&amp;"'!D6")</f>
        <v>#REF!</v>
      </c>
      <c r="H193" s="492" t="e">
        <f ca="1">INDIRECT("'"&amp;"1120S (6)"&amp;"'!D8")</f>
        <v>#REF!</v>
      </c>
      <c r="I193" s="493" t="e">
        <f ca="1">INDIRECT("'"&amp;"1120S (6)"&amp;"'!N55")</f>
        <v>#REF!</v>
      </c>
    </row>
    <row r="194" spans="1:9" ht="13.5" customHeight="1" x14ac:dyDescent="0.3">
      <c r="B194" s="245" t="s">
        <v>374</v>
      </c>
      <c r="C194" s="245" t="str">
        <f t="shared" ca="1" si="31"/>
        <v/>
      </c>
      <c r="D194" s="245" t="str">
        <f t="shared" ca="1" si="30"/>
        <v/>
      </c>
      <c r="E194" s="247"/>
      <c r="F194" s="246">
        <f t="shared" ca="1" si="32"/>
        <v>0</v>
      </c>
      <c r="G194" s="492" t="e">
        <f ca="1">INDIRECT("'"&amp;"1120S (7)"&amp;"'!D6")</f>
        <v>#REF!</v>
      </c>
      <c r="H194" s="492" t="e">
        <f ca="1">INDIRECT("'"&amp;"1120S (7)"&amp;"'!D8")</f>
        <v>#REF!</v>
      </c>
      <c r="I194" s="493" t="e">
        <f ca="1">INDIRECT("'"&amp;"1120S (7)"&amp;"'!N55")</f>
        <v>#REF!</v>
      </c>
    </row>
    <row r="195" spans="1:9" ht="13.5" customHeight="1" x14ac:dyDescent="0.3">
      <c r="B195" s="245" t="s">
        <v>375</v>
      </c>
      <c r="C195" s="245" t="str">
        <f t="shared" ca="1" si="31"/>
        <v/>
      </c>
      <c r="D195" s="245" t="str">
        <f t="shared" ca="1" si="30"/>
        <v/>
      </c>
      <c r="E195" s="247"/>
      <c r="F195" s="246">
        <f t="shared" ca="1" si="32"/>
        <v>0</v>
      </c>
      <c r="G195" s="492" t="e">
        <f ca="1">INDIRECT("'"&amp;"1120S (8)"&amp;"'!D6")</f>
        <v>#REF!</v>
      </c>
      <c r="H195" s="492" t="e">
        <f ca="1">INDIRECT("'"&amp;"1120S (8)"&amp;"'!D8")</f>
        <v>#REF!</v>
      </c>
      <c r="I195" s="493" t="e">
        <f ca="1">INDIRECT("'"&amp;"1120S (8)"&amp;"'!N55")</f>
        <v>#REF!</v>
      </c>
    </row>
    <row r="196" spans="1:9" ht="13.5" customHeight="1" x14ac:dyDescent="0.3">
      <c r="B196" s="225"/>
      <c r="C196" s="186"/>
      <c r="D196" s="186"/>
      <c r="E196" s="186"/>
      <c r="F196" s="234"/>
      <c r="G196" s="495"/>
      <c r="H196" s="495"/>
    </row>
    <row r="197" spans="1:9" ht="13.5" customHeight="1" x14ac:dyDescent="0.3">
      <c r="B197" s="225"/>
      <c r="C197" s="186"/>
      <c r="D197" s="186"/>
      <c r="E197" s="186"/>
      <c r="F197" s="234"/>
      <c r="G197" s="495"/>
      <c r="H197" s="495"/>
    </row>
    <row r="198" spans="1:9" ht="13.5" customHeight="1" x14ac:dyDescent="0.3">
      <c r="B198" s="908">
        <v>1120</v>
      </c>
      <c r="C198" s="186"/>
      <c r="D198" s="186"/>
      <c r="E198" s="186"/>
      <c r="F198" s="234"/>
      <c r="G198" s="495"/>
      <c r="H198" s="495"/>
    </row>
    <row r="199" spans="1:9" ht="13.5" customHeight="1" x14ac:dyDescent="0.3">
      <c r="A199" s="912"/>
      <c r="B199" s="541" t="s">
        <v>402</v>
      </c>
      <c r="C199" s="541" t="str">
        <f ca="1">IF(G199=0,"",G199)</f>
        <v/>
      </c>
      <c r="D199" s="541" t="str">
        <f ca="1">IF(H199=0,"",H199)</f>
        <v/>
      </c>
      <c r="E199" s="297"/>
      <c r="F199" s="296">
        <f ca="1">IFERROR(I199,0)</f>
        <v>0</v>
      </c>
      <c r="G199" s="492">
        <f ca="1">INDIRECT("'"&amp;"1120"&amp;"'!D6")</f>
        <v>0</v>
      </c>
      <c r="H199" s="492">
        <f ca="1">INDIRECT("'"&amp;"1120"&amp;"'!D8")</f>
        <v>0</v>
      </c>
      <c r="I199" s="493">
        <f ca="1">INDIRECT("'"&amp;"1120"&amp;"'!N50")</f>
        <v>0</v>
      </c>
    </row>
    <row r="200" spans="1:9" ht="13.5" customHeight="1" x14ac:dyDescent="0.3">
      <c r="B200" s="245" t="s">
        <v>376</v>
      </c>
      <c r="C200" s="245" t="str">
        <f t="shared" ref="C200:C206" ca="1" si="33">IFERROR(G200,"")</f>
        <v/>
      </c>
      <c r="D200" s="245" t="str">
        <f t="shared" ref="D200:D206" ca="1" si="34">IFERROR(H200,"")</f>
        <v/>
      </c>
      <c r="E200" s="247"/>
      <c r="F200" s="246">
        <f t="shared" ref="F200:F206" ca="1" si="35">IFERROR(I200,0)</f>
        <v>0</v>
      </c>
      <c r="G200" s="492" t="e">
        <f ca="1">INDIRECT("'"&amp;"1120 (2)"&amp;"'!D6")</f>
        <v>#REF!</v>
      </c>
      <c r="H200" s="492" t="e">
        <f ca="1">INDIRECT("'"&amp;"1120 (2)"&amp;"'!D8")</f>
        <v>#REF!</v>
      </c>
      <c r="I200" s="493" t="e">
        <f ca="1">INDIRECT("'"&amp;"1120 (2)"&amp;"'!N50")</f>
        <v>#REF!</v>
      </c>
    </row>
    <row r="201" spans="1:9" ht="13.5" customHeight="1" x14ac:dyDescent="0.3">
      <c r="B201" s="245" t="s">
        <v>377</v>
      </c>
      <c r="C201" s="245" t="str">
        <f t="shared" ca="1" si="33"/>
        <v/>
      </c>
      <c r="D201" s="245" t="str">
        <f t="shared" ca="1" si="34"/>
        <v/>
      </c>
      <c r="E201" s="247"/>
      <c r="F201" s="246">
        <f t="shared" ca="1" si="35"/>
        <v>0</v>
      </c>
      <c r="G201" s="492" t="e">
        <f ca="1">INDIRECT("'"&amp;"1120 (3)"&amp;"'!D6")</f>
        <v>#REF!</v>
      </c>
      <c r="H201" s="492" t="e">
        <f ca="1">INDIRECT("'"&amp;"1120 (3)"&amp;"'!D8")</f>
        <v>#REF!</v>
      </c>
      <c r="I201" s="493" t="e">
        <f ca="1">INDIRECT("'"&amp;"1120 (3)"&amp;"'!N50")</f>
        <v>#REF!</v>
      </c>
    </row>
    <row r="202" spans="1:9" ht="13.5" customHeight="1" x14ac:dyDescent="0.3">
      <c r="B202" s="245" t="s">
        <v>378</v>
      </c>
      <c r="C202" s="245" t="str">
        <f t="shared" ca="1" si="33"/>
        <v/>
      </c>
      <c r="D202" s="245" t="str">
        <f t="shared" ca="1" si="34"/>
        <v/>
      </c>
      <c r="E202" s="247"/>
      <c r="F202" s="246">
        <f t="shared" ca="1" si="35"/>
        <v>0</v>
      </c>
      <c r="G202" s="492" t="e">
        <f ca="1">INDIRECT("'"&amp;"1120 (4)"&amp;"'!D6")</f>
        <v>#REF!</v>
      </c>
      <c r="H202" s="492" t="e">
        <f ca="1">INDIRECT("'"&amp;"1120 (4)"&amp;"'!D8")</f>
        <v>#REF!</v>
      </c>
      <c r="I202" s="493" t="e">
        <f ca="1">INDIRECT("'"&amp;"1120 (4)"&amp;"'!N50")</f>
        <v>#REF!</v>
      </c>
    </row>
    <row r="203" spans="1:9" ht="13.5" customHeight="1" x14ac:dyDescent="0.3">
      <c r="B203" s="245" t="s">
        <v>379</v>
      </c>
      <c r="C203" s="245" t="str">
        <f t="shared" ca="1" si="33"/>
        <v/>
      </c>
      <c r="D203" s="245" t="str">
        <f t="shared" ca="1" si="34"/>
        <v/>
      </c>
      <c r="E203" s="247"/>
      <c r="F203" s="246">
        <f t="shared" ca="1" si="35"/>
        <v>0</v>
      </c>
      <c r="G203" s="492" t="e">
        <f ca="1">INDIRECT("'"&amp;"1120 (5)"&amp;"'!D6")</f>
        <v>#REF!</v>
      </c>
      <c r="H203" s="492" t="e">
        <f ca="1">INDIRECT("'"&amp;"1120 (5)"&amp;"'!D8")</f>
        <v>#REF!</v>
      </c>
      <c r="I203" s="493" t="e">
        <f ca="1">INDIRECT("'"&amp;"1120 (5)"&amp;"'!N50")</f>
        <v>#REF!</v>
      </c>
    </row>
    <row r="204" spans="1:9" ht="13.5" customHeight="1" x14ac:dyDescent="0.3">
      <c r="B204" s="245" t="s">
        <v>380</v>
      </c>
      <c r="C204" s="245" t="str">
        <f t="shared" ca="1" si="33"/>
        <v/>
      </c>
      <c r="D204" s="245" t="str">
        <f t="shared" ca="1" si="34"/>
        <v/>
      </c>
      <c r="E204" s="247"/>
      <c r="F204" s="246">
        <f t="shared" ca="1" si="35"/>
        <v>0</v>
      </c>
      <c r="G204" s="492" t="e">
        <f ca="1">INDIRECT("'"&amp;"1120 (6)"&amp;"'!D6")</f>
        <v>#REF!</v>
      </c>
      <c r="H204" s="492" t="e">
        <f ca="1">INDIRECT("'"&amp;"1120 (6)"&amp;"'!D8")</f>
        <v>#REF!</v>
      </c>
      <c r="I204" s="493" t="e">
        <f ca="1">INDIRECT("'"&amp;"1120 (6)"&amp;"'!N50")</f>
        <v>#REF!</v>
      </c>
    </row>
    <row r="205" spans="1:9" ht="13.5" customHeight="1" x14ac:dyDescent="0.3">
      <c r="B205" s="245" t="s">
        <v>381</v>
      </c>
      <c r="C205" s="245" t="str">
        <f t="shared" ca="1" si="33"/>
        <v/>
      </c>
      <c r="D205" s="245" t="str">
        <f t="shared" ca="1" si="34"/>
        <v/>
      </c>
      <c r="E205" s="247"/>
      <c r="F205" s="246">
        <f t="shared" ca="1" si="35"/>
        <v>0</v>
      </c>
      <c r="G205" s="492" t="e">
        <f ca="1">INDIRECT("'"&amp;"1120 (7)"&amp;"'!D6")</f>
        <v>#REF!</v>
      </c>
      <c r="H205" s="492" t="e">
        <f ca="1">INDIRECT("'"&amp;"1120 (7)"&amp;"'!D8")</f>
        <v>#REF!</v>
      </c>
      <c r="I205" s="493" t="e">
        <f ca="1">INDIRECT("'"&amp;"1120 (7)"&amp;"'!N50")</f>
        <v>#REF!</v>
      </c>
    </row>
    <row r="206" spans="1:9" ht="13.5" customHeight="1" x14ac:dyDescent="0.3">
      <c r="B206" s="245" t="s">
        <v>382</v>
      </c>
      <c r="C206" s="245" t="str">
        <f t="shared" ca="1" si="33"/>
        <v/>
      </c>
      <c r="D206" s="245" t="str">
        <f t="shared" ca="1" si="34"/>
        <v/>
      </c>
      <c r="E206" s="247"/>
      <c r="F206" s="246">
        <f t="shared" ca="1" si="35"/>
        <v>0</v>
      </c>
      <c r="G206" s="492" t="e">
        <f ca="1">INDIRECT("'"&amp;"1120 (8)"&amp;"'!D6")</f>
        <v>#REF!</v>
      </c>
      <c r="H206" s="492" t="e">
        <f ca="1">INDIRECT("'"&amp;"1120 (8)"&amp;"'!D8")</f>
        <v>#REF!</v>
      </c>
      <c r="I206" s="493" t="e">
        <f ca="1">INDIRECT("'"&amp;"1120 (8)"&amp;"'!N50")</f>
        <v>#REF!</v>
      </c>
    </row>
    <row r="207" spans="1:9" ht="13.5" customHeight="1" x14ac:dyDescent="0.3">
      <c r="B207" s="225"/>
      <c r="C207" s="186"/>
      <c r="D207" s="186"/>
      <c r="E207" s="186"/>
      <c r="F207" s="234"/>
      <c r="G207" s="495"/>
      <c r="H207" s="495"/>
    </row>
    <row r="208" spans="1:9" ht="13.5" customHeight="1" x14ac:dyDescent="0.3">
      <c r="B208" s="225"/>
      <c r="C208" s="186"/>
      <c r="D208" s="186"/>
      <c r="E208" s="186"/>
      <c r="F208" s="234"/>
      <c r="G208" s="495"/>
      <c r="H208" s="495"/>
    </row>
    <row r="209" spans="1:10" ht="13.5" customHeight="1" x14ac:dyDescent="0.3">
      <c r="B209" s="225"/>
      <c r="C209" s="186"/>
      <c r="D209" s="186"/>
      <c r="E209" s="186"/>
      <c r="F209" s="234"/>
      <c r="G209" s="495"/>
      <c r="H209" s="495"/>
    </row>
    <row r="210" spans="1:10" ht="13.5" customHeight="1" x14ac:dyDescent="0.3">
      <c r="B210" s="913" t="s">
        <v>409</v>
      </c>
      <c r="C210" s="186"/>
      <c r="D210" s="186"/>
      <c r="E210" s="186"/>
      <c r="F210" s="234"/>
      <c r="G210" s="495"/>
      <c r="H210" s="495"/>
    </row>
    <row r="211" spans="1:10" ht="13.5" customHeight="1" x14ac:dyDescent="0.3">
      <c r="B211" s="541" t="s">
        <v>389</v>
      </c>
      <c r="C211" s="541" t="str">
        <f ca="1">IF(G211=0,"",G211)</f>
        <v/>
      </c>
      <c r="D211" s="541" t="str">
        <f ca="1">IF(H211=0,"",H211)</f>
        <v/>
      </c>
      <c r="E211" s="297"/>
      <c r="F211" s="296">
        <f ca="1">IFERROR(I211,0)</f>
        <v>0</v>
      </c>
      <c r="G211" s="492">
        <f ca="1">INDIRECT("'"&amp;"Sch F"&amp;"'!D6")</f>
        <v>0</v>
      </c>
      <c r="H211" s="492">
        <f ca="1">INDIRECT("'"&amp;"Sch F"&amp;"'!D8")</f>
        <v>0</v>
      </c>
      <c r="I211" s="493">
        <f ca="1">INDIRECT("'"&amp;"Sch F"&amp;"'!N31")</f>
        <v>0</v>
      </c>
    </row>
    <row r="212" spans="1:10" ht="13.5" customHeight="1" x14ac:dyDescent="0.3">
      <c r="B212" s="245" t="s">
        <v>390</v>
      </c>
      <c r="C212" s="245" t="str">
        <f ca="1">IFERROR(G212,"")</f>
        <v/>
      </c>
      <c r="D212" s="245" t="str">
        <f ca="1">IFERROR(H212,"")</f>
        <v/>
      </c>
      <c r="E212" s="247"/>
      <c r="F212" s="246">
        <f ca="1">IFERROR(I212,0)</f>
        <v>0</v>
      </c>
      <c r="G212" s="492" t="e">
        <f ca="1">INDIRECT("'"&amp;"Sch F (2)"&amp;"'!D6")</f>
        <v>#REF!</v>
      </c>
      <c r="H212" s="492" t="e">
        <f ca="1">INDIRECT("'"&amp;"Sch F (2)"&amp;"'!D8")</f>
        <v>#REF!</v>
      </c>
      <c r="I212" s="493" t="e">
        <f ca="1">INDIRECT("'"&amp;"Sch F (2)"&amp;"'!N31")</f>
        <v>#REF!</v>
      </c>
    </row>
    <row r="213" spans="1:10" ht="13.5" customHeight="1" x14ac:dyDescent="0.3">
      <c r="B213" s="225"/>
      <c r="C213" s="186"/>
      <c r="D213" s="186"/>
      <c r="E213" s="186"/>
      <c r="F213" s="234"/>
      <c r="G213" s="495"/>
      <c r="H213" s="495"/>
    </row>
    <row r="214" spans="1:10" ht="13.5" customHeight="1" x14ac:dyDescent="0.3">
      <c r="B214" s="225"/>
      <c r="C214" s="186"/>
      <c r="D214" s="186"/>
      <c r="E214" s="186"/>
      <c r="F214" s="234"/>
      <c r="G214" s="495"/>
      <c r="H214" s="495"/>
    </row>
    <row r="215" spans="1:10" ht="13.5" customHeight="1" x14ac:dyDescent="0.3">
      <c r="B215" s="225" t="s">
        <v>1306</v>
      </c>
      <c r="C215" s="1389" t="str">
        <f t="shared" ref="C215:C220" ca="1" si="36">IF(F215&lt;&gt;0,G215,"")</f>
        <v/>
      </c>
      <c r="D215" s="1390"/>
      <c r="E215" s="186"/>
      <c r="F215" s="249">
        <f ca="1">IFERROR(I215,F216)</f>
        <v>0</v>
      </c>
      <c r="G215" s="492">
        <f ca="1">INDIRECT("'"&amp;"Primary with Rent inc."&amp;"'!D7")</f>
        <v>0</v>
      </c>
      <c r="H215" s="495"/>
      <c r="I215" s="493">
        <f ca="1">INDIRECT("'"&amp;"Primary with Rent inc."&amp;"'!K44")</f>
        <v>0</v>
      </c>
    </row>
    <row r="216" spans="1:10" ht="13.5" customHeight="1" x14ac:dyDescent="0.3">
      <c r="B216" s="225" t="s">
        <v>1307</v>
      </c>
      <c r="C216" s="1386" t="str">
        <f t="shared" ca="1" si="36"/>
        <v/>
      </c>
      <c r="D216" s="1386"/>
      <c r="E216" s="186"/>
      <c r="F216" s="249">
        <f ca="1">IFERROR(I216,0)</f>
        <v>0</v>
      </c>
      <c r="G216" s="492" t="e">
        <f ca="1">INDIRECT("'"&amp;"Primary with Rent inc. (2)"&amp;"'!D7")</f>
        <v>#REF!</v>
      </c>
      <c r="H216" s="495"/>
      <c r="I216" s="493" t="e">
        <f ca="1">INDIRECT("'"&amp;"Primary with Rent inc. (2)"&amp;"'!K44")</f>
        <v>#REF!</v>
      </c>
    </row>
    <row r="217" spans="1:10" ht="13.5" customHeight="1" thickBot="1" x14ac:dyDescent="0.35">
      <c r="B217" s="225"/>
      <c r="C217" s="245"/>
      <c r="D217" s="245"/>
      <c r="E217" s="186"/>
      <c r="F217" s="250">
        <f ca="1">SUM(F215:F216)</f>
        <v>0</v>
      </c>
      <c r="G217" s="492"/>
      <c r="H217" s="495"/>
      <c r="I217" s="493"/>
    </row>
    <row r="218" spans="1:10" ht="13.5" customHeight="1" thickTop="1" x14ac:dyDescent="0.3">
      <c r="B218" s="225"/>
      <c r="C218" s="245"/>
      <c r="D218" s="245"/>
      <c r="E218" s="186"/>
      <c r="F218" s="249"/>
      <c r="G218" s="492"/>
      <c r="H218" s="495"/>
      <c r="I218" s="493"/>
    </row>
    <row r="219" spans="1:10" ht="13.5" customHeight="1" x14ac:dyDescent="0.3">
      <c r="A219" s="911" t="str">
        <f ca="1">IF(J219=0,"",J219)</f>
        <v/>
      </c>
      <c r="B219" s="918" t="s">
        <v>1304</v>
      </c>
      <c r="C219" s="1386" t="str">
        <f t="shared" ca="1" si="36"/>
        <v/>
      </c>
      <c r="D219" s="1386"/>
      <c r="E219" s="186"/>
      <c r="F219" s="249">
        <f ca="1">IFERROR(I219,0)</f>
        <v>0</v>
      </c>
      <c r="G219" s="492">
        <f ca="1">INDIRECT("'"&amp;"Primary with Rent inc."&amp;"'!D7")</f>
        <v>0</v>
      </c>
      <c r="H219" s="495"/>
      <c r="I219" s="493">
        <f ca="1">INDIRECT("'"&amp;"Primary with Rent inc."&amp;"'!L44")</f>
        <v>0</v>
      </c>
      <c r="J219" s="492" t="str">
        <f ca="1">INDIRECT("'"&amp;"Primary with Rent inc."&amp;"'!K78")</f>
        <v/>
      </c>
    </row>
    <row r="220" spans="1:10" ht="13.5" customHeight="1" x14ac:dyDescent="0.3">
      <c r="A220" s="911" t="str">
        <f ca="1">IFERROR(J220,"")</f>
        <v/>
      </c>
      <c r="B220" s="918" t="s">
        <v>1305</v>
      </c>
      <c r="C220" s="1386" t="str">
        <f t="shared" ca="1" si="36"/>
        <v/>
      </c>
      <c r="D220" s="1386"/>
      <c r="E220" s="186"/>
      <c r="F220" s="249">
        <f ca="1">IFERROR(I220,0)</f>
        <v>0</v>
      </c>
      <c r="G220" s="492" t="e">
        <f ca="1">INDIRECT("'"&amp;"Primary with Rent inc. (2)"&amp;"'!D7")</f>
        <v>#REF!</v>
      </c>
      <c r="H220" s="495"/>
      <c r="I220" s="493" t="e">
        <f ca="1">INDIRECT("'"&amp;"Primary with Rent inc. (2)"&amp;"'!L44")</f>
        <v>#REF!</v>
      </c>
      <c r="J220" s="492" t="e">
        <f ca="1">INDIRECT("'"&amp;"Primary with Rent inc. (2)"&amp;"'!K78")</f>
        <v>#REF!</v>
      </c>
    </row>
    <row r="221" spans="1:10" ht="13.5" customHeight="1" thickBot="1" x14ac:dyDescent="0.35">
      <c r="B221" s="225"/>
      <c r="C221" s="186"/>
      <c r="D221" s="186"/>
      <c r="E221" s="186"/>
      <c r="F221" s="250">
        <f ca="1">SUM(F219:F220)</f>
        <v>0</v>
      </c>
      <c r="G221" s="495"/>
      <c r="H221" s="495"/>
    </row>
    <row r="222" spans="1:10" ht="13.5" customHeight="1" thickTop="1" x14ac:dyDescent="0.3">
      <c r="B222" s="225"/>
      <c r="C222" s="186"/>
      <c r="D222" s="186"/>
      <c r="E222" s="186"/>
      <c r="F222" s="234"/>
      <c r="G222" s="495"/>
      <c r="H222" s="495"/>
    </row>
    <row r="223" spans="1:10" ht="13.5" customHeight="1" x14ac:dyDescent="0.3">
      <c r="A223" s="911" t="str">
        <f ca="1">IFERROR(J223,"")</f>
        <v/>
      </c>
      <c r="B223" s="918" t="s">
        <v>1222</v>
      </c>
      <c r="C223" s="1386"/>
      <c r="D223" s="1386"/>
      <c r="E223" s="186"/>
      <c r="F223" s="249"/>
      <c r="G223" s="492"/>
      <c r="H223" s="495"/>
      <c r="I223" s="493"/>
      <c r="J223" s="492" t="str">
        <f ca="1">INDIRECT("'"&amp;"Inv. Purchase or Refi"&amp;"'!O75")</f>
        <v/>
      </c>
    </row>
    <row r="224" spans="1:10" ht="13.5" customHeight="1" x14ac:dyDescent="0.3">
      <c r="B224" s="225"/>
      <c r="C224" s="186"/>
      <c r="D224" s="186"/>
      <c r="E224" s="186"/>
      <c r="F224" s="234"/>
      <c r="G224" s="495"/>
      <c r="H224" s="495"/>
    </row>
    <row r="225" spans="1:10" ht="13.5" customHeight="1" x14ac:dyDescent="0.3">
      <c r="B225" s="225"/>
      <c r="C225" s="186"/>
      <c r="D225" s="186"/>
      <c r="E225" s="186"/>
      <c r="F225" s="234"/>
      <c r="G225" s="495"/>
      <c r="H225" s="495"/>
    </row>
    <row r="226" spans="1:10" ht="13.5" customHeight="1" x14ac:dyDescent="0.3">
      <c r="C226" s="186"/>
      <c r="D226" s="186"/>
      <c r="E226" s="186"/>
      <c r="F226" s="234"/>
      <c r="G226" s="495"/>
      <c r="H226" s="495"/>
    </row>
    <row r="227" spans="1:10" ht="13.5" customHeight="1" x14ac:dyDescent="0.3">
      <c r="A227" s="911" t="str">
        <f t="shared" ref="A227" si="37">IFERROR(J227,"")</f>
        <v/>
      </c>
      <c r="B227" s="918" t="s">
        <v>1298</v>
      </c>
      <c r="C227" s="186"/>
      <c r="D227" s="186"/>
      <c r="E227" s="186"/>
      <c r="F227" s="234"/>
      <c r="G227" s="495"/>
      <c r="H227" s="495"/>
      <c r="J227" t="str">
        <f>'30% of Income Calc.'!K54</f>
        <v/>
      </c>
    </row>
    <row r="228" spans="1:10" ht="13.5" customHeight="1" x14ac:dyDescent="0.3">
      <c r="B228" s="225"/>
      <c r="C228" s="186"/>
      <c r="D228" s="186"/>
      <c r="E228" s="186"/>
      <c r="F228" s="234"/>
      <c r="G228" s="495"/>
      <c r="H228" s="495"/>
    </row>
    <row r="229" spans="1:10" ht="13.5" customHeight="1" x14ac:dyDescent="0.3">
      <c r="A229" s="909">
        <f ca="1">COUNTIF(A5:A227,"E")</f>
        <v>0</v>
      </c>
      <c r="B229" s="225"/>
      <c r="C229" s="186"/>
      <c r="D229" s="186"/>
      <c r="E229" s="186"/>
      <c r="F229" s="234"/>
      <c r="G229" s="495"/>
      <c r="H229" s="495"/>
    </row>
    <row r="230" spans="1:10" ht="13.5" customHeight="1" x14ac:dyDescent="0.3">
      <c r="B230" s="225"/>
      <c r="C230" s="186"/>
      <c r="D230" s="186"/>
      <c r="E230" s="186"/>
      <c r="F230" s="234"/>
      <c r="G230" s="495"/>
      <c r="H230" s="495"/>
    </row>
    <row r="231" spans="1:10" ht="13.5" customHeight="1" x14ac:dyDescent="0.3">
      <c r="B231" s="225"/>
      <c r="C231" s="186"/>
      <c r="D231" s="186"/>
      <c r="E231" s="186"/>
      <c r="F231" s="234"/>
      <c r="G231" s="495"/>
      <c r="H231" s="495"/>
    </row>
    <row r="232" spans="1:10" ht="13.5" customHeight="1" x14ac:dyDescent="0.3">
      <c r="B232" s="225"/>
      <c r="C232" s="186"/>
      <c r="D232" s="186"/>
      <c r="E232" s="186"/>
      <c r="F232" s="234"/>
      <c r="G232" s="495"/>
      <c r="H232" s="495"/>
    </row>
    <row r="233" spans="1:10" ht="13.5" customHeight="1" x14ac:dyDescent="0.3">
      <c r="B233" s="225"/>
      <c r="C233" s="186"/>
      <c r="D233" s="186"/>
      <c r="E233" s="186"/>
      <c r="F233" s="234"/>
      <c r="G233" s="495"/>
      <c r="H233" s="495"/>
    </row>
    <row r="234" spans="1:10" ht="13.5" customHeight="1" x14ac:dyDescent="0.3">
      <c r="B234" s="225"/>
      <c r="C234" s="186"/>
      <c r="D234" s="186"/>
      <c r="E234" s="186"/>
      <c r="F234" s="234"/>
      <c r="G234" s="495"/>
      <c r="H234" s="495"/>
    </row>
    <row r="235" spans="1:10" ht="13.5" customHeight="1" x14ac:dyDescent="0.3">
      <c r="B235" s="225"/>
      <c r="C235" s="186"/>
      <c r="D235" s="186"/>
      <c r="E235" s="186"/>
      <c r="F235" s="234"/>
      <c r="G235" s="495"/>
      <c r="H235" s="495"/>
    </row>
    <row r="236" spans="1:10" ht="13.5" customHeight="1" x14ac:dyDescent="0.3">
      <c r="B236" s="225"/>
      <c r="C236" s="186"/>
      <c r="D236" s="186"/>
      <c r="E236" s="186"/>
      <c r="F236" s="234"/>
      <c r="G236" s="495"/>
      <c r="H236" s="495"/>
    </row>
    <row r="237" spans="1:10" ht="13.5" customHeight="1" x14ac:dyDescent="0.3">
      <c r="B237" s="225"/>
      <c r="C237" s="186"/>
      <c r="D237" s="186"/>
      <c r="E237" s="186"/>
      <c r="F237" s="234"/>
      <c r="G237" s="495"/>
      <c r="H237" s="495"/>
    </row>
    <row r="238" spans="1:10" ht="13.5" customHeight="1" x14ac:dyDescent="0.3">
      <c r="B238" s="225"/>
      <c r="C238" s="186"/>
      <c r="D238" s="186"/>
      <c r="E238" s="186"/>
      <c r="F238" s="234"/>
      <c r="G238" s="495"/>
      <c r="H238" s="495"/>
    </row>
    <row r="239" spans="1:10" ht="13.5" customHeight="1" x14ac:dyDescent="0.3">
      <c r="B239" s="225"/>
      <c r="C239" s="186"/>
      <c r="D239" s="186"/>
      <c r="E239" s="186"/>
      <c r="F239" s="234"/>
      <c r="G239" s="495"/>
      <c r="H239" s="495"/>
    </row>
    <row r="240" spans="1:10" ht="13.5" customHeight="1" x14ac:dyDescent="0.3">
      <c r="B240" s="225"/>
      <c r="C240" s="186"/>
      <c r="D240" s="186"/>
      <c r="E240" s="186"/>
      <c r="F240" s="234"/>
      <c r="G240" s="495"/>
      <c r="H240" s="495"/>
    </row>
    <row r="241" spans="2:9" ht="13.5" customHeight="1" x14ac:dyDescent="0.3">
      <c r="B241" s="225"/>
      <c r="C241" s="186"/>
      <c r="D241" s="186"/>
      <c r="E241" s="186"/>
      <c r="F241" s="234"/>
      <c r="G241" s="495"/>
      <c r="H241" s="495"/>
    </row>
    <row r="242" spans="2:9" ht="13.5" customHeight="1" x14ac:dyDescent="0.3">
      <c r="B242" s="225"/>
      <c r="C242" s="186"/>
      <c r="D242" s="186"/>
      <c r="E242" s="186"/>
      <c r="F242" s="234"/>
      <c r="G242" s="495"/>
      <c r="H242" s="495"/>
    </row>
    <row r="243" spans="2:9" ht="13.5" customHeight="1" x14ac:dyDescent="0.3">
      <c r="B243" s="225"/>
      <c r="C243" s="186"/>
      <c r="D243" s="186"/>
      <c r="E243" s="186"/>
      <c r="F243" s="234"/>
      <c r="G243" s="495"/>
      <c r="H243" s="495"/>
    </row>
    <row r="244" spans="2:9" ht="13.5" customHeight="1" x14ac:dyDescent="0.3">
      <c r="B244" s="225"/>
      <c r="C244" s="186"/>
      <c r="D244" s="186"/>
      <c r="E244" s="186"/>
      <c r="F244" s="234"/>
      <c r="G244" s="495"/>
      <c r="H244" s="495"/>
    </row>
    <row r="245" spans="2:9" ht="13.5" customHeight="1" x14ac:dyDescent="0.3">
      <c r="B245" s="225"/>
      <c r="C245" s="186"/>
      <c r="D245" s="186"/>
      <c r="E245" s="186"/>
      <c r="F245" s="234"/>
      <c r="G245" s="495"/>
      <c r="H245" s="495"/>
    </row>
    <row r="246" spans="2:9" ht="13.5" customHeight="1" x14ac:dyDescent="0.3">
      <c r="B246" s="225"/>
      <c r="C246" s="186"/>
      <c r="D246" s="186"/>
      <c r="E246" s="186"/>
      <c r="F246" s="234"/>
      <c r="G246" s="495"/>
      <c r="H246" s="495"/>
    </row>
    <row r="247" spans="2:9" ht="13.5" customHeight="1" x14ac:dyDescent="0.3">
      <c r="B247" s="225"/>
      <c r="C247" s="186"/>
      <c r="D247" s="186"/>
      <c r="E247" s="186"/>
      <c r="F247" s="234"/>
      <c r="G247" s="495"/>
      <c r="H247" s="495"/>
    </row>
    <row r="248" spans="2:9" ht="13.5" customHeight="1" x14ac:dyDescent="0.3">
      <c r="B248" s="225"/>
      <c r="C248" s="186"/>
      <c r="D248" s="186"/>
      <c r="E248" s="186"/>
      <c r="F248" s="234"/>
      <c r="G248" s="495"/>
      <c r="H248" s="495"/>
    </row>
    <row r="249" spans="2:9" ht="13.5" customHeight="1" x14ac:dyDescent="0.3">
      <c r="B249" s="225"/>
      <c r="C249" s="186"/>
      <c r="D249" s="186"/>
      <c r="E249" s="186"/>
      <c r="F249" s="234"/>
      <c r="G249" s="495"/>
      <c r="H249" s="495"/>
    </row>
    <row r="250" spans="2:9" ht="35.4" customHeight="1" x14ac:dyDescent="0.3">
      <c r="B250" s="225"/>
      <c r="C250" s="186"/>
      <c r="D250" s="186"/>
      <c r="E250" s="186"/>
      <c r="F250" s="234"/>
      <c r="G250" s="495"/>
      <c r="H250" s="495"/>
    </row>
    <row r="251" spans="2:9" ht="13.5" customHeight="1" x14ac:dyDescent="0.3">
      <c r="B251" s="225"/>
      <c r="C251" s="186"/>
      <c r="D251" s="186"/>
      <c r="E251" s="186"/>
      <c r="F251" s="234"/>
      <c r="G251" s="495"/>
      <c r="H251" s="495"/>
    </row>
    <row r="252" spans="2:9" ht="13.5" customHeight="1" x14ac:dyDescent="0.3">
      <c r="B252" s="225"/>
      <c r="C252" s="186"/>
      <c r="D252" s="186"/>
      <c r="E252" s="186"/>
      <c r="F252" s="234"/>
      <c r="G252" s="495"/>
      <c r="H252" s="495"/>
    </row>
    <row r="253" spans="2:9" ht="13.5" customHeight="1" x14ac:dyDescent="0.3">
      <c r="B253" s="225"/>
      <c r="C253" s="186"/>
      <c r="D253" s="186"/>
      <c r="E253" s="186"/>
      <c r="F253" s="234"/>
      <c r="G253" s="495"/>
      <c r="H253" s="495"/>
    </row>
    <row r="254" spans="2:9" ht="13.5" customHeight="1" x14ac:dyDescent="0.3">
      <c r="B254" s="225"/>
      <c r="C254" s="186"/>
      <c r="D254" s="186"/>
      <c r="E254" s="186"/>
      <c r="F254" s="234"/>
      <c r="G254" s="495"/>
      <c r="H254" s="495"/>
    </row>
    <row r="255" spans="2:9" ht="13.5" customHeight="1" x14ac:dyDescent="0.3">
      <c r="B255" s="225"/>
      <c r="C255" s="186"/>
      <c r="D255" s="186"/>
      <c r="E255" s="186"/>
      <c r="F255"/>
      <c r="G255"/>
      <c r="H255"/>
      <c r="I255"/>
    </row>
    <row r="256" spans="2:9" ht="13.5" customHeight="1" x14ac:dyDescent="0.3">
      <c r="B256" s="225"/>
      <c r="C256" s="186"/>
      <c r="D256" s="186"/>
      <c r="E256" s="186"/>
      <c r="F256" s="234"/>
      <c r="G256" s="495"/>
      <c r="H256" s="495"/>
    </row>
    <row r="257" spans="2:8" ht="13.5" customHeight="1" x14ac:dyDescent="0.3">
      <c r="B257" s="225"/>
      <c r="C257" s="186"/>
      <c r="D257" s="186"/>
      <c r="E257" s="186"/>
      <c r="F257" s="234"/>
      <c r="G257" s="495"/>
      <c r="H257" s="495"/>
    </row>
    <row r="258" spans="2:8" ht="13.5" customHeight="1" x14ac:dyDescent="0.3">
      <c r="B258" s="225"/>
      <c r="C258" s="186"/>
      <c r="D258" s="186"/>
      <c r="E258" s="186"/>
      <c r="F258" s="234"/>
      <c r="G258" s="495"/>
      <c r="H258" s="495"/>
    </row>
    <row r="259" spans="2:8" ht="13.5" customHeight="1" x14ac:dyDescent="0.3">
      <c r="B259" s="225"/>
      <c r="C259" s="186"/>
      <c r="D259" s="186"/>
      <c r="E259" s="186"/>
      <c r="F259" s="234"/>
      <c r="G259" s="495"/>
      <c r="H259" s="495"/>
    </row>
    <row r="260" spans="2:8" ht="13.5" customHeight="1" x14ac:dyDescent="0.3">
      <c r="B260" s="225"/>
      <c r="C260" s="186"/>
      <c r="D260" s="186"/>
      <c r="E260" s="186"/>
      <c r="F260" s="234"/>
      <c r="G260" s="495"/>
      <c r="H260" s="495"/>
    </row>
    <row r="261" spans="2:8" ht="13.5" customHeight="1" x14ac:dyDescent="0.3">
      <c r="B261" s="225"/>
      <c r="C261" s="186"/>
      <c r="D261" s="186"/>
      <c r="E261" s="186"/>
      <c r="F261" s="234"/>
      <c r="G261" s="495"/>
      <c r="H261" s="495"/>
    </row>
    <row r="262" spans="2:8" ht="13.5" customHeight="1" x14ac:dyDescent="0.3">
      <c r="B262" s="225"/>
      <c r="C262" s="186"/>
      <c r="D262" s="186"/>
      <c r="E262" s="186"/>
      <c r="F262" s="234"/>
      <c r="G262" s="495"/>
      <c r="H262" s="495"/>
    </row>
    <row r="263" spans="2:8" ht="13.5" customHeight="1" x14ac:dyDescent="0.3">
      <c r="B263" s="225"/>
      <c r="C263" s="186"/>
      <c r="D263" s="186"/>
      <c r="E263" s="186"/>
      <c r="F263" s="234"/>
      <c r="G263" s="495"/>
      <c r="H263" s="495"/>
    </row>
    <row r="264" spans="2:8" ht="13.5" customHeight="1" x14ac:dyDescent="0.3">
      <c r="B264" s="225"/>
      <c r="C264" s="186"/>
      <c r="D264" s="186"/>
      <c r="E264" s="186"/>
      <c r="F264" s="234"/>
      <c r="G264" s="495"/>
      <c r="H264" s="495"/>
    </row>
    <row r="265" spans="2:8" ht="13.5" customHeight="1" x14ac:dyDescent="0.3">
      <c r="B265" s="225"/>
      <c r="C265" s="186"/>
      <c r="D265" s="186"/>
      <c r="E265" s="186"/>
      <c r="F265" s="234"/>
      <c r="G265" s="495"/>
      <c r="H265" s="495"/>
    </row>
    <row r="266" spans="2:8" ht="13.5" customHeight="1" x14ac:dyDescent="0.3">
      <c r="B266" s="225"/>
      <c r="C266" s="186"/>
      <c r="D266" s="186"/>
      <c r="E266" s="186"/>
      <c r="F266" s="234"/>
      <c r="G266" s="495"/>
      <c r="H266" s="495"/>
    </row>
    <row r="267" spans="2:8" ht="13.5" customHeight="1" x14ac:dyDescent="0.3">
      <c r="B267" s="225"/>
      <c r="C267" s="186"/>
      <c r="D267" s="186"/>
      <c r="E267" s="186"/>
      <c r="F267" s="234"/>
      <c r="G267" s="495"/>
      <c r="H267" s="495"/>
    </row>
    <row r="268" spans="2:8" ht="13.5" customHeight="1" x14ac:dyDescent="0.3">
      <c r="B268" s="225"/>
      <c r="C268" s="186"/>
      <c r="D268" s="186"/>
      <c r="E268" s="186"/>
      <c r="F268" s="234"/>
      <c r="G268" s="495"/>
      <c r="H268" s="495"/>
    </row>
    <row r="269" spans="2:8" ht="13.5" customHeight="1" x14ac:dyDescent="0.3">
      <c r="B269" s="225"/>
      <c r="C269" s="186"/>
      <c r="D269" s="186"/>
      <c r="E269" s="186"/>
      <c r="F269" s="234"/>
      <c r="G269" s="495"/>
      <c r="H269" s="495"/>
    </row>
    <row r="270" spans="2:8" ht="13.5" customHeight="1" x14ac:dyDescent="0.3">
      <c r="B270" s="225"/>
      <c r="C270" s="186"/>
      <c r="D270" s="186"/>
      <c r="E270" s="186"/>
      <c r="F270" s="234"/>
      <c r="G270" s="495"/>
      <c r="H270" s="495"/>
    </row>
    <row r="271" spans="2:8" ht="13.5" customHeight="1" x14ac:dyDescent="0.3">
      <c r="B271" s="225"/>
      <c r="C271" s="186"/>
      <c r="D271" s="186"/>
      <c r="E271" s="186"/>
      <c r="F271" s="234"/>
      <c r="G271" s="495"/>
      <c r="H271" s="495"/>
    </row>
    <row r="272" spans="2:8" ht="13.5" customHeight="1" x14ac:dyDescent="0.3">
      <c r="B272" s="225"/>
      <c r="C272" s="186"/>
      <c r="D272" s="186"/>
      <c r="E272" s="186"/>
      <c r="F272" s="234"/>
      <c r="G272" s="495"/>
      <c r="H272" s="495"/>
    </row>
    <row r="273" spans="2:9" ht="13.5" customHeight="1" x14ac:dyDescent="0.3">
      <c r="B273" s="225"/>
      <c r="C273" s="186"/>
      <c r="D273" s="186"/>
      <c r="E273" s="186"/>
      <c r="F273" s="234"/>
      <c r="G273" s="495"/>
      <c r="H273" s="495"/>
    </row>
    <row r="274" spans="2:9" ht="13.5" customHeight="1" x14ac:dyDescent="0.3">
      <c r="B274" s="225"/>
      <c r="C274" s="186"/>
      <c r="D274" s="186"/>
      <c r="E274" s="186"/>
      <c r="F274" s="234"/>
      <c r="G274" s="495"/>
      <c r="H274" s="495"/>
    </row>
    <row r="275" spans="2:9" ht="13.5" customHeight="1" x14ac:dyDescent="0.3">
      <c r="B275" s="225"/>
      <c r="C275" s="186"/>
      <c r="D275" s="186"/>
      <c r="E275" s="186"/>
      <c r="F275" s="234"/>
      <c r="G275" s="495"/>
      <c r="H275" s="495"/>
    </row>
    <row r="276" spans="2:9" ht="13.5" customHeight="1" x14ac:dyDescent="0.3">
      <c r="B276" s="225"/>
      <c r="C276" s="186"/>
      <c r="D276" s="186"/>
      <c r="E276" s="186"/>
      <c r="F276" s="234"/>
      <c r="G276" s="495"/>
      <c r="H276" s="495"/>
    </row>
    <row r="277" spans="2:9" ht="13.5" customHeight="1" x14ac:dyDescent="0.3">
      <c r="B277" s="225"/>
      <c r="C277" s="186"/>
      <c r="D277" s="186"/>
      <c r="E277" s="186"/>
      <c r="F277" s="234"/>
      <c r="G277" s="495"/>
      <c r="H277" s="495"/>
    </row>
    <row r="278" spans="2:9" ht="13.5" customHeight="1" x14ac:dyDescent="0.3">
      <c r="B278" s="225"/>
      <c r="C278" s="186"/>
      <c r="D278" s="186"/>
      <c r="E278" s="186"/>
      <c r="F278" s="852"/>
      <c r="G278" s="234"/>
      <c r="H278" s="234"/>
      <c r="I278" s="234"/>
    </row>
    <row r="279" spans="2:9" ht="13.5" customHeight="1" x14ac:dyDescent="0.3">
      <c r="B279" s="225"/>
      <c r="C279" s="186"/>
      <c r="D279" s="186"/>
      <c r="E279" s="186"/>
      <c r="F279" s="234"/>
      <c r="G279" s="495"/>
      <c r="H279" s="495"/>
    </row>
    <row r="280" spans="2:9" ht="13.5" customHeight="1" x14ac:dyDescent="0.3">
      <c r="B280" s="225"/>
      <c r="C280" s="186"/>
      <c r="D280" s="186"/>
      <c r="E280" s="186"/>
      <c r="F280" s="234"/>
      <c r="G280" s="495"/>
      <c r="H280" s="495"/>
    </row>
    <row r="281" spans="2:9" ht="13.5" customHeight="1" x14ac:dyDescent="0.3">
      <c r="B281" s="225"/>
      <c r="C281" s="186"/>
      <c r="D281" s="186"/>
      <c r="E281" s="186"/>
      <c r="F281" s="234"/>
      <c r="G281" s="495"/>
      <c r="H281" s="495"/>
    </row>
    <row r="282" spans="2:9" ht="13.5" customHeight="1" x14ac:dyDescent="0.3">
      <c r="B282" s="225"/>
      <c r="C282" s="186"/>
      <c r="D282" s="186"/>
      <c r="E282" s="186"/>
      <c r="F282" s="234"/>
      <c r="G282" s="495"/>
      <c r="H282" s="495"/>
    </row>
    <row r="283" spans="2:9" ht="13.5" customHeight="1" x14ac:dyDescent="0.3">
      <c r="B283" s="225"/>
      <c r="C283" s="186"/>
      <c r="D283" s="186"/>
      <c r="E283" s="186"/>
      <c r="F283" s="234"/>
      <c r="G283" s="495"/>
      <c r="H283" s="495"/>
    </row>
    <row r="284" spans="2:9" ht="13.5" customHeight="1" x14ac:dyDescent="0.3">
      <c r="B284" s="225"/>
      <c r="C284" s="186"/>
      <c r="D284" s="186"/>
      <c r="E284" s="186"/>
      <c r="F284" s="234"/>
      <c r="G284" s="495"/>
      <c r="H284" s="495"/>
    </row>
    <row r="285" spans="2:9" ht="13.5" customHeight="1" x14ac:dyDescent="0.3">
      <c r="B285" s="225"/>
      <c r="C285" s="186"/>
      <c r="D285" s="186"/>
      <c r="E285" s="186"/>
      <c r="F285" s="234"/>
      <c r="G285" s="495"/>
      <c r="H285" s="495"/>
    </row>
    <row r="286" spans="2:9" ht="13.5" customHeight="1" x14ac:dyDescent="0.3">
      <c r="B286" s="225"/>
      <c r="C286" s="186"/>
      <c r="D286" s="186"/>
      <c r="E286" s="186"/>
      <c r="F286" s="234"/>
      <c r="G286" s="495"/>
      <c r="H286" s="495"/>
    </row>
    <row r="287" spans="2:9" ht="13.5" customHeight="1" x14ac:dyDescent="0.3">
      <c r="B287" s="225"/>
      <c r="C287" s="186"/>
      <c r="D287" s="186"/>
      <c r="E287" s="186"/>
      <c r="F287" s="234"/>
      <c r="G287" s="495"/>
      <c r="H287" s="495"/>
    </row>
    <row r="288" spans="2:9" ht="13.5" customHeight="1" x14ac:dyDescent="0.3">
      <c r="B288" s="225"/>
      <c r="C288" s="186"/>
      <c r="D288" s="186"/>
      <c r="E288" s="186"/>
      <c r="F288" s="234"/>
      <c r="G288" s="495"/>
      <c r="H288" s="495"/>
    </row>
    <row r="289" spans="2:8" ht="13.5" customHeight="1" x14ac:dyDescent="0.3">
      <c r="B289" s="225"/>
      <c r="C289" s="186"/>
      <c r="D289" s="186"/>
      <c r="E289" s="186"/>
      <c r="F289" s="234"/>
      <c r="G289" s="495"/>
      <c r="H289" s="495"/>
    </row>
    <row r="290" spans="2:8" ht="13.5" customHeight="1" x14ac:dyDescent="0.3">
      <c r="B290" s="225"/>
      <c r="C290" s="186"/>
      <c r="D290" s="186"/>
      <c r="E290" s="186"/>
      <c r="F290" s="234"/>
      <c r="G290" s="495"/>
      <c r="H290" s="495"/>
    </row>
    <row r="291" spans="2:8" ht="13.5" customHeight="1" x14ac:dyDescent="0.3">
      <c r="B291" s="225"/>
      <c r="C291" s="186"/>
      <c r="D291" s="186"/>
      <c r="E291" s="186"/>
      <c r="F291" s="234"/>
      <c r="G291" s="495"/>
      <c r="H291" s="495"/>
    </row>
    <row r="292" spans="2:8" ht="13.5" customHeight="1" x14ac:dyDescent="0.3">
      <c r="B292" s="225"/>
      <c r="C292" s="186"/>
      <c r="D292" s="186"/>
      <c r="E292" s="186"/>
      <c r="F292" s="234"/>
      <c r="G292" s="495"/>
      <c r="H292" s="495"/>
    </row>
    <row r="293" spans="2:8" ht="13.5" customHeight="1" x14ac:dyDescent="0.3">
      <c r="B293" s="225"/>
      <c r="C293" s="186"/>
      <c r="D293" s="186"/>
      <c r="E293" s="186"/>
      <c r="F293" s="234"/>
      <c r="G293" s="495"/>
      <c r="H293" s="495"/>
    </row>
    <row r="294" spans="2:8" ht="13.5" customHeight="1" x14ac:dyDescent="0.3">
      <c r="B294" s="225"/>
      <c r="C294" s="186"/>
      <c r="D294" s="186"/>
      <c r="E294" s="186"/>
      <c r="F294" s="234"/>
      <c r="G294" s="495"/>
      <c r="H294" s="495"/>
    </row>
    <row r="295" spans="2:8" ht="13.5" customHeight="1" x14ac:dyDescent="0.3">
      <c r="B295" s="225"/>
      <c r="C295" s="186"/>
      <c r="D295" s="186"/>
      <c r="E295" s="186"/>
      <c r="F295" s="234"/>
      <c r="G295" s="495"/>
      <c r="H295" s="495"/>
    </row>
    <row r="296" spans="2:8" ht="13.5" customHeight="1" x14ac:dyDescent="0.3">
      <c r="B296" s="225"/>
      <c r="C296" s="186"/>
      <c r="D296" s="186"/>
      <c r="E296" s="186"/>
      <c r="F296" s="234"/>
      <c r="G296" s="495"/>
      <c r="H296" s="495"/>
    </row>
    <row r="297" spans="2:8" ht="13.5" customHeight="1" x14ac:dyDescent="0.3">
      <c r="B297" s="225"/>
      <c r="C297" s="186"/>
      <c r="D297" s="186"/>
      <c r="E297" s="186"/>
      <c r="F297" s="234"/>
      <c r="G297" s="495"/>
      <c r="H297" s="495"/>
    </row>
    <row r="298" spans="2:8" ht="13.5" customHeight="1" x14ac:dyDescent="0.3">
      <c r="B298" s="225"/>
      <c r="C298" s="186"/>
      <c r="D298" s="186"/>
      <c r="E298" s="186"/>
      <c r="F298" s="234"/>
      <c r="G298" s="495"/>
      <c r="H298" s="495"/>
    </row>
    <row r="299" spans="2:8" ht="13.5" customHeight="1" x14ac:dyDescent="0.3">
      <c r="B299" s="225"/>
      <c r="C299" s="186"/>
      <c r="D299" s="186"/>
      <c r="E299" s="186"/>
      <c r="F299" s="234"/>
      <c r="G299" s="495"/>
      <c r="H299" s="495"/>
    </row>
    <row r="300" spans="2:8" ht="13.5" customHeight="1" x14ac:dyDescent="0.3">
      <c r="B300" s="225"/>
      <c r="C300" s="186"/>
      <c r="D300" s="186"/>
      <c r="E300" s="186"/>
      <c r="F300" s="234"/>
      <c r="G300" s="495"/>
      <c r="H300" s="495"/>
    </row>
    <row r="301" spans="2:8" ht="13.5" customHeight="1" x14ac:dyDescent="0.3">
      <c r="B301" s="225"/>
      <c r="C301" s="186"/>
      <c r="D301" s="186"/>
      <c r="E301" s="186"/>
      <c r="F301" s="234"/>
      <c r="G301" s="495"/>
      <c r="H301" s="495"/>
    </row>
    <row r="302" spans="2:8" ht="13.5" customHeight="1" x14ac:dyDescent="0.3">
      <c r="B302" s="225"/>
      <c r="C302" s="186"/>
      <c r="D302" s="186"/>
      <c r="E302" s="186"/>
      <c r="F302" s="234"/>
      <c r="G302" s="495"/>
      <c r="H302" s="495"/>
    </row>
    <row r="303" spans="2:8" ht="13.5" customHeight="1" x14ac:dyDescent="0.3">
      <c r="B303" s="225"/>
      <c r="C303" s="186"/>
      <c r="D303" s="186"/>
      <c r="E303" s="186"/>
      <c r="F303" s="234"/>
      <c r="G303" s="495"/>
      <c r="H303" s="495"/>
    </row>
    <row r="304" spans="2:8" ht="13.5" customHeight="1" x14ac:dyDescent="0.3">
      <c r="B304" s="225"/>
      <c r="C304" s="186"/>
      <c r="D304" s="186"/>
      <c r="E304" s="186"/>
      <c r="F304" s="234"/>
      <c r="G304" s="495"/>
      <c r="H304" s="495"/>
    </row>
    <row r="305" spans="2:8" ht="13.5" customHeight="1" x14ac:dyDescent="0.3">
      <c r="B305" s="225"/>
      <c r="C305" s="186"/>
      <c r="D305" s="186"/>
      <c r="E305" s="186"/>
      <c r="F305" s="234"/>
      <c r="G305" s="495"/>
      <c r="H305" s="495"/>
    </row>
    <row r="306" spans="2:8" ht="13.5" customHeight="1" x14ac:dyDescent="0.3">
      <c r="B306" s="225"/>
      <c r="C306" s="186"/>
      <c r="D306" s="186"/>
      <c r="E306" s="186"/>
      <c r="F306" s="234"/>
      <c r="G306" s="495"/>
      <c r="H306" s="495"/>
    </row>
    <row r="307" spans="2:8" ht="13.5" customHeight="1" x14ac:dyDescent="0.3">
      <c r="B307" s="225"/>
      <c r="C307" s="186"/>
      <c r="D307" s="186"/>
      <c r="E307" s="186"/>
      <c r="F307" s="234"/>
      <c r="G307" s="495"/>
      <c r="H307" s="495"/>
    </row>
    <row r="308" spans="2:8" ht="13.5" customHeight="1" x14ac:dyDescent="0.3">
      <c r="B308" s="225"/>
      <c r="C308" s="186"/>
      <c r="D308" s="186"/>
      <c r="E308" s="186"/>
      <c r="F308" s="234"/>
      <c r="G308" s="495"/>
      <c r="H308" s="495"/>
    </row>
    <row r="309" spans="2:8" ht="13.5" customHeight="1" x14ac:dyDescent="0.3">
      <c r="B309" s="225"/>
      <c r="C309" s="186"/>
      <c r="D309" s="186"/>
      <c r="E309" s="186"/>
      <c r="F309" s="234"/>
      <c r="G309" s="495"/>
      <c r="H309" s="495"/>
    </row>
    <row r="310" spans="2:8" ht="13.5" customHeight="1" x14ac:dyDescent="0.3">
      <c r="B310" s="225"/>
      <c r="C310" s="186"/>
      <c r="D310" s="186"/>
      <c r="E310" s="186"/>
      <c r="F310" s="234"/>
      <c r="G310" s="495"/>
      <c r="H310" s="495"/>
    </row>
    <row r="311" spans="2:8" ht="13.5" customHeight="1" x14ac:dyDescent="0.3">
      <c r="B311" s="225"/>
      <c r="C311" s="186"/>
      <c r="D311" s="186"/>
      <c r="E311" s="186"/>
      <c r="F311" s="234"/>
      <c r="G311" s="495"/>
      <c r="H311" s="495"/>
    </row>
    <row r="312" spans="2:8" ht="13.5" customHeight="1" x14ac:dyDescent="0.3">
      <c r="B312" s="225"/>
      <c r="C312" s="186"/>
      <c r="D312" s="186"/>
      <c r="E312" s="186"/>
      <c r="F312" s="234"/>
      <c r="G312" s="495"/>
      <c r="H312" s="495"/>
    </row>
    <row r="313" spans="2:8" ht="13.5" customHeight="1" x14ac:dyDescent="0.3">
      <c r="B313" s="225"/>
      <c r="C313" s="186"/>
      <c r="D313" s="186"/>
      <c r="E313" s="186"/>
      <c r="F313" s="234"/>
      <c r="G313" s="495"/>
      <c r="H313" s="495"/>
    </row>
    <row r="314" spans="2:8" ht="13.5" customHeight="1" x14ac:dyDescent="0.3">
      <c r="B314" s="225"/>
      <c r="C314" s="186"/>
      <c r="D314" s="186"/>
      <c r="E314" s="186"/>
      <c r="F314" s="234"/>
      <c r="G314" s="495"/>
      <c r="H314" s="495"/>
    </row>
    <row r="315" spans="2:8" ht="13.5" customHeight="1" x14ac:dyDescent="0.3">
      <c r="B315" s="225"/>
      <c r="C315" s="186"/>
      <c r="D315" s="186"/>
      <c r="E315" s="186"/>
      <c r="F315" s="234"/>
      <c r="G315" s="495"/>
      <c r="H315" s="495"/>
    </row>
    <row r="316" spans="2:8" ht="13.5" customHeight="1" x14ac:dyDescent="0.3">
      <c r="B316" s="225"/>
      <c r="C316" s="186"/>
      <c r="D316" s="186"/>
      <c r="E316" s="186"/>
      <c r="F316" s="234"/>
      <c r="G316" s="495"/>
      <c r="H316" s="495"/>
    </row>
    <row r="317" spans="2:8" ht="13.5" customHeight="1" x14ac:dyDescent="0.3">
      <c r="B317" s="225"/>
      <c r="C317" s="186"/>
      <c r="D317" s="186"/>
      <c r="E317" s="186"/>
      <c r="F317" s="234"/>
      <c r="G317" s="495"/>
      <c r="H317" s="495"/>
    </row>
    <row r="318" spans="2:8" ht="13.5" customHeight="1" x14ac:dyDescent="0.3">
      <c r="B318" s="225"/>
      <c r="C318" s="186"/>
      <c r="D318" s="186"/>
      <c r="E318" s="186"/>
      <c r="F318" s="234"/>
      <c r="G318" s="495"/>
      <c r="H318" s="495"/>
    </row>
    <row r="319" spans="2:8" ht="13.5" customHeight="1" x14ac:dyDescent="0.3">
      <c r="B319" s="225"/>
      <c r="C319" s="186"/>
      <c r="D319" s="186"/>
      <c r="E319" s="186"/>
      <c r="F319" s="234"/>
      <c r="G319" s="495"/>
      <c r="H319" s="495"/>
    </row>
    <row r="320" spans="2:8" ht="13.5" customHeight="1" x14ac:dyDescent="0.3">
      <c r="B320" s="225"/>
      <c r="C320" s="186"/>
      <c r="D320" s="186"/>
      <c r="E320" s="186"/>
      <c r="F320" s="234"/>
      <c r="G320" s="495"/>
      <c r="H320" s="495"/>
    </row>
    <row r="321" spans="2:8" ht="13.5" customHeight="1" x14ac:dyDescent="0.3">
      <c r="B321" s="225"/>
      <c r="C321" s="186"/>
      <c r="D321" s="186"/>
      <c r="E321" s="186"/>
      <c r="F321" s="234"/>
      <c r="G321" s="495"/>
      <c r="H321" s="495"/>
    </row>
    <row r="322" spans="2:8" ht="13.5" customHeight="1" x14ac:dyDescent="0.3">
      <c r="B322" s="225"/>
      <c r="C322" s="186"/>
      <c r="D322" s="186"/>
      <c r="E322" s="186"/>
      <c r="F322" s="234"/>
      <c r="G322" s="495"/>
      <c r="H322" s="495"/>
    </row>
    <row r="323" spans="2:8" ht="13.5" customHeight="1" x14ac:dyDescent="0.3">
      <c r="B323" s="225"/>
      <c r="C323" s="186"/>
      <c r="D323" s="186"/>
      <c r="E323" s="186"/>
      <c r="F323" s="234"/>
      <c r="G323" s="495"/>
      <c r="H323" s="495"/>
    </row>
    <row r="324" spans="2:8" ht="13.5" customHeight="1" x14ac:dyDescent="0.3">
      <c r="B324" s="225"/>
      <c r="C324" s="186"/>
      <c r="D324" s="186"/>
      <c r="E324" s="186"/>
      <c r="F324" s="234"/>
      <c r="G324" s="495"/>
      <c r="H324" s="495"/>
    </row>
    <row r="325" spans="2:8" ht="13.5" customHeight="1" x14ac:dyDescent="0.3">
      <c r="B325" s="225"/>
      <c r="C325" s="186"/>
      <c r="D325" s="186"/>
      <c r="E325" s="186"/>
      <c r="F325" s="234"/>
      <c r="G325" s="495"/>
      <c r="H325" s="495"/>
    </row>
    <row r="326" spans="2:8" ht="13.5" customHeight="1" x14ac:dyDescent="0.3">
      <c r="B326" s="225"/>
      <c r="C326" s="186"/>
      <c r="D326" s="186"/>
      <c r="E326" s="186"/>
      <c r="F326" s="234"/>
      <c r="G326" s="495"/>
      <c r="H326" s="495"/>
    </row>
    <row r="327" spans="2:8" ht="13.5" customHeight="1" x14ac:dyDescent="0.3">
      <c r="B327" s="225"/>
      <c r="C327" s="186"/>
      <c r="D327" s="186"/>
      <c r="E327" s="186"/>
      <c r="F327" s="234"/>
      <c r="G327" s="495"/>
      <c r="H327" s="495"/>
    </row>
    <row r="328" spans="2:8" ht="13.5" customHeight="1" x14ac:dyDescent="0.3">
      <c r="B328" s="225"/>
      <c r="C328" s="186"/>
      <c r="D328" s="186"/>
      <c r="E328" s="186"/>
      <c r="F328" s="234"/>
      <c r="G328" s="495"/>
      <c r="H328" s="495"/>
    </row>
    <row r="329" spans="2:8" ht="13.5" customHeight="1" x14ac:dyDescent="0.3">
      <c r="B329" s="225"/>
      <c r="C329" s="186"/>
      <c r="D329" s="186"/>
      <c r="E329" s="186"/>
      <c r="F329" s="234"/>
      <c r="G329" s="495"/>
      <c r="H329" s="495"/>
    </row>
    <row r="330" spans="2:8" ht="13.5" customHeight="1" x14ac:dyDescent="0.3">
      <c r="B330" s="225"/>
      <c r="C330" s="186"/>
      <c r="D330" s="186"/>
      <c r="E330" s="186"/>
      <c r="F330" s="234"/>
      <c r="G330" s="495"/>
      <c r="H330" s="495"/>
    </row>
    <row r="331" spans="2:8" ht="13.5" customHeight="1" x14ac:dyDescent="0.3">
      <c r="B331" s="225"/>
      <c r="C331" s="186"/>
      <c r="D331" s="186"/>
      <c r="E331" s="186"/>
      <c r="F331" s="234"/>
      <c r="G331" s="495"/>
      <c r="H331" s="495"/>
    </row>
    <row r="332" spans="2:8" ht="13.5" customHeight="1" x14ac:dyDescent="0.3">
      <c r="B332" s="225"/>
      <c r="C332" s="186"/>
      <c r="D332" s="186"/>
      <c r="E332" s="186"/>
      <c r="F332" s="234"/>
      <c r="G332" s="495"/>
      <c r="H332" s="495"/>
    </row>
    <row r="333" spans="2:8" ht="13.5" customHeight="1" x14ac:dyDescent="0.3">
      <c r="B333" s="225"/>
      <c r="C333" s="186"/>
      <c r="D333" s="186"/>
      <c r="E333" s="186"/>
      <c r="F333" s="234"/>
      <c r="G333" s="495"/>
      <c r="H333" s="495"/>
    </row>
    <row r="334" spans="2:8" ht="13.5" customHeight="1" x14ac:dyDescent="0.3">
      <c r="B334" s="225"/>
      <c r="C334" s="186"/>
      <c r="D334" s="186"/>
      <c r="E334" s="186"/>
      <c r="F334" s="234"/>
      <c r="G334" s="495"/>
      <c r="H334" s="495"/>
    </row>
    <row r="335" spans="2:8" ht="13.5" customHeight="1" x14ac:dyDescent="0.3">
      <c r="B335" s="225"/>
      <c r="C335" s="186"/>
      <c r="D335" s="186"/>
      <c r="E335" s="186"/>
      <c r="F335" s="234"/>
      <c r="G335" s="495"/>
      <c r="H335" s="495"/>
    </row>
    <row r="336" spans="2:8" ht="13.5" customHeight="1" x14ac:dyDescent="0.3">
      <c r="B336" s="225"/>
      <c r="C336" s="186"/>
      <c r="D336" s="186"/>
      <c r="E336" s="186"/>
      <c r="F336" s="234"/>
      <c r="G336" s="495"/>
      <c r="H336" s="495"/>
    </row>
    <row r="337" spans="2:8" ht="13.5" customHeight="1" x14ac:dyDescent="0.3">
      <c r="B337" s="225"/>
      <c r="C337" s="186"/>
      <c r="D337" s="186"/>
      <c r="E337" s="186"/>
      <c r="F337" s="234"/>
      <c r="G337" s="495"/>
      <c r="H337" s="495"/>
    </row>
    <row r="338" spans="2:8" ht="13.5" customHeight="1" x14ac:dyDescent="0.3">
      <c r="B338" s="225"/>
      <c r="C338" s="186"/>
      <c r="D338" s="186"/>
      <c r="E338" s="186"/>
      <c r="F338" s="234"/>
      <c r="G338" s="495"/>
      <c r="H338" s="495"/>
    </row>
    <row r="339" spans="2:8" ht="13.5" customHeight="1" x14ac:dyDescent="0.3">
      <c r="B339" s="225"/>
      <c r="C339" s="186"/>
      <c r="D339" s="186"/>
      <c r="E339" s="186"/>
      <c r="F339" s="234"/>
      <c r="G339" s="495"/>
      <c r="H339" s="495"/>
    </row>
    <row r="340" spans="2:8" ht="13.5" customHeight="1" x14ac:dyDescent="0.3">
      <c r="B340" s="225"/>
      <c r="C340" s="186"/>
      <c r="D340" s="186"/>
      <c r="E340" s="186"/>
      <c r="F340" s="234"/>
      <c r="G340" s="495"/>
      <c r="H340" s="495"/>
    </row>
    <row r="341" spans="2:8" ht="13.5" customHeight="1" x14ac:dyDescent="0.3">
      <c r="B341" s="225"/>
      <c r="C341" s="186"/>
      <c r="D341" s="186"/>
      <c r="E341" s="186"/>
      <c r="F341" s="234"/>
      <c r="G341" s="495"/>
      <c r="H341" s="495"/>
    </row>
    <row r="342" spans="2:8" ht="13.5" customHeight="1" x14ac:dyDescent="0.3">
      <c r="B342" s="225"/>
      <c r="C342" s="186"/>
      <c r="D342" s="186"/>
      <c r="E342" s="186"/>
      <c r="F342" s="234"/>
      <c r="G342" s="495"/>
      <c r="H342" s="495"/>
    </row>
    <row r="343" spans="2:8" ht="13.5" customHeight="1" x14ac:dyDescent="0.3">
      <c r="B343" s="225"/>
      <c r="C343" s="186"/>
      <c r="D343" s="186"/>
      <c r="E343" s="186"/>
      <c r="F343" s="234"/>
      <c r="G343" s="495"/>
      <c r="H343" s="495"/>
    </row>
    <row r="344" spans="2:8" ht="13.5" customHeight="1" x14ac:dyDescent="0.3">
      <c r="B344" s="225"/>
      <c r="C344" s="186"/>
      <c r="D344" s="186"/>
      <c r="E344" s="186"/>
      <c r="F344" s="234"/>
      <c r="G344" s="495"/>
      <c r="H344" s="495"/>
    </row>
    <row r="345" spans="2:8" ht="13.5" customHeight="1" x14ac:dyDescent="0.3">
      <c r="B345" s="225"/>
      <c r="C345" s="186"/>
      <c r="D345" s="186"/>
      <c r="E345" s="186"/>
      <c r="F345" s="234"/>
      <c r="G345" s="495"/>
      <c r="H345" s="495"/>
    </row>
    <row r="346" spans="2:8" ht="13.5" customHeight="1" x14ac:dyDescent="0.3">
      <c r="B346" s="225"/>
      <c r="C346" s="186"/>
      <c r="D346" s="186"/>
      <c r="E346" s="186"/>
      <c r="F346" s="234"/>
      <c r="G346" s="495"/>
      <c r="H346" s="495"/>
    </row>
    <row r="347" spans="2:8" ht="13.5" customHeight="1" x14ac:dyDescent="0.3">
      <c r="B347" s="225"/>
      <c r="C347" s="186"/>
      <c r="D347" s="186"/>
      <c r="E347" s="186"/>
      <c r="F347" s="234"/>
      <c r="G347" s="495"/>
      <c r="H347" s="495"/>
    </row>
    <row r="348" spans="2:8" ht="13.5" customHeight="1" x14ac:dyDescent="0.3">
      <c r="B348" s="225"/>
      <c r="C348" s="186"/>
      <c r="D348" s="186"/>
      <c r="E348" s="186"/>
      <c r="F348" s="234"/>
      <c r="G348" s="495"/>
      <c r="H348" s="495"/>
    </row>
    <row r="349" spans="2:8" ht="13.5" customHeight="1" x14ac:dyDescent="0.3">
      <c r="B349" s="225"/>
      <c r="C349" s="186"/>
      <c r="D349" s="186"/>
      <c r="E349" s="186"/>
      <c r="F349" s="234"/>
      <c r="G349" s="495"/>
      <c r="H349" s="495"/>
    </row>
    <row r="350" spans="2:8" ht="13.5" customHeight="1" x14ac:dyDescent="0.3">
      <c r="B350" s="225"/>
      <c r="C350" s="186"/>
      <c r="D350" s="186"/>
      <c r="E350" s="186"/>
      <c r="F350" s="234"/>
      <c r="G350" s="495"/>
      <c r="H350" s="495"/>
    </row>
    <row r="351" spans="2:8" ht="13.5" customHeight="1" x14ac:dyDescent="0.3">
      <c r="B351" s="225"/>
      <c r="C351" s="186"/>
      <c r="D351" s="186"/>
      <c r="E351" s="186"/>
      <c r="F351" s="234"/>
      <c r="G351" s="495"/>
      <c r="H351" s="495"/>
    </row>
    <row r="352" spans="2:8" ht="13.5" customHeight="1" x14ac:dyDescent="0.3">
      <c r="B352" s="225"/>
      <c r="C352" s="186"/>
      <c r="D352" s="186"/>
      <c r="E352" s="186"/>
      <c r="F352" s="234"/>
      <c r="G352" s="495"/>
      <c r="H352" s="495"/>
    </row>
    <row r="353" spans="2:8" ht="13.5" customHeight="1" x14ac:dyDescent="0.3">
      <c r="B353" s="225"/>
      <c r="C353" s="186"/>
      <c r="D353" s="186"/>
      <c r="E353" s="186"/>
      <c r="F353" s="234"/>
      <c r="G353" s="495"/>
      <c r="H353" s="495"/>
    </row>
    <row r="354" spans="2:8" ht="13.5" customHeight="1" x14ac:dyDescent="0.3">
      <c r="B354" s="225"/>
      <c r="C354" s="186"/>
      <c r="D354" s="186"/>
      <c r="E354" s="186"/>
      <c r="F354" s="234"/>
      <c r="G354" s="495"/>
      <c r="H354" s="495"/>
    </row>
    <row r="355" spans="2:8" ht="13.5" customHeight="1" x14ac:dyDescent="0.3">
      <c r="B355" s="225"/>
      <c r="C355" s="186"/>
      <c r="D355" s="186"/>
      <c r="E355" s="186"/>
      <c r="F355" s="234"/>
      <c r="G355" s="495"/>
      <c r="H355" s="495"/>
    </row>
    <row r="356" spans="2:8" ht="13.5" customHeight="1" x14ac:dyDescent="0.3">
      <c r="B356" s="225"/>
      <c r="C356" s="186"/>
      <c r="D356" s="186"/>
      <c r="E356" s="186"/>
      <c r="F356" s="234"/>
      <c r="G356" s="495"/>
      <c r="H356" s="495"/>
    </row>
    <row r="357" spans="2:8" ht="13.5" customHeight="1" x14ac:dyDescent="0.3">
      <c r="B357" s="225"/>
      <c r="C357" s="186"/>
      <c r="D357" s="186"/>
      <c r="E357" s="186"/>
      <c r="F357" s="234"/>
      <c r="G357" s="495"/>
      <c r="H357" s="495"/>
    </row>
    <row r="358" spans="2:8" ht="13.5" customHeight="1" x14ac:dyDescent="0.3">
      <c r="B358" s="225"/>
      <c r="C358" s="186"/>
      <c r="D358" s="186"/>
      <c r="E358" s="186"/>
      <c r="F358" s="234"/>
      <c r="G358" s="495"/>
      <c r="H358" s="495"/>
    </row>
    <row r="359" spans="2:8" ht="13.5" customHeight="1" x14ac:dyDescent="0.3">
      <c r="B359" s="225"/>
      <c r="C359" s="186"/>
      <c r="D359" s="186"/>
      <c r="E359" s="186"/>
      <c r="F359" s="234"/>
      <c r="G359" s="495"/>
      <c r="H359" s="495"/>
    </row>
    <row r="360" spans="2:8" ht="13.5" customHeight="1" x14ac:dyDescent="0.3">
      <c r="B360" s="225"/>
      <c r="C360" s="186"/>
      <c r="D360" s="186"/>
      <c r="E360" s="186"/>
      <c r="F360" s="234"/>
      <c r="G360" s="495"/>
      <c r="H360" s="495"/>
    </row>
    <row r="361" spans="2:8" ht="13.5" customHeight="1" x14ac:dyDescent="0.3">
      <c r="B361" s="225"/>
      <c r="C361" s="186"/>
      <c r="D361" s="186"/>
      <c r="E361" s="186"/>
      <c r="F361" s="234"/>
      <c r="G361" s="495"/>
      <c r="H361" s="495"/>
    </row>
    <row r="362" spans="2:8" ht="13.5" customHeight="1" x14ac:dyDescent="0.3">
      <c r="B362" s="225"/>
      <c r="C362" s="186"/>
      <c r="D362" s="186"/>
      <c r="E362" s="186"/>
      <c r="F362" s="234"/>
      <c r="G362" s="495"/>
      <c r="H362" s="495"/>
    </row>
    <row r="363" spans="2:8" ht="13.5" customHeight="1" x14ac:dyDescent="0.3">
      <c r="B363" s="225"/>
      <c r="C363" s="186"/>
      <c r="D363" s="186"/>
      <c r="E363" s="186"/>
      <c r="F363" s="234"/>
      <c r="G363" s="495"/>
      <c r="H363" s="495"/>
    </row>
    <row r="364" spans="2:8" ht="13.5" customHeight="1" x14ac:dyDescent="0.3">
      <c r="B364" s="225"/>
      <c r="C364" s="186"/>
      <c r="D364" s="186"/>
      <c r="E364" s="186"/>
      <c r="F364" s="234"/>
      <c r="G364" s="495"/>
      <c r="H364" s="495"/>
    </row>
    <row r="365" spans="2:8" ht="13.5" customHeight="1" x14ac:dyDescent="0.3">
      <c r="B365" s="225"/>
      <c r="C365" s="186"/>
      <c r="D365" s="186"/>
      <c r="E365" s="186"/>
      <c r="F365" s="234"/>
      <c r="G365" s="495"/>
      <c r="H365" s="495"/>
    </row>
    <row r="366" spans="2:8" ht="13.5" customHeight="1" x14ac:dyDescent="0.3">
      <c r="B366" s="225"/>
      <c r="C366" s="186"/>
      <c r="D366" s="186"/>
      <c r="E366" s="186"/>
      <c r="F366" s="234"/>
      <c r="G366" s="495"/>
      <c r="H366" s="495"/>
    </row>
    <row r="367" spans="2:8" ht="13.5" customHeight="1" x14ac:dyDescent="0.3">
      <c r="B367" s="225"/>
      <c r="C367" s="186"/>
      <c r="D367" s="186"/>
      <c r="E367" s="186"/>
      <c r="F367" s="234"/>
      <c r="G367" s="495"/>
      <c r="H367" s="495"/>
    </row>
    <row r="368" spans="2:8" ht="13.5" customHeight="1" x14ac:dyDescent="0.3">
      <c r="B368" s="225"/>
      <c r="C368" s="186"/>
      <c r="D368" s="186"/>
      <c r="E368" s="186"/>
      <c r="F368" s="234"/>
      <c r="G368" s="495"/>
      <c r="H368" s="495"/>
    </row>
    <row r="369" spans="2:8" ht="13.5" customHeight="1" x14ac:dyDescent="0.3">
      <c r="B369" s="225"/>
      <c r="C369" s="186"/>
      <c r="D369" s="186"/>
      <c r="E369" s="186"/>
      <c r="F369" s="234"/>
      <c r="G369" s="495"/>
      <c r="H369" s="495"/>
    </row>
    <row r="370" spans="2:8" ht="13.5" customHeight="1" x14ac:dyDescent="0.3">
      <c r="B370" s="225"/>
      <c r="C370" s="186"/>
      <c r="D370" s="186"/>
      <c r="E370" s="186"/>
      <c r="F370" s="234"/>
      <c r="G370" s="495"/>
      <c r="H370" s="495"/>
    </row>
    <row r="371" spans="2:8" ht="13.5" customHeight="1" x14ac:dyDescent="0.3">
      <c r="B371" s="225"/>
      <c r="C371" s="186"/>
      <c r="D371" s="186"/>
      <c r="E371" s="186"/>
      <c r="F371" s="234"/>
      <c r="G371" s="495"/>
      <c r="H371" s="495"/>
    </row>
    <row r="372" spans="2:8" ht="13.5" customHeight="1" x14ac:dyDescent="0.3">
      <c r="B372" s="225"/>
      <c r="C372" s="186"/>
      <c r="D372" s="186"/>
      <c r="E372" s="186"/>
      <c r="F372" s="234"/>
      <c r="G372" s="495"/>
      <c r="H372" s="495"/>
    </row>
    <row r="373" spans="2:8" ht="13.5" customHeight="1" x14ac:dyDescent="0.3">
      <c r="B373" s="225"/>
      <c r="C373" s="186"/>
      <c r="D373" s="186"/>
      <c r="E373" s="186"/>
      <c r="F373" s="234"/>
      <c r="G373" s="495"/>
      <c r="H373" s="495"/>
    </row>
    <row r="374" spans="2:8" ht="13.5" customHeight="1" x14ac:dyDescent="0.3">
      <c r="B374" s="225"/>
      <c r="C374" s="186"/>
      <c r="D374" s="186"/>
      <c r="E374" s="186"/>
      <c r="F374" s="234"/>
      <c r="G374" s="495"/>
      <c r="H374" s="495"/>
    </row>
    <row r="375" spans="2:8" ht="13.5" customHeight="1" x14ac:dyDescent="0.3">
      <c r="B375" s="225"/>
      <c r="C375" s="186"/>
      <c r="D375" s="186"/>
      <c r="E375" s="186"/>
      <c r="F375" s="234"/>
      <c r="G375" s="495"/>
      <c r="H375" s="495"/>
    </row>
    <row r="376" spans="2:8" ht="13.5" customHeight="1" x14ac:dyDescent="0.3">
      <c r="B376" s="225"/>
      <c r="C376" s="186"/>
      <c r="D376" s="186"/>
      <c r="E376" s="186"/>
      <c r="F376" s="234"/>
      <c r="G376" s="495"/>
      <c r="H376" s="495"/>
    </row>
    <row r="377" spans="2:8" ht="13.5" customHeight="1" x14ac:dyDescent="0.3">
      <c r="B377" s="225"/>
      <c r="C377" s="186"/>
      <c r="D377" s="186"/>
      <c r="E377" s="186"/>
      <c r="F377" s="234"/>
      <c r="G377" s="495"/>
      <c r="H377" s="495"/>
    </row>
    <row r="378" spans="2:8" ht="13.5" customHeight="1" x14ac:dyDescent="0.3">
      <c r="B378" s="225"/>
      <c r="C378" s="186"/>
      <c r="D378" s="186"/>
      <c r="E378" s="186"/>
      <c r="F378" s="234"/>
      <c r="G378" s="495"/>
      <c r="H378" s="495"/>
    </row>
    <row r="379" spans="2:8" ht="13.5" customHeight="1" x14ac:dyDescent="0.3">
      <c r="B379" s="225"/>
      <c r="C379" s="186"/>
      <c r="D379" s="186"/>
      <c r="E379" s="186"/>
      <c r="F379" s="234"/>
      <c r="G379" s="495"/>
      <c r="H379" s="495"/>
    </row>
    <row r="380" spans="2:8" ht="13.5" customHeight="1" x14ac:dyDescent="0.3">
      <c r="B380" s="225"/>
      <c r="C380" s="186"/>
      <c r="D380" s="186"/>
      <c r="E380" s="186"/>
      <c r="F380" s="234"/>
      <c r="G380" s="495"/>
      <c r="H380" s="495"/>
    </row>
    <row r="381" spans="2:8" ht="13.5" customHeight="1" x14ac:dyDescent="0.3">
      <c r="B381" s="225"/>
      <c r="C381" s="186"/>
      <c r="D381" s="186"/>
      <c r="E381" s="186"/>
      <c r="F381" s="234"/>
      <c r="G381" s="495"/>
      <c r="H381" s="495"/>
    </row>
    <row r="382" spans="2:8" ht="13.5" customHeight="1" x14ac:dyDescent="0.3">
      <c r="B382" s="225"/>
      <c r="C382" s="186"/>
      <c r="D382" s="186"/>
      <c r="E382" s="186"/>
      <c r="F382" s="234"/>
      <c r="G382" s="495"/>
      <c r="H382" s="495"/>
    </row>
    <row r="383" spans="2:8" ht="13.5" customHeight="1" x14ac:dyDescent="0.3">
      <c r="B383" s="225"/>
      <c r="C383" s="186"/>
      <c r="D383" s="186"/>
      <c r="E383" s="186"/>
      <c r="F383" s="234"/>
      <c r="G383" s="495"/>
      <c r="H383" s="495"/>
    </row>
    <row r="384" spans="2:8" ht="13.5" customHeight="1" x14ac:dyDescent="0.3">
      <c r="B384" s="225"/>
      <c r="C384" s="186"/>
      <c r="D384" s="186"/>
      <c r="E384" s="186"/>
      <c r="F384" s="234"/>
      <c r="G384" s="495"/>
      <c r="H384" s="495"/>
    </row>
    <row r="385" spans="2:8" ht="13.5" customHeight="1" x14ac:dyDescent="0.3">
      <c r="B385" s="225"/>
      <c r="C385" s="186"/>
      <c r="D385" s="186"/>
      <c r="E385" s="186"/>
      <c r="F385" s="234"/>
      <c r="G385" s="495"/>
      <c r="H385" s="495"/>
    </row>
    <row r="386" spans="2:8" ht="13.5" customHeight="1" x14ac:dyDescent="0.3">
      <c r="B386" s="225"/>
      <c r="C386" s="186"/>
      <c r="D386" s="186"/>
      <c r="E386" s="186"/>
      <c r="F386" s="234"/>
      <c r="G386" s="495"/>
      <c r="H386" s="495"/>
    </row>
    <row r="387" spans="2:8" ht="13.5" customHeight="1" x14ac:dyDescent="0.3">
      <c r="B387" s="225"/>
      <c r="C387" s="186"/>
      <c r="D387" s="186"/>
      <c r="E387" s="186"/>
      <c r="F387" s="234"/>
      <c r="G387" s="495"/>
      <c r="H387" s="495"/>
    </row>
    <row r="388" spans="2:8" ht="13.5" customHeight="1" x14ac:dyDescent="0.3">
      <c r="B388" s="225"/>
      <c r="C388" s="186"/>
      <c r="D388" s="186"/>
      <c r="E388" s="186"/>
      <c r="F388" s="234"/>
      <c r="G388" s="495"/>
      <c r="H388" s="495"/>
    </row>
    <row r="389" spans="2:8" ht="13.5" customHeight="1" x14ac:dyDescent="0.3">
      <c r="B389" s="225"/>
      <c r="C389" s="186"/>
      <c r="D389" s="186"/>
      <c r="E389" s="186"/>
      <c r="F389" s="234"/>
      <c r="G389" s="495"/>
      <c r="H389" s="495"/>
    </row>
    <row r="390" spans="2:8" ht="13.5" customHeight="1" x14ac:dyDescent="0.3">
      <c r="B390" s="225"/>
      <c r="C390" s="186"/>
      <c r="D390" s="186"/>
      <c r="E390" s="186"/>
      <c r="F390" s="234"/>
      <c r="G390" s="495"/>
      <c r="H390" s="495"/>
    </row>
    <row r="391" spans="2:8" ht="13.5" customHeight="1" x14ac:dyDescent="0.3">
      <c r="B391" s="225"/>
      <c r="C391" s="186"/>
      <c r="D391" s="186"/>
      <c r="E391" s="186"/>
      <c r="F391" s="234"/>
      <c r="G391" s="495"/>
      <c r="H391" s="495"/>
    </row>
    <row r="392" spans="2:8" ht="13.5" customHeight="1" x14ac:dyDescent="0.3">
      <c r="B392" s="225"/>
      <c r="C392" s="186"/>
      <c r="D392" s="186"/>
      <c r="E392" s="186"/>
      <c r="F392" s="234"/>
      <c r="G392" s="495"/>
      <c r="H392" s="495"/>
    </row>
    <row r="393" spans="2:8" ht="13.5" customHeight="1" x14ac:dyDescent="0.3">
      <c r="B393" s="225"/>
      <c r="C393" s="186"/>
      <c r="D393" s="186"/>
      <c r="E393" s="186"/>
      <c r="F393" s="234"/>
      <c r="G393" s="495"/>
      <c r="H393" s="495"/>
    </row>
    <row r="394" spans="2:8" ht="13.5" customHeight="1" x14ac:dyDescent="0.3">
      <c r="B394" s="225"/>
      <c r="C394" s="186"/>
      <c r="D394" s="186"/>
      <c r="E394" s="186"/>
      <c r="F394" s="234"/>
      <c r="G394" s="495"/>
      <c r="H394" s="495"/>
    </row>
    <row r="395" spans="2:8" ht="13.5" customHeight="1" x14ac:dyDescent="0.3">
      <c r="B395" s="225"/>
      <c r="C395" s="186"/>
      <c r="D395" s="186"/>
      <c r="E395" s="186"/>
      <c r="F395" s="234"/>
      <c r="G395" s="495"/>
      <c r="H395" s="495"/>
    </row>
    <row r="396" spans="2:8" ht="13.5" customHeight="1" x14ac:dyDescent="0.3">
      <c r="B396" s="225"/>
      <c r="C396" s="186"/>
      <c r="D396" s="186"/>
      <c r="E396" s="186"/>
      <c r="F396" s="234"/>
      <c r="G396" s="495"/>
      <c r="H396" s="495"/>
    </row>
    <row r="397" spans="2:8" ht="13.5" customHeight="1" x14ac:dyDescent="0.3">
      <c r="B397" s="225"/>
      <c r="C397" s="186"/>
      <c r="D397" s="186"/>
      <c r="E397" s="186"/>
      <c r="F397" s="234"/>
      <c r="G397" s="495"/>
      <c r="H397" s="495"/>
    </row>
    <row r="398" spans="2:8" ht="13.5" customHeight="1" x14ac:dyDescent="0.3">
      <c r="B398" s="225"/>
      <c r="C398" s="186"/>
      <c r="D398" s="186"/>
      <c r="E398" s="186"/>
      <c r="F398" s="234"/>
      <c r="G398" s="495"/>
      <c r="H398" s="495"/>
    </row>
    <row r="399" spans="2:8" ht="13.5" customHeight="1" x14ac:dyDescent="0.3">
      <c r="B399" s="225"/>
      <c r="C399" s="186"/>
      <c r="D399" s="186"/>
      <c r="E399" s="186"/>
      <c r="F399" s="234"/>
      <c r="G399" s="495"/>
      <c r="H399" s="495"/>
    </row>
    <row r="400" spans="2:8" ht="13.5" customHeight="1" x14ac:dyDescent="0.3">
      <c r="B400" s="225"/>
      <c r="C400" s="186"/>
      <c r="D400" s="186"/>
      <c r="E400" s="186"/>
      <c r="F400" s="234"/>
      <c r="G400" s="495"/>
      <c r="H400" s="495"/>
    </row>
    <row r="401" spans="2:8" ht="13.5" customHeight="1" x14ac:dyDescent="0.3">
      <c r="B401" s="225"/>
      <c r="C401" s="186"/>
      <c r="D401" s="186"/>
      <c r="E401" s="186"/>
      <c r="F401" s="234"/>
      <c r="G401" s="495"/>
      <c r="H401" s="495"/>
    </row>
    <row r="402" spans="2:8" ht="13.5" customHeight="1" x14ac:dyDescent="0.3">
      <c r="B402" s="225"/>
      <c r="C402" s="186"/>
      <c r="D402" s="186"/>
      <c r="E402" s="186"/>
      <c r="F402" s="234"/>
      <c r="G402" s="495"/>
      <c r="H402" s="495"/>
    </row>
    <row r="403" spans="2:8" ht="13.5" customHeight="1" x14ac:dyDescent="0.3">
      <c r="B403" s="225"/>
      <c r="C403" s="186"/>
      <c r="D403" s="186"/>
      <c r="E403" s="186"/>
      <c r="F403" s="234"/>
      <c r="G403" s="495"/>
      <c r="H403" s="495"/>
    </row>
    <row r="404" spans="2:8" ht="13.5" customHeight="1" x14ac:dyDescent="0.3">
      <c r="B404" s="225"/>
      <c r="C404" s="186"/>
      <c r="D404" s="186"/>
      <c r="E404" s="186"/>
      <c r="F404" s="234"/>
      <c r="G404" s="495"/>
      <c r="H404" s="495"/>
    </row>
    <row r="405" spans="2:8" ht="13.5" customHeight="1" x14ac:dyDescent="0.3">
      <c r="B405" s="225"/>
      <c r="C405" s="186"/>
      <c r="D405" s="186"/>
      <c r="E405" s="186"/>
      <c r="F405" s="234"/>
      <c r="G405" s="495"/>
      <c r="H405" s="495"/>
    </row>
    <row r="406" spans="2:8" ht="13.5" customHeight="1" x14ac:dyDescent="0.3">
      <c r="B406" s="225"/>
      <c r="C406" s="186"/>
      <c r="D406" s="186"/>
      <c r="E406" s="186"/>
      <c r="F406" s="234"/>
      <c r="G406" s="495"/>
      <c r="H406" s="495"/>
    </row>
    <row r="407" spans="2:8" ht="13.5" customHeight="1" x14ac:dyDescent="0.3">
      <c r="B407" s="225"/>
      <c r="C407" s="186"/>
      <c r="D407" s="186"/>
      <c r="E407" s="186"/>
      <c r="F407" s="234"/>
      <c r="G407" s="495"/>
      <c r="H407" s="495"/>
    </row>
    <row r="408" spans="2:8" ht="13.5" customHeight="1" x14ac:dyDescent="0.3">
      <c r="B408" s="225"/>
      <c r="C408" s="186"/>
      <c r="D408" s="186"/>
      <c r="E408" s="186"/>
      <c r="F408" s="234"/>
      <c r="G408" s="495"/>
      <c r="H408" s="495"/>
    </row>
    <row r="409" spans="2:8" ht="13.5" customHeight="1" x14ac:dyDescent="0.3">
      <c r="B409" s="225"/>
      <c r="C409" s="186"/>
      <c r="D409" s="186"/>
      <c r="E409" s="186"/>
      <c r="F409" s="234"/>
      <c r="G409" s="495"/>
      <c r="H409" s="495"/>
    </row>
    <row r="410" spans="2:8" ht="13.5" customHeight="1" x14ac:dyDescent="0.3">
      <c r="B410" s="225"/>
      <c r="C410" s="186"/>
      <c r="D410" s="186"/>
      <c r="E410" s="186"/>
      <c r="F410" s="234"/>
      <c r="G410" s="495"/>
      <c r="H410" s="495"/>
    </row>
    <row r="411" spans="2:8" ht="13.5" customHeight="1" x14ac:dyDescent="0.3">
      <c r="B411" s="225"/>
      <c r="C411" s="186"/>
      <c r="D411" s="186"/>
      <c r="E411" s="186"/>
      <c r="F411" s="234"/>
      <c r="G411" s="495"/>
      <c r="H411" s="495"/>
    </row>
    <row r="412" spans="2:8" ht="13.5" customHeight="1" x14ac:dyDescent="0.3">
      <c r="B412" s="225"/>
      <c r="C412" s="186"/>
      <c r="D412" s="186"/>
      <c r="E412" s="186"/>
      <c r="F412" s="234"/>
      <c r="G412" s="495"/>
      <c r="H412" s="495"/>
    </row>
    <row r="413" spans="2:8" ht="13.5" customHeight="1" x14ac:dyDescent="0.3">
      <c r="B413" s="225"/>
      <c r="C413" s="186"/>
      <c r="D413" s="186"/>
      <c r="E413" s="186"/>
      <c r="F413" s="234"/>
      <c r="G413" s="495"/>
      <c r="H413" s="495"/>
    </row>
    <row r="414" spans="2:8" ht="13.5" customHeight="1" x14ac:dyDescent="0.3">
      <c r="B414" s="225"/>
      <c r="C414" s="186"/>
      <c r="D414" s="186"/>
      <c r="E414" s="186"/>
      <c r="F414" s="234"/>
      <c r="G414" s="495"/>
      <c r="H414" s="495"/>
    </row>
    <row r="415" spans="2:8" ht="13.5" customHeight="1" x14ac:dyDescent="0.3">
      <c r="B415" s="225"/>
      <c r="C415" s="186"/>
      <c r="D415" s="186"/>
      <c r="E415" s="186"/>
      <c r="F415" s="234"/>
      <c r="G415" s="495"/>
      <c r="H415" s="495"/>
    </row>
    <row r="416" spans="2:8" ht="13.5" customHeight="1" x14ac:dyDescent="0.3">
      <c r="B416" s="225"/>
      <c r="C416" s="186"/>
      <c r="D416" s="186"/>
      <c r="E416" s="186"/>
      <c r="F416" s="234"/>
      <c r="G416" s="495"/>
      <c r="H416" s="495"/>
    </row>
    <row r="417" spans="2:8" ht="13.5" customHeight="1" x14ac:dyDescent="0.3">
      <c r="B417" s="225"/>
      <c r="C417" s="186"/>
      <c r="D417" s="186"/>
      <c r="E417" s="186"/>
      <c r="F417" s="234"/>
      <c r="G417" s="495"/>
      <c r="H417" s="495"/>
    </row>
    <row r="418" spans="2:8" ht="13.5" customHeight="1" x14ac:dyDescent="0.3">
      <c r="B418" s="225"/>
      <c r="C418" s="186"/>
      <c r="D418" s="186"/>
      <c r="E418" s="186"/>
      <c r="F418" s="234"/>
      <c r="G418" s="495"/>
      <c r="H418" s="495"/>
    </row>
    <row r="419" spans="2:8" ht="13.5" customHeight="1" x14ac:dyDescent="0.3">
      <c r="B419" s="225"/>
      <c r="C419" s="186"/>
      <c r="D419" s="186"/>
      <c r="E419" s="186"/>
      <c r="F419" s="234"/>
      <c r="G419" s="495"/>
      <c r="H419" s="495"/>
    </row>
    <row r="420" spans="2:8" ht="13.5" customHeight="1" x14ac:dyDescent="0.3">
      <c r="B420" s="225"/>
      <c r="C420" s="186"/>
      <c r="D420" s="186"/>
      <c r="E420" s="186"/>
      <c r="F420" s="234"/>
      <c r="G420" s="495"/>
      <c r="H420" s="495"/>
    </row>
    <row r="421" spans="2:8" ht="13.5" customHeight="1" x14ac:dyDescent="0.3">
      <c r="B421" s="225"/>
      <c r="C421" s="186"/>
      <c r="D421" s="186"/>
      <c r="E421" s="186"/>
      <c r="F421" s="234"/>
      <c r="G421" s="495"/>
      <c r="H421" s="495"/>
    </row>
    <row r="422" spans="2:8" ht="13.5" customHeight="1" x14ac:dyDescent="0.3">
      <c r="B422" s="225"/>
      <c r="C422" s="186"/>
      <c r="D422" s="186"/>
      <c r="E422" s="186"/>
      <c r="F422" s="234"/>
      <c r="G422" s="495"/>
      <c r="H422" s="495"/>
    </row>
    <row r="423" spans="2:8" ht="13.5" customHeight="1" x14ac:dyDescent="0.3">
      <c r="B423" s="225"/>
      <c r="C423" s="186"/>
      <c r="D423" s="186"/>
      <c r="E423" s="186"/>
      <c r="F423" s="234"/>
      <c r="G423" s="495"/>
      <c r="H423" s="495"/>
    </row>
    <row r="424" spans="2:8" ht="13.5" customHeight="1" x14ac:dyDescent="0.3">
      <c r="B424" s="225"/>
      <c r="C424" s="186"/>
      <c r="D424" s="186"/>
      <c r="E424" s="186"/>
      <c r="F424" s="234"/>
      <c r="G424" s="495"/>
      <c r="H424" s="495"/>
    </row>
    <row r="425" spans="2:8" ht="13.5" customHeight="1" x14ac:dyDescent="0.3">
      <c r="B425" s="225"/>
      <c r="C425" s="186"/>
      <c r="D425" s="186"/>
      <c r="E425" s="186"/>
      <c r="F425" s="234"/>
      <c r="G425" s="495"/>
      <c r="H425" s="495"/>
    </row>
    <row r="426" spans="2:8" ht="13.5" customHeight="1" x14ac:dyDescent="0.3">
      <c r="B426" s="225"/>
      <c r="C426" s="186"/>
      <c r="D426" s="186"/>
      <c r="E426" s="186"/>
      <c r="F426" s="234"/>
      <c r="G426" s="495"/>
      <c r="H426" s="495"/>
    </row>
    <row r="427" spans="2:8" ht="13.5" customHeight="1" x14ac:dyDescent="0.3">
      <c r="B427" s="225"/>
      <c r="C427" s="186"/>
      <c r="D427" s="186"/>
      <c r="E427" s="186"/>
      <c r="F427" s="234"/>
      <c r="G427" s="495"/>
      <c r="H427" s="495"/>
    </row>
    <row r="428" spans="2:8" ht="13.5" customHeight="1" x14ac:dyDescent="0.3">
      <c r="B428" s="225"/>
      <c r="C428" s="186"/>
      <c r="D428" s="186"/>
      <c r="E428" s="186"/>
      <c r="F428" s="234"/>
      <c r="G428" s="495"/>
      <c r="H428" s="495"/>
    </row>
    <row r="429" spans="2:8" ht="13.5" customHeight="1" x14ac:dyDescent="0.3">
      <c r="B429" s="225"/>
      <c r="C429" s="186"/>
      <c r="D429" s="186"/>
      <c r="E429" s="186"/>
      <c r="F429" s="234"/>
      <c r="G429" s="495"/>
      <c r="H429" s="495"/>
    </row>
    <row r="430" spans="2:8" ht="13.5" customHeight="1" x14ac:dyDescent="0.3">
      <c r="B430" s="225"/>
      <c r="C430" s="186"/>
      <c r="D430" s="186"/>
      <c r="E430" s="186"/>
      <c r="F430" s="234"/>
      <c r="G430" s="495"/>
      <c r="H430" s="495"/>
    </row>
    <row r="431" spans="2:8" ht="13.5" customHeight="1" x14ac:dyDescent="0.3">
      <c r="B431" s="225"/>
      <c r="C431" s="186"/>
      <c r="D431" s="186"/>
      <c r="E431" s="186"/>
      <c r="F431" s="234"/>
      <c r="G431" s="495"/>
      <c r="H431" s="495"/>
    </row>
    <row r="432" spans="2:8" ht="13.5" customHeight="1" x14ac:dyDescent="0.3">
      <c r="B432" s="225"/>
      <c r="C432" s="186"/>
      <c r="D432" s="186"/>
      <c r="E432" s="186"/>
      <c r="F432" s="234"/>
      <c r="G432" s="495"/>
      <c r="H432" s="495"/>
    </row>
    <row r="433" spans="2:8" ht="13.5" customHeight="1" x14ac:dyDescent="0.3">
      <c r="B433" s="225"/>
      <c r="C433" s="186"/>
      <c r="D433" s="186"/>
      <c r="E433" s="186"/>
      <c r="F433" s="234"/>
      <c r="G433" s="495"/>
      <c r="H433" s="495"/>
    </row>
    <row r="434" spans="2:8" ht="13.5" customHeight="1" x14ac:dyDescent="0.3">
      <c r="B434" s="225"/>
      <c r="C434" s="186"/>
      <c r="D434" s="186"/>
      <c r="E434" s="186"/>
      <c r="F434" s="234"/>
      <c r="G434" s="495"/>
      <c r="H434" s="495"/>
    </row>
    <row r="435" spans="2:8" ht="13.5" customHeight="1" x14ac:dyDescent="0.3">
      <c r="B435" s="225"/>
      <c r="C435" s="186"/>
      <c r="D435" s="186"/>
      <c r="E435" s="186"/>
      <c r="F435" s="234"/>
      <c r="G435" s="495"/>
      <c r="H435" s="495"/>
    </row>
    <row r="436" spans="2:8" ht="13.5" customHeight="1" x14ac:dyDescent="0.3">
      <c r="B436" s="225"/>
      <c r="C436" s="186"/>
      <c r="D436" s="186"/>
      <c r="E436" s="186"/>
      <c r="F436" s="234"/>
      <c r="G436" s="495"/>
      <c r="H436" s="495"/>
    </row>
    <row r="437" spans="2:8" ht="13.5" customHeight="1" x14ac:dyDescent="0.3">
      <c r="B437" s="225"/>
      <c r="C437" s="186"/>
      <c r="D437" s="186"/>
      <c r="E437" s="186"/>
      <c r="F437" s="234"/>
      <c r="G437" s="495"/>
      <c r="H437" s="495"/>
    </row>
    <row r="438" spans="2:8" ht="13.5" customHeight="1" x14ac:dyDescent="0.3">
      <c r="B438" s="225"/>
      <c r="C438" s="186"/>
      <c r="D438" s="186"/>
      <c r="E438" s="186"/>
      <c r="F438" s="234"/>
      <c r="G438" s="495"/>
      <c r="H438" s="495"/>
    </row>
    <row r="439" spans="2:8" ht="13.5" customHeight="1" x14ac:dyDescent="0.3">
      <c r="B439" s="225"/>
      <c r="C439" s="186"/>
      <c r="D439" s="186"/>
      <c r="E439" s="186"/>
      <c r="F439" s="234"/>
      <c r="G439" s="495"/>
      <c r="H439" s="495"/>
    </row>
    <row r="440" spans="2:8" ht="13.5" customHeight="1" x14ac:dyDescent="0.3">
      <c r="B440" s="225"/>
      <c r="C440" s="186"/>
      <c r="D440" s="186"/>
      <c r="E440" s="186"/>
      <c r="F440" s="234"/>
      <c r="G440" s="495"/>
      <c r="H440" s="495"/>
    </row>
    <row r="441" spans="2:8" ht="13.5" customHeight="1" x14ac:dyDescent="0.3">
      <c r="B441" s="225"/>
      <c r="C441" s="186"/>
      <c r="D441" s="186"/>
      <c r="E441" s="186"/>
      <c r="F441" s="234"/>
      <c r="G441" s="495"/>
      <c r="H441" s="495"/>
    </row>
    <row r="442" spans="2:8" ht="13.5" customHeight="1" x14ac:dyDescent="0.3">
      <c r="B442" s="225"/>
      <c r="C442" s="186"/>
      <c r="D442" s="186"/>
      <c r="E442" s="186"/>
      <c r="F442" s="234"/>
      <c r="G442" s="495"/>
      <c r="H442" s="495"/>
    </row>
    <row r="443" spans="2:8" ht="13.5" customHeight="1" x14ac:dyDescent="0.3">
      <c r="B443" s="225"/>
      <c r="C443" s="186"/>
      <c r="D443" s="186"/>
      <c r="E443" s="186"/>
      <c r="F443" s="234"/>
      <c r="G443" s="495"/>
      <c r="H443" s="495"/>
    </row>
    <row r="444" spans="2:8" ht="13.5" customHeight="1" x14ac:dyDescent="0.3">
      <c r="B444" s="225"/>
      <c r="C444" s="186"/>
      <c r="D444" s="186"/>
      <c r="E444" s="186"/>
      <c r="F444" s="234"/>
      <c r="G444" s="495"/>
      <c r="H444" s="495"/>
    </row>
    <row r="445" spans="2:8" ht="13.5" customHeight="1" x14ac:dyDescent="0.3">
      <c r="B445" s="225"/>
      <c r="C445" s="186"/>
      <c r="D445" s="186"/>
      <c r="E445" s="186"/>
      <c r="F445" s="234"/>
      <c r="G445" s="495"/>
      <c r="H445" s="495"/>
    </row>
    <row r="446" spans="2:8" ht="13.5" customHeight="1" x14ac:dyDescent="0.3">
      <c r="B446" s="225"/>
      <c r="C446" s="186"/>
      <c r="D446" s="186"/>
      <c r="E446" s="186"/>
      <c r="F446" s="234"/>
      <c r="G446" s="495"/>
      <c r="H446" s="495"/>
    </row>
    <row r="447" spans="2:8" ht="13.5" customHeight="1" x14ac:dyDescent="0.3">
      <c r="B447" s="225"/>
      <c r="C447" s="186"/>
      <c r="D447" s="186"/>
      <c r="E447" s="186"/>
      <c r="F447" s="234"/>
      <c r="G447" s="495"/>
      <c r="H447" s="495"/>
    </row>
    <row r="448" spans="2:8" ht="13.5" customHeight="1" x14ac:dyDescent="0.3">
      <c r="B448" s="225"/>
      <c r="C448" s="186"/>
      <c r="D448" s="186"/>
      <c r="E448" s="186"/>
      <c r="F448" s="234"/>
      <c r="G448" s="495"/>
      <c r="H448" s="495"/>
    </row>
    <row r="449" spans="2:8" ht="13.5" customHeight="1" x14ac:dyDescent="0.3">
      <c r="B449" s="225"/>
      <c r="C449" s="186"/>
      <c r="D449" s="186"/>
      <c r="E449" s="186"/>
      <c r="F449" s="234"/>
      <c r="G449" s="495"/>
      <c r="H449" s="495"/>
    </row>
    <row r="450" spans="2:8" ht="13.5" customHeight="1" x14ac:dyDescent="0.3">
      <c r="B450" s="225"/>
      <c r="C450" s="186"/>
      <c r="D450" s="186"/>
      <c r="E450" s="186"/>
      <c r="F450" s="234"/>
      <c r="G450" s="495"/>
      <c r="H450" s="495"/>
    </row>
    <row r="451" spans="2:8" ht="13.5" customHeight="1" x14ac:dyDescent="0.3">
      <c r="B451" s="225"/>
      <c r="C451" s="186"/>
      <c r="D451" s="186"/>
      <c r="E451" s="186"/>
      <c r="F451" s="234"/>
      <c r="G451" s="495"/>
      <c r="H451" s="495"/>
    </row>
    <row r="452" spans="2:8" ht="13.5" customHeight="1" x14ac:dyDescent="0.3">
      <c r="B452" s="225"/>
      <c r="C452" s="186"/>
      <c r="D452" s="186"/>
      <c r="E452" s="186"/>
      <c r="F452" s="234"/>
      <c r="G452" s="495"/>
      <c r="H452" s="495"/>
    </row>
    <row r="453" spans="2:8" ht="13.5" customHeight="1" x14ac:dyDescent="0.3">
      <c r="B453" s="225"/>
      <c r="C453" s="186"/>
      <c r="D453" s="186"/>
      <c r="E453" s="186"/>
      <c r="F453" s="234"/>
      <c r="G453" s="495"/>
      <c r="H453" s="495"/>
    </row>
    <row r="454" spans="2:8" ht="13.5" customHeight="1" x14ac:dyDescent="0.3">
      <c r="B454" s="225"/>
      <c r="C454" s="186"/>
      <c r="D454" s="186"/>
      <c r="E454" s="186"/>
      <c r="F454" s="234"/>
      <c r="G454" s="495"/>
      <c r="H454" s="495"/>
    </row>
    <row r="455" spans="2:8" ht="13.5" customHeight="1" x14ac:dyDescent="0.3">
      <c r="B455" s="225"/>
      <c r="C455" s="186"/>
      <c r="D455" s="186"/>
      <c r="E455" s="186"/>
      <c r="F455" s="234"/>
      <c r="G455" s="495"/>
      <c r="H455" s="495"/>
    </row>
    <row r="456" spans="2:8" ht="13.5" customHeight="1" x14ac:dyDescent="0.3">
      <c r="B456" s="225"/>
      <c r="C456" s="186"/>
      <c r="D456" s="186"/>
      <c r="E456" s="186"/>
      <c r="F456" s="234"/>
      <c r="G456" s="495"/>
      <c r="H456" s="495"/>
    </row>
    <row r="457" spans="2:8" ht="13.5" customHeight="1" x14ac:dyDescent="0.3">
      <c r="B457" s="225"/>
      <c r="C457" s="186"/>
      <c r="D457" s="186"/>
      <c r="E457" s="186"/>
      <c r="F457" s="234"/>
      <c r="G457" s="495"/>
      <c r="H457" s="495"/>
    </row>
    <row r="458" spans="2:8" ht="13.5" customHeight="1" x14ac:dyDescent="0.3">
      <c r="B458" s="225"/>
      <c r="C458" s="186"/>
      <c r="D458" s="186"/>
      <c r="E458" s="186"/>
      <c r="F458" s="234"/>
      <c r="G458" s="495"/>
      <c r="H458" s="495"/>
    </row>
    <row r="459" spans="2:8" ht="13.5" customHeight="1" x14ac:dyDescent="0.3">
      <c r="B459" s="225"/>
      <c r="C459" s="186"/>
      <c r="D459" s="186"/>
      <c r="E459" s="186"/>
      <c r="F459" s="234"/>
      <c r="G459" s="495"/>
      <c r="H459" s="495"/>
    </row>
    <row r="460" spans="2:8" ht="13.5" customHeight="1" x14ac:dyDescent="0.3">
      <c r="B460" s="225"/>
      <c r="C460" s="186"/>
      <c r="D460" s="186"/>
      <c r="E460" s="186"/>
      <c r="F460" s="234"/>
      <c r="G460" s="495"/>
      <c r="H460" s="495"/>
    </row>
    <row r="461" spans="2:8" ht="13.5" customHeight="1" x14ac:dyDescent="0.3">
      <c r="B461" s="225"/>
      <c r="C461" s="186"/>
      <c r="D461" s="186"/>
      <c r="E461" s="186"/>
      <c r="F461" s="234"/>
      <c r="G461" s="495"/>
      <c r="H461" s="495"/>
    </row>
    <row r="462" spans="2:8" ht="13.5" customHeight="1" x14ac:dyDescent="0.3">
      <c r="B462" s="225"/>
      <c r="C462" s="186"/>
      <c r="D462" s="186"/>
      <c r="E462" s="186"/>
      <c r="F462" s="234"/>
      <c r="G462" s="495"/>
      <c r="H462" s="495"/>
    </row>
    <row r="463" spans="2:8" ht="13.5" customHeight="1" x14ac:dyDescent="0.3">
      <c r="B463" s="225"/>
      <c r="C463" s="186"/>
      <c r="D463" s="186"/>
      <c r="E463" s="186"/>
      <c r="F463" s="234"/>
      <c r="G463" s="495"/>
      <c r="H463" s="495"/>
    </row>
    <row r="464" spans="2:8" ht="13.5" customHeight="1" x14ac:dyDescent="0.3">
      <c r="B464" s="225"/>
      <c r="C464" s="186"/>
      <c r="D464" s="186"/>
      <c r="E464" s="186"/>
      <c r="F464" s="234"/>
      <c r="G464" s="495"/>
      <c r="H464" s="495"/>
    </row>
    <row r="465" spans="2:8" ht="13.5" customHeight="1" x14ac:dyDescent="0.3">
      <c r="B465" s="225"/>
      <c r="C465" s="186"/>
      <c r="D465" s="186"/>
      <c r="E465" s="186"/>
      <c r="F465" s="234"/>
      <c r="G465" s="495"/>
      <c r="H465" s="495"/>
    </row>
    <row r="466" spans="2:8" ht="13.5" customHeight="1" x14ac:dyDescent="0.3">
      <c r="B466" s="225"/>
      <c r="C466" s="186"/>
      <c r="D466" s="186"/>
      <c r="E466" s="186"/>
      <c r="F466" s="234"/>
      <c r="G466" s="495"/>
      <c r="H466" s="495"/>
    </row>
    <row r="467" spans="2:8" ht="13.5" customHeight="1" x14ac:dyDescent="0.3">
      <c r="B467" s="225"/>
      <c r="C467" s="186"/>
      <c r="D467" s="186"/>
      <c r="E467" s="186"/>
      <c r="F467" s="234"/>
      <c r="G467" s="495"/>
      <c r="H467" s="495"/>
    </row>
    <row r="468" spans="2:8" ht="13.5" customHeight="1" x14ac:dyDescent="0.3">
      <c r="B468" s="225"/>
      <c r="C468" s="186"/>
      <c r="D468" s="186"/>
      <c r="E468" s="186"/>
      <c r="F468" s="234"/>
      <c r="G468" s="495"/>
      <c r="H468" s="495"/>
    </row>
    <row r="469" spans="2:8" ht="13.5" customHeight="1" x14ac:dyDescent="0.3">
      <c r="B469" s="225"/>
      <c r="C469" s="186"/>
      <c r="D469" s="186"/>
      <c r="E469" s="186"/>
      <c r="F469" s="234"/>
      <c r="G469" s="495"/>
      <c r="H469" s="495"/>
    </row>
    <row r="470" spans="2:8" ht="13.5" customHeight="1" x14ac:dyDescent="0.3">
      <c r="B470" s="225"/>
      <c r="C470" s="186"/>
      <c r="D470" s="186"/>
      <c r="E470" s="186"/>
      <c r="F470" s="234"/>
      <c r="G470" s="495"/>
      <c r="H470" s="495"/>
    </row>
    <row r="471" spans="2:8" ht="13.5" customHeight="1" x14ac:dyDescent="0.3">
      <c r="B471" s="225"/>
      <c r="C471" s="186"/>
      <c r="D471" s="186"/>
      <c r="E471" s="186"/>
      <c r="F471" s="234"/>
      <c r="G471" s="495"/>
      <c r="H471" s="495"/>
    </row>
    <row r="472" spans="2:8" ht="13.5" customHeight="1" x14ac:dyDescent="0.3">
      <c r="B472" s="225"/>
      <c r="C472" s="186"/>
      <c r="D472" s="186"/>
      <c r="E472" s="186"/>
      <c r="F472" s="234"/>
      <c r="G472" s="495"/>
      <c r="H472" s="495"/>
    </row>
    <row r="473" spans="2:8" ht="13.5" customHeight="1" x14ac:dyDescent="0.3">
      <c r="B473" s="225"/>
      <c r="C473" s="186"/>
      <c r="D473" s="186"/>
      <c r="E473" s="186"/>
      <c r="F473" s="234"/>
      <c r="G473" s="495"/>
      <c r="H473" s="495"/>
    </row>
    <row r="474" spans="2:8" ht="13.5" customHeight="1" x14ac:dyDescent="0.3">
      <c r="B474" s="225"/>
      <c r="C474" s="186"/>
      <c r="D474" s="186"/>
      <c r="E474" s="186"/>
      <c r="F474" s="234"/>
      <c r="G474" s="495"/>
      <c r="H474" s="495"/>
    </row>
    <row r="475" spans="2:8" ht="13.5" customHeight="1" x14ac:dyDescent="0.3">
      <c r="B475" s="225"/>
      <c r="C475" s="186"/>
      <c r="D475" s="186"/>
      <c r="E475" s="186"/>
      <c r="F475" s="234"/>
      <c r="G475" s="495"/>
      <c r="H475" s="495"/>
    </row>
    <row r="476" spans="2:8" ht="13.5" customHeight="1" x14ac:dyDescent="0.3">
      <c r="B476" s="225"/>
      <c r="C476" s="186"/>
      <c r="D476" s="186"/>
      <c r="E476" s="186"/>
      <c r="F476" s="234"/>
      <c r="G476" s="495"/>
      <c r="H476" s="495"/>
    </row>
    <row r="477" spans="2:8" ht="13.5" customHeight="1" x14ac:dyDescent="0.3">
      <c r="B477" s="225"/>
      <c r="C477" s="186"/>
      <c r="D477" s="186"/>
      <c r="E477" s="186"/>
      <c r="F477" s="234"/>
      <c r="G477" s="495"/>
      <c r="H477" s="495"/>
    </row>
    <row r="478" spans="2:8" ht="13.5" customHeight="1" x14ac:dyDescent="0.3">
      <c r="B478" s="225"/>
      <c r="C478" s="186"/>
      <c r="D478" s="186"/>
      <c r="E478" s="186"/>
      <c r="F478" s="234"/>
      <c r="G478" s="495"/>
      <c r="H478" s="495"/>
    </row>
    <row r="479" spans="2:8" ht="13.5" customHeight="1" x14ac:dyDescent="0.3">
      <c r="B479" s="225"/>
      <c r="C479" s="186"/>
      <c r="D479" s="186"/>
      <c r="E479" s="186"/>
      <c r="F479" s="234"/>
      <c r="G479" s="495"/>
      <c r="H479" s="495"/>
    </row>
    <row r="480" spans="2:8" ht="13.5" customHeight="1" x14ac:dyDescent="0.3">
      <c r="B480" s="225"/>
      <c r="C480" s="186"/>
      <c r="D480" s="186"/>
      <c r="E480" s="186"/>
      <c r="F480" s="234"/>
      <c r="G480" s="495"/>
      <c r="H480" s="495"/>
    </row>
    <row r="481" spans="2:8" ht="13.5" customHeight="1" x14ac:dyDescent="0.3">
      <c r="B481" s="225"/>
      <c r="C481" s="186"/>
      <c r="D481" s="186"/>
      <c r="E481" s="186"/>
      <c r="F481" s="234"/>
      <c r="G481" s="495"/>
      <c r="H481" s="495"/>
    </row>
    <row r="482" spans="2:8" ht="13.5" customHeight="1" x14ac:dyDescent="0.3">
      <c r="B482" s="225"/>
      <c r="C482" s="186"/>
      <c r="D482" s="186"/>
      <c r="E482" s="186"/>
      <c r="F482" s="234"/>
      <c r="G482" s="495"/>
      <c r="H482" s="495"/>
    </row>
    <row r="483" spans="2:8" ht="13.5" customHeight="1" x14ac:dyDescent="0.3">
      <c r="B483" s="225"/>
      <c r="C483" s="186"/>
      <c r="D483" s="186"/>
      <c r="E483" s="186"/>
      <c r="F483" s="234"/>
      <c r="G483" s="495"/>
      <c r="H483" s="495"/>
    </row>
    <row r="484" spans="2:8" ht="13.5" customHeight="1" x14ac:dyDescent="0.3">
      <c r="B484" s="225"/>
      <c r="C484" s="186"/>
      <c r="D484" s="186"/>
      <c r="E484" s="186"/>
      <c r="F484" s="234"/>
      <c r="G484" s="495"/>
      <c r="H484" s="495"/>
    </row>
    <row r="485" spans="2:8" ht="13.5" customHeight="1" x14ac:dyDescent="0.3">
      <c r="B485" s="225"/>
      <c r="C485" s="186"/>
      <c r="D485" s="186"/>
      <c r="E485" s="186"/>
      <c r="F485" s="234"/>
      <c r="G485" s="495"/>
      <c r="H485" s="495"/>
    </row>
    <row r="486" spans="2:8" ht="13.5" customHeight="1" x14ac:dyDescent="0.3">
      <c r="B486" s="225"/>
      <c r="C486" s="186"/>
      <c r="D486" s="186"/>
      <c r="E486" s="186"/>
      <c r="F486" s="234"/>
      <c r="G486" s="495"/>
      <c r="H486" s="495"/>
    </row>
    <row r="487" spans="2:8" ht="13.5" customHeight="1" x14ac:dyDescent="0.3">
      <c r="B487" s="225"/>
      <c r="C487" s="186"/>
      <c r="D487" s="186"/>
      <c r="E487" s="186"/>
      <c r="F487" s="234"/>
      <c r="G487" s="495"/>
      <c r="H487" s="495"/>
    </row>
    <row r="488" spans="2:8" ht="13.5" customHeight="1" x14ac:dyDescent="0.3">
      <c r="B488" s="225"/>
      <c r="C488" s="186"/>
      <c r="D488" s="186"/>
      <c r="E488" s="186"/>
      <c r="F488" s="234"/>
      <c r="G488" s="495"/>
      <c r="H488" s="495"/>
    </row>
    <row r="489" spans="2:8" ht="13.5" customHeight="1" x14ac:dyDescent="0.3">
      <c r="B489" s="225"/>
      <c r="C489" s="186"/>
      <c r="D489" s="186"/>
      <c r="E489" s="186"/>
      <c r="F489" s="234"/>
      <c r="G489" s="495"/>
      <c r="H489" s="495"/>
    </row>
    <row r="490" spans="2:8" ht="13.5" customHeight="1" x14ac:dyDescent="0.3">
      <c r="B490" s="225"/>
      <c r="C490" s="186"/>
      <c r="D490" s="186"/>
      <c r="E490" s="186"/>
      <c r="F490" s="234"/>
      <c r="G490" s="495"/>
      <c r="H490" s="495"/>
    </row>
    <row r="491" spans="2:8" ht="13.5" customHeight="1" x14ac:dyDescent="0.3">
      <c r="B491" s="225"/>
      <c r="C491" s="186"/>
      <c r="D491" s="186"/>
      <c r="E491" s="186"/>
      <c r="F491" s="234"/>
      <c r="G491" s="495"/>
      <c r="H491" s="495"/>
    </row>
    <row r="492" spans="2:8" ht="13.5" customHeight="1" x14ac:dyDescent="0.3">
      <c r="B492" s="225"/>
      <c r="C492" s="186"/>
      <c r="D492" s="186"/>
      <c r="E492" s="186"/>
      <c r="F492" s="234"/>
      <c r="G492" s="495"/>
      <c r="H492" s="495"/>
    </row>
    <row r="493" spans="2:8" ht="13.5" customHeight="1" x14ac:dyDescent="0.3">
      <c r="B493" s="225"/>
      <c r="C493" s="186"/>
      <c r="D493" s="186"/>
      <c r="E493" s="186"/>
      <c r="F493" s="234"/>
      <c r="G493" s="495"/>
      <c r="H493" s="495"/>
    </row>
    <row r="494" spans="2:8" ht="13.5" customHeight="1" x14ac:dyDescent="0.3">
      <c r="B494" s="225"/>
      <c r="C494" s="186"/>
      <c r="D494" s="186"/>
      <c r="E494" s="186"/>
      <c r="F494" s="234"/>
      <c r="G494" s="495"/>
      <c r="H494" s="495"/>
    </row>
    <row r="495" spans="2:8" ht="13.5" customHeight="1" x14ac:dyDescent="0.3">
      <c r="B495" s="225"/>
      <c r="C495" s="186"/>
      <c r="D495" s="186"/>
      <c r="E495" s="186"/>
      <c r="F495" s="234"/>
      <c r="G495" s="495"/>
      <c r="H495" s="495"/>
    </row>
    <row r="496" spans="2:8" ht="13.5" customHeight="1" x14ac:dyDescent="0.3">
      <c r="B496" s="225"/>
      <c r="C496" s="186"/>
      <c r="D496" s="186"/>
      <c r="E496" s="186"/>
      <c r="F496" s="234"/>
      <c r="G496" s="495"/>
      <c r="H496" s="495"/>
    </row>
    <row r="497" spans="2:8" ht="13.5" customHeight="1" x14ac:dyDescent="0.3">
      <c r="B497" s="225"/>
      <c r="C497" s="186"/>
      <c r="D497" s="186"/>
      <c r="E497" s="186"/>
      <c r="F497" s="234"/>
      <c r="G497" s="495"/>
      <c r="H497" s="495"/>
    </row>
    <row r="498" spans="2:8" ht="13.5" customHeight="1" x14ac:dyDescent="0.3">
      <c r="B498" s="225"/>
      <c r="C498" s="186"/>
      <c r="D498" s="186"/>
      <c r="E498" s="186"/>
      <c r="F498" s="234"/>
      <c r="G498" s="495"/>
      <c r="H498" s="495"/>
    </row>
    <row r="499" spans="2:8" ht="13.5" customHeight="1" x14ac:dyDescent="0.3">
      <c r="B499" s="225"/>
      <c r="C499" s="186"/>
      <c r="D499" s="186"/>
      <c r="E499" s="186"/>
      <c r="F499" s="234"/>
      <c r="G499" s="495"/>
      <c r="H499" s="495"/>
    </row>
    <row r="500" spans="2:8" ht="13.5" customHeight="1" x14ac:dyDescent="0.3">
      <c r="B500" s="225"/>
      <c r="C500" s="186"/>
      <c r="D500" s="186"/>
      <c r="E500" s="186"/>
      <c r="F500" s="234"/>
      <c r="G500" s="495"/>
      <c r="H500" s="495"/>
    </row>
    <row r="501" spans="2:8" ht="13.5" customHeight="1" x14ac:dyDescent="0.3">
      <c r="B501" s="225"/>
      <c r="C501" s="186"/>
      <c r="D501" s="186"/>
      <c r="E501" s="186"/>
      <c r="F501" s="234"/>
      <c r="G501" s="495"/>
      <c r="H501" s="495"/>
    </row>
    <row r="502" spans="2:8" ht="13.5" customHeight="1" x14ac:dyDescent="0.3">
      <c r="B502" s="225"/>
      <c r="C502" s="186"/>
      <c r="D502" s="186"/>
      <c r="E502" s="186"/>
      <c r="F502" s="234"/>
      <c r="G502" s="495"/>
      <c r="H502" s="495"/>
    </row>
    <row r="503" spans="2:8" ht="13.5" customHeight="1" x14ac:dyDescent="0.3">
      <c r="B503" s="225"/>
      <c r="C503" s="186"/>
      <c r="D503" s="186"/>
      <c r="E503" s="186"/>
      <c r="F503" s="234"/>
      <c r="G503" s="495"/>
      <c r="H503" s="495"/>
    </row>
    <row r="504" spans="2:8" ht="13.5" customHeight="1" x14ac:dyDescent="0.3">
      <c r="B504" s="225"/>
      <c r="C504" s="186"/>
      <c r="D504" s="186"/>
      <c r="E504" s="186"/>
      <c r="F504" s="234"/>
      <c r="G504" s="495"/>
      <c r="H504" s="495"/>
    </row>
    <row r="505" spans="2:8" ht="13.5" customHeight="1" x14ac:dyDescent="0.3">
      <c r="B505" s="225"/>
      <c r="C505" s="186"/>
      <c r="D505" s="186"/>
      <c r="E505" s="186"/>
      <c r="F505" s="234"/>
      <c r="G505" s="495"/>
      <c r="H505" s="495"/>
    </row>
    <row r="506" spans="2:8" ht="13.5" customHeight="1" x14ac:dyDescent="0.3">
      <c r="B506" s="225"/>
      <c r="C506" s="186"/>
      <c r="D506" s="186"/>
      <c r="E506" s="186"/>
      <c r="F506" s="234"/>
      <c r="G506" s="495"/>
      <c r="H506" s="495"/>
    </row>
    <row r="507" spans="2:8" ht="13.5" customHeight="1" x14ac:dyDescent="0.3">
      <c r="B507" s="225"/>
      <c r="C507" s="186"/>
      <c r="D507" s="186"/>
      <c r="E507" s="186"/>
      <c r="F507" s="234"/>
      <c r="G507" s="495"/>
      <c r="H507" s="495"/>
    </row>
    <row r="508" spans="2:8" ht="13.5" customHeight="1" x14ac:dyDescent="0.3">
      <c r="B508" s="225"/>
      <c r="C508" s="186"/>
      <c r="D508" s="186"/>
      <c r="E508" s="186"/>
      <c r="F508" s="234"/>
      <c r="G508" s="495"/>
      <c r="H508" s="495"/>
    </row>
    <row r="509" spans="2:8" ht="13.5" customHeight="1" x14ac:dyDescent="0.3">
      <c r="B509" s="225"/>
      <c r="C509" s="186"/>
      <c r="D509" s="186"/>
      <c r="E509" s="186"/>
      <c r="F509" s="234"/>
      <c r="G509" s="495"/>
      <c r="H509" s="495"/>
    </row>
    <row r="510" spans="2:8" ht="13.5" customHeight="1" x14ac:dyDescent="0.3">
      <c r="B510" s="225"/>
      <c r="C510" s="186"/>
      <c r="D510" s="186"/>
      <c r="E510" s="186"/>
      <c r="F510" s="234"/>
      <c r="G510" s="495"/>
      <c r="H510" s="495"/>
    </row>
    <row r="511" spans="2:8" ht="13.5" customHeight="1" x14ac:dyDescent="0.3">
      <c r="B511" s="225"/>
      <c r="C511" s="186"/>
      <c r="D511" s="186"/>
      <c r="E511" s="186"/>
      <c r="F511" s="234"/>
      <c r="G511" s="495"/>
      <c r="H511" s="495"/>
    </row>
    <row r="512" spans="2:8" ht="13.5" customHeight="1" x14ac:dyDescent="0.3">
      <c r="B512" s="225"/>
      <c r="C512" s="186"/>
      <c r="D512" s="186"/>
      <c r="E512" s="186"/>
      <c r="F512" s="234"/>
      <c r="G512" s="495"/>
      <c r="H512" s="495"/>
    </row>
    <row r="513" spans="2:8" ht="13.5" customHeight="1" x14ac:dyDescent="0.3">
      <c r="B513" s="225"/>
      <c r="C513" s="186"/>
      <c r="D513" s="186"/>
      <c r="E513" s="186"/>
      <c r="F513" s="234"/>
      <c r="G513" s="495"/>
      <c r="H513" s="495"/>
    </row>
    <row r="514" spans="2:8" ht="13.5" customHeight="1" x14ac:dyDescent="0.3">
      <c r="B514" s="225"/>
      <c r="C514" s="186"/>
      <c r="D514" s="186"/>
      <c r="E514" s="186"/>
      <c r="F514" s="234"/>
      <c r="G514" s="495"/>
      <c r="H514" s="495"/>
    </row>
    <row r="515" spans="2:8" ht="13.5" customHeight="1" x14ac:dyDescent="0.3">
      <c r="B515" s="225"/>
      <c r="C515" s="186"/>
      <c r="D515" s="186"/>
      <c r="E515" s="186"/>
      <c r="F515" s="234"/>
      <c r="G515" s="495"/>
      <c r="H515" s="495"/>
    </row>
    <row r="516" spans="2:8" ht="13.5" customHeight="1" x14ac:dyDescent="0.3">
      <c r="B516" s="225"/>
      <c r="C516" s="186"/>
      <c r="D516" s="186"/>
      <c r="E516" s="186"/>
      <c r="F516" s="234"/>
      <c r="G516" s="495"/>
      <c r="H516" s="495"/>
    </row>
    <row r="517" spans="2:8" ht="13.5" customHeight="1" x14ac:dyDescent="0.3">
      <c r="B517" s="225"/>
      <c r="C517" s="186"/>
      <c r="D517" s="186"/>
      <c r="E517" s="186"/>
      <c r="F517" s="234"/>
      <c r="G517" s="495"/>
      <c r="H517" s="495"/>
    </row>
    <row r="518" spans="2:8" ht="13.5" customHeight="1" x14ac:dyDescent="0.3">
      <c r="B518" s="225"/>
      <c r="C518" s="186"/>
      <c r="D518" s="186"/>
      <c r="E518" s="186"/>
      <c r="F518" s="234"/>
      <c r="G518" s="495"/>
      <c r="H518" s="495"/>
    </row>
    <row r="519" spans="2:8" ht="13.5" customHeight="1" x14ac:dyDescent="0.3">
      <c r="B519" s="225"/>
      <c r="C519" s="186"/>
      <c r="D519" s="186"/>
      <c r="E519" s="186"/>
      <c r="F519" s="234"/>
      <c r="G519" s="495"/>
      <c r="H519" s="495"/>
    </row>
    <row r="520" spans="2:8" ht="13.5" customHeight="1" x14ac:dyDescent="0.3">
      <c r="B520" s="225"/>
      <c r="C520" s="186"/>
      <c r="D520" s="186"/>
      <c r="E520" s="186"/>
      <c r="F520" s="234"/>
      <c r="G520" s="495"/>
      <c r="H520" s="495"/>
    </row>
    <row r="521" spans="2:8" ht="13.5" customHeight="1" x14ac:dyDescent="0.3">
      <c r="B521" s="225"/>
      <c r="C521" s="186"/>
      <c r="D521" s="186"/>
      <c r="E521" s="186"/>
      <c r="F521" s="234"/>
      <c r="G521" s="495"/>
      <c r="H521" s="495"/>
    </row>
    <row r="522" spans="2:8" ht="13.5" customHeight="1" x14ac:dyDescent="0.3">
      <c r="B522" s="225"/>
      <c r="C522" s="186"/>
      <c r="D522" s="186"/>
      <c r="E522" s="186"/>
      <c r="F522" s="234"/>
      <c r="G522" s="495"/>
      <c r="H522" s="495"/>
    </row>
    <row r="523" spans="2:8" ht="13.5" customHeight="1" x14ac:dyDescent="0.3">
      <c r="B523" s="225"/>
      <c r="C523" s="186"/>
      <c r="D523" s="186"/>
      <c r="E523" s="186"/>
      <c r="F523" s="234"/>
      <c r="G523" s="495"/>
      <c r="H523" s="495"/>
    </row>
    <row r="524" spans="2:8" ht="13.5" customHeight="1" x14ac:dyDescent="0.3">
      <c r="B524" s="225"/>
      <c r="C524" s="186"/>
      <c r="D524" s="186"/>
      <c r="E524" s="186"/>
      <c r="F524" s="234"/>
      <c r="G524" s="495"/>
      <c r="H524" s="495"/>
    </row>
    <row r="525" spans="2:8" ht="13.5" customHeight="1" x14ac:dyDescent="0.3">
      <c r="B525" s="225"/>
      <c r="C525" s="186"/>
      <c r="D525" s="186"/>
      <c r="E525" s="186"/>
      <c r="F525" s="234"/>
      <c r="G525" s="495"/>
      <c r="H525" s="495"/>
    </row>
    <row r="526" spans="2:8" ht="13.5" customHeight="1" x14ac:dyDescent="0.3">
      <c r="B526" s="225"/>
      <c r="C526" s="186"/>
      <c r="D526" s="186"/>
      <c r="E526" s="186"/>
      <c r="F526" s="234"/>
      <c r="G526" s="495"/>
      <c r="H526" s="495"/>
    </row>
    <row r="527" spans="2:8" ht="13.5" customHeight="1" x14ac:dyDescent="0.3">
      <c r="B527" s="225"/>
      <c r="C527" s="186"/>
      <c r="D527" s="186"/>
      <c r="E527" s="186"/>
      <c r="F527" s="234"/>
      <c r="G527" s="495"/>
      <c r="H527" s="495"/>
    </row>
    <row r="528" spans="2:8" ht="13.5" customHeight="1" x14ac:dyDescent="0.3">
      <c r="B528" s="225"/>
      <c r="C528" s="186"/>
      <c r="D528" s="186"/>
      <c r="E528" s="186"/>
      <c r="F528" s="234"/>
      <c r="G528" s="495"/>
      <c r="H528" s="495"/>
    </row>
    <row r="529" spans="2:8" ht="13.5" customHeight="1" x14ac:dyDescent="0.3">
      <c r="B529" s="225"/>
      <c r="C529" s="186"/>
      <c r="D529" s="186"/>
      <c r="E529" s="186"/>
      <c r="F529" s="234"/>
      <c r="G529" s="495"/>
      <c r="H529" s="495"/>
    </row>
    <row r="530" spans="2:8" ht="13.5" customHeight="1" x14ac:dyDescent="0.3">
      <c r="B530" s="225"/>
      <c r="C530" s="186"/>
      <c r="D530" s="186"/>
      <c r="E530" s="186"/>
      <c r="F530" s="234"/>
      <c r="G530" s="495"/>
      <c r="H530" s="495"/>
    </row>
    <row r="531" spans="2:8" ht="13.5" customHeight="1" x14ac:dyDescent="0.3">
      <c r="B531" s="225"/>
      <c r="C531" s="186"/>
      <c r="D531" s="186"/>
      <c r="E531" s="186"/>
      <c r="F531" s="234"/>
      <c r="G531" s="495"/>
      <c r="H531" s="495"/>
    </row>
    <row r="532" spans="2:8" ht="13.5" customHeight="1" x14ac:dyDescent="0.3">
      <c r="B532" s="225"/>
      <c r="C532" s="186"/>
      <c r="D532" s="186"/>
      <c r="E532" s="186"/>
      <c r="F532" s="234"/>
      <c r="G532" s="495"/>
      <c r="H532" s="495"/>
    </row>
    <row r="533" spans="2:8" ht="13.5" customHeight="1" x14ac:dyDescent="0.3">
      <c r="B533" s="225"/>
      <c r="C533" s="186"/>
      <c r="D533" s="186"/>
      <c r="E533" s="186"/>
      <c r="F533" s="234"/>
      <c r="G533" s="495"/>
      <c r="H533" s="495"/>
    </row>
    <row r="534" spans="2:8" ht="13.5" customHeight="1" x14ac:dyDescent="0.3">
      <c r="B534" s="225"/>
      <c r="C534" s="186"/>
      <c r="D534" s="186"/>
      <c r="E534" s="186"/>
      <c r="F534" s="234"/>
      <c r="G534" s="495"/>
      <c r="H534" s="495"/>
    </row>
    <row r="535" spans="2:8" ht="13.5" customHeight="1" x14ac:dyDescent="0.3">
      <c r="B535" s="225"/>
      <c r="C535" s="186"/>
      <c r="D535" s="186"/>
      <c r="E535" s="186"/>
      <c r="F535" s="234"/>
      <c r="G535" s="495"/>
      <c r="H535" s="495"/>
    </row>
    <row r="536" spans="2:8" ht="13.5" customHeight="1" x14ac:dyDescent="0.3">
      <c r="B536" s="225"/>
      <c r="C536" s="186"/>
      <c r="D536" s="186"/>
      <c r="E536" s="186"/>
      <c r="F536" s="234"/>
      <c r="G536" s="495"/>
      <c r="H536" s="495"/>
    </row>
    <row r="537" spans="2:8" ht="13.5" customHeight="1" x14ac:dyDescent="0.3">
      <c r="B537" s="225"/>
      <c r="C537" s="186"/>
      <c r="D537" s="186"/>
      <c r="E537" s="186"/>
      <c r="F537" s="234"/>
      <c r="G537" s="495"/>
      <c r="H537" s="495"/>
    </row>
    <row r="538" spans="2:8" ht="13.5" customHeight="1" x14ac:dyDescent="0.3">
      <c r="B538" s="225"/>
      <c r="C538" s="186"/>
      <c r="D538" s="186"/>
      <c r="E538" s="186"/>
      <c r="F538" s="234"/>
      <c r="G538" s="495"/>
      <c r="H538" s="495"/>
    </row>
    <row r="539" spans="2:8" ht="13.5" customHeight="1" x14ac:dyDescent="0.3">
      <c r="B539" s="225"/>
      <c r="C539" s="186"/>
      <c r="D539" s="186"/>
      <c r="E539" s="186"/>
      <c r="F539" s="234"/>
      <c r="G539" s="495"/>
      <c r="H539" s="495"/>
    </row>
    <row r="540" spans="2:8" ht="13.5" customHeight="1" x14ac:dyDescent="0.3">
      <c r="B540" s="225"/>
      <c r="C540" s="186"/>
      <c r="D540" s="186"/>
      <c r="E540" s="186"/>
      <c r="F540" s="234"/>
      <c r="G540" s="495"/>
      <c r="H540" s="495"/>
    </row>
    <row r="541" spans="2:8" ht="13.5" customHeight="1" x14ac:dyDescent="0.3">
      <c r="B541" s="225"/>
      <c r="C541" s="186"/>
      <c r="D541" s="186"/>
      <c r="E541" s="186"/>
      <c r="F541" s="234"/>
      <c r="G541" s="495"/>
      <c r="H541" s="495"/>
    </row>
    <row r="542" spans="2:8" ht="13.5" customHeight="1" x14ac:dyDescent="0.3">
      <c r="B542" s="225"/>
      <c r="C542" s="186"/>
      <c r="D542" s="186"/>
      <c r="E542" s="186"/>
      <c r="F542" s="234"/>
      <c r="G542" s="495"/>
      <c r="H542" s="495"/>
    </row>
    <row r="543" spans="2:8" ht="13.5" customHeight="1" x14ac:dyDescent="0.3">
      <c r="B543" s="225"/>
      <c r="C543" s="186"/>
      <c r="D543" s="186"/>
      <c r="E543" s="186"/>
      <c r="F543" s="234"/>
      <c r="G543" s="495"/>
      <c r="H543" s="495"/>
    </row>
    <row r="544" spans="2:8" ht="13.5" customHeight="1" x14ac:dyDescent="0.3">
      <c r="B544" s="225"/>
      <c r="C544" s="186"/>
      <c r="D544" s="186"/>
      <c r="E544" s="186"/>
      <c r="F544" s="234"/>
      <c r="G544" s="495"/>
      <c r="H544" s="495"/>
    </row>
    <row r="545" spans="2:8" ht="13.5" customHeight="1" x14ac:dyDescent="0.3">
      <c r="B545" s="225"/>
      <c r="C545" s="186"/>
      <c r="D545" s="186"/>
      <c r="E545" s="186"/>
      <c r="F545" s="234"/>
      <c r="G545" s="495"/>
      <c r="H545" s="495"/>
    </row>
    <row r="546" spans="2:8" ht="13.5" customHeight="1" x14ac:dyDescent="0.3">
      <c r="B546" s="225"/>
      <c r="C546" s="186"/>
      <c r="D546" s="186"/>
      <c r="E546" s="186"/>
      <c r="F546" s="234"/>
      <c r="G546" s="495"/>
      <c r="H546" s="495"/>
    </row>
    <row r="547" spans="2:8" ht="13.5" customHeight="1" x14ac:dyDescent="0.3">
      <c r="B547" s="225"/>
      <c r="C547" s="186"/>
      <c r="D547" s="186"/>
      <c r="E547" s="186"/>
      <c r="F547" s="234"/>
      <c r="G547" s="495"/>
      <c r="H547" s="495"/>
    </row>
    <row r="548" spans="2:8" ht="13.5" customHeight="1" x14ac:dyDescent="0.3">
      <c r="B548" s="225"/>
      <c r="C548" s="186"/>
      <c r="D548" s="186"/>
      <c r="E548" s="186"/>
      <c r="F548" s="234"/>
      <c r="G548" s="495"/>
      <c r="H548" s="495"/>
    </row>
    <row r="549" spans="2:8" ht="13.5" customHeight="1" x14ac:dyDescent="0.3">
      <c r="B549" s="225"/>
      <c r="C549" s="186"/>
      <c r="D549" s="186"/>
      <c r="E549" s="186"/>
      <c r="F549" s="234"/>
      <c r="G549" s="495"/>
      <c r="H549" s="495"/>
    </row>
    <row r="550" spans="2:8" ht="13.5" customHeight="1" x14ac:dyDescent="0.3">
      <c r="B550" s="225"/>
      <c r="C550" s="186"/>
      <c r="D550" s="186"/>
      <c r="E550" s="186"/>
      <c r="F550" s="234"/>
      <c r="G550" s="495"/>
      <c r="H550" s="495"/>
    </row>
    <row r="551" spans="2:8" ht="13.5" customHeight="1" x14ac:dyDescent="0.3">
      <c r="B551" s="225"/>
      <c r="C551" s="186"/>
      <c r="D551" s="186"/>
      <c r="E551" s="186"/>
      <c r="F551" s="234"/>
      <c r="G551" s="495"/>
      <c r="H551" s="495"/>
    </row>
    <row r="552" spans="2:8" ht="13.5" customHeight="1" x14ac:dyDescent="0.3">
      <c r="B552" s="225"/>
      <c r="C552" s="186"/>
      <c r="D552" s="186"/>
      <c r="E552" s="186"/>
      <c r="F552" s="234"/>
      <c r="G552" s="495"/>
      <c r="H552" s="495"/>
    </row>
    <row r="553" spans="2:8" ht="13.5" customHeight="1" x14ac:dyDescent="0.3">
      <c r="B553" s="225"/>
      <c r="C553" s="186"/>
      <c r="D553" s="186"/>
      <c r="E553" s="186"/>
      <c r="F553" s="234"/>
      <c r="G553" s="495"/>
      <c r="H553" s="495"/>
    </row>
    <row r="554" spans="2:8" ht="13.5" customHeight="1" x14ac:dyDescent="0.3">
      <c r="B554" s="225"/>
      <c r="C554" s="186"/>
      <c r="D554" s="186"/>
      <c r="E554" s="186"/>
      <c r="F554" s="234"/>
      <c r="G554" s="495"/>
      <c r="H554" s="495"/>
    </row>
    <row r="555" spans="2:8" ht="13.5" customHeight="1" x14ac:dyDescent="0.3">
      <c r="B555" s="225"/>
      <c r="C555" s="186"/>
      <c r="D555" s="186"/>
      <c r="E555" s="186"/>
      <c r="F555" s="234"/>
      <c r="G555" s="495"/>
      <c r="H555" s="495"/>
    </row>
    <row r="556" spans="2:8" ht="13.5" customHeight="1" x14ac:dyDescent="0.3">
      <c r="B556" s="225"/>
      <c r="C556" s="186"/>
      <c r="D556" s="186"/>
      <c r="E556" s="186"/>
      <c r="F556" s="234"/>
      <c r="G556" s="495"/>
      <c r="H556" s="495"/>
    </row>
    <row r="557" spans="2:8" ht="13.5" customHeight="1" x14ac:dyDescent="0.3">
      <c r="B557" s="225"/>
      <c r="C557" s="186"/>
      <c r="D557" s="186"/>
      <c r="E557" s="186"/>
      <c r="F557" s="234"/>
      <c r="G557" s="495"/>
      <c r="H557" s="495"/>
    </row>
    <row r="558" spans="2:8" ht="13.5" customHeight="1" x14ac:dyDescent="0.3">
      <c r="B558" s="225"/>
      <c r="C558" s="186"/>
      <c r="D558" s="186"/>
      <c r="E558" s="186"/>
      <c r="F558" s="234"/>
      <c r="G558" s="495"/>
      <c r="H558" s="495"/>
    </row>
    <row r="559" spans="2:8" ht="13.5" customHeight="1" x14ac:dyDescent="0.3">
      <c r="B559" s="225"/>
      <c r="C559" s="186"/>
      <c r="D559" s="186"/>
      <c r="E559" s="186"/>
      <c r="F559" s="234"/>
      <c r="G559" s="495"/>
      <c r="H559" s="495"/>
    </row>
    <row r="560" spans="2:8" ht="13.5" customHeight="1" x14ac:dyDescent="0.3">
      <c r="B560" s="225"/>
      <c r="C560" s="186"/>
      <c r="D560" s="186"/>
      <c r="E560" s="186"/>
      <c r="F560" s="234"/>
      <c r="G560" s="495"/>
      <c r="H560" s="495"/>
    </row>
    <row r="561" spans="2:8" ht="13.5" customHeight="1" x14ac:dyDescent="0.3">
      <c r="B561" s="225"/>
      <c r="C561" s="186"/>
      <c r="D561" s="186"/>
      <c r="E561" s="186"/>
      <c r="F561" s="234"/>
      <c r="G561" s="495"/>
      <c r="H561" s="495"/>
    </row>
    <row r="562" spans="2:8" ht="13.5" customHeight="1" x14ac:dyDescent="0.3">
      <c r="B562" s="225"/>
      <c r="C562" s="186"/>
      <c r="D562" s="186"/>
      <c r="E562" s="186"/>
      <c r="F562" s="234"/>
      <c r="G562" s="495"/>
      <c r="H562" s="495"/>
    </row>
    <row r="563" spans="2:8" ht="13.5" customHeight="1" x14ac:dyDescent="0.3">
      <c r="B563" s="225"/>
      <c r="C563" s="186"/>
      <c r="D563" s="186"/>
      <c r="E563" s="186"/>
      <c r="F563" s="234"/>
      <c r="G563" s="495"/>
      <c r="H563" s="495"/>
    </row>
    <row r="564" spans="2:8" ht="13.5" customHeight="1" x14ac:dyDescent="0.3">
      <c r="B564" s="225"/>
      <c r="C564" s="186"/>
      <c r="D564" s="186"/>
      <c r="E564" s="186"/>
      <c r="F564" s="234"/>
      <c r="G564" s="495"/>
      <c r="H564" s="495"/>
    </row>
    <row r="565" spans="2:8" ht="13.5" customHeight="1" x14ac:dyDescent="0.3">
      <c r="B565" s="225"/>
      <c r="C565" s="186"/>
      <c r="D565" s="186"/>
      <c r="E565" s="186"/>
      <c r="F565" s="234"/>
      <c r="G565" s="495"/>
      <c r="H565" s="495"/>
    </row>
    <row r="566" spans="2:8" ht="13.5" customHeight="1" x14ac:dyDescent="0.3">
      <c r="B566" s="225"/>
      <c r="C566" s="186"/>
      <c r="D566" s="186"/>
      <c r="E566" s="186"/>
      <c r="F566" s="234"/>
      <c r="G566" s="495"/>
      <c r="H566" s="495"/>
    </row>
    <row r="567" spans="2:8" ht="13.5" customHeight="1" x14ac:dyDescent="0.3">
      <c r="B567" s="225"/>
      <c r="C567" s="186"/>
      <c r="D567" s="186"/>
      <c r="E567" s="186"/>
      <c r="F567" s="234"/>
      <c r="G567" s="495"/>
      <c r="H567" s="495"/>
    </row>
    <row r="568" spans="2:8" ht="13.5" customHeight="1" x14ac:dyDescent="0.3">
      <c r="B568" s="225"/>
      <c r="C568" s="186"/>
      <c r="D568" s="186"/>
      <c r="E568" s="186"/>
      <c r="F568" s="234"/>
      <c r="G568" s="495"/>
      <c r="H568" s="495"/>
    </row>
    <row r="569" spans="2:8" ht="13.5" customHeight="1" x14ac:dyDescent="0.3">
      <c r="B569" s="225"/>
      <c r="C569" s="186"/>
      <c r="D569" s="186"/>
      <c r="E569" s="186"/>
      <c r="F569" s="234"/>
      <c r="G569" s="495"/>
      <c r="H569" s="495"/>
    </row>
    <row r="570" spans="2:8" ht="13.5" customHeight="1" x14ac:dyDescent="0.3">
      <c r="B570" s="225"/>
      <c r="C570" s="186"/>
      <c r="D570" s="186"/>
      <c r="E570" s="186"/>
      <c r="F570" s="234"/>
      <c r="G570" s="495"/>
      <c r="H570" s="495"/>
    </row>
    <row r="571" spans="2:8" ht="13.5" customHeight="1" x14ac:dyDescent="0.3">
      <c r="B571" s="225"/>
      <c r="C571" s="186"/>
      <c r="D571" s="186"/>
      <c r="E571" s="186"/>
      <c r="F571" s="234"/>
      <c r="G571" s="495"/>
      <c r="H571" s="495"/>
    </row>
    <row r="572" spans="2:8" ht="13.5" customHeight="1" x14ac:dyDescent="0.3">
      <c r="B572" s="225"/>
      <c r="C572" s="186"/>
      <c r="D572" s="186"/>
      <c r="E572" s="186"/>
      <c r="F572" s="234"/>
      <c r="G572" s="495"/>
      <c r="H572" s="495"/>
    </row>
    <row r="573" spans="2:8" ht="13.5" customHeight="1" x14ac:dyDescent="0.3">
      <c r="B573" s="225"/>
      <c r="C573" s="186"/>
      <c r="D573" s="186"/>
      <c r="E573" s="186"/>
      <c r="F573" s="234"/>
      <c r="G573" s="495"/>
      <c r="H573" s="495"/>
    </row>
    <row r="574" spans="2:8" ht="13.5" customHeight="1" x14ac:dyDescent="0.3">
      <c r="B574" s="225"/>
      <c r="C574" s="186"/>
      <c r="D574" s="186"/>
      <c r="E574" s="186"/>
      <c r="F574" s="234"/>
      <c r="G574" s="495"/>
      <c r="H574" s="495"/>
    </row>
    <row r="575" spans="2:8" ht="13.5" customHeight="1" x14ac:dyDescent="0.3">
      <c r="B575" s="225"/>
      <c r="C575" s="186"/>
      <c r="D575" s="186"/>
      <c r="E575" s="186"/>
      <c r="F575" s="234"/>
      <c r="G575" s="495"/>
      <c r="H575" s="495"/>
    </row>
    <row r="576" spans="2:8" ht="13.5" customHeight="1" x14ac:dyDescent="0.3">
      <c r="B576" s="225"/>
      <c r="C576" s="186"/>
      <c r="D576" s="186"/>
      <c r="E576" s="186"/>
      <c r="F576" s="234"/>
      <c r="G576" s="495"/>
      <c r="H576" s="495"/>
    </row>
    <row r="577" spans="2:8" ht="13.5" customHeight="1" x14ac:dyDescent="0.3">
      <c r="B577" s="225"/>
      <c r="C577" s="186"/>
      <c r="D577" s="186"/>
      <c r="E577" s="186"/>
      <c r="F577" s="234"/>
      <c r="G577" s="495"/>
      <c r="H577" s="495"/>
    </row>
    <row r="578" spans="2:8" ht="13.5" customHeight="1" x14ac:dyDescent="0.3">
      <c r="B578" s="225"/>
      <c r="C578" s="186"/>
      <c r="D578" s="186"/>
      <c r="E578" s="186"/>
      <c r="F578" s="234"/>
      <c r="G578" s="495"/>
      <c r="H578" s="495"/>
    </row>
    <row r="579" spans="2:8" ht="13.5" customHeight="1" x14ac:dyDescent="0.3">
      <c r="B579" s="225"/>
      <c r="C579" s="186"/>
      <c r="D579" s="186"/>
      <c r="E579" s="186"/>
      <c r="F579" s="234"/>
      <c r="G579" s="495"/>
      <c r="H579" s="495"/>
    </row>
    <row r="580" spans="2:8" ht="13.5" customHeight="1" x14ac:dyDescent="0.3">
      <c r="B580" s="225"/>
      <c r="C580" s="186"/>
      <c r="D580" s="186"/>
      <c r="E580" s="186"/>
      <c r="F580" s="234"/>
      <c r="G580" s="495"/>
      <c r="H580" s="495"/>
    </row>
    <row r="581" spans="2:8" ht="13.5" customHeight="1" x14ac:dyDescent="0.3">
      <c r="B581" s="225"/>
      <c r="C581" s="186"/>
      <c r="D581" s="186"/>
      <c r="E581" s="186"/>
      <c r="F581" s="234"/>
      <c r="G581" s="495"/>
      <c r="H581" s="495"/>
    </row>
    <row r="582" spans="2:8" ht="13.5" customHeight="1" x14ac:dyDescent="0.3">
      <c r="B582" s="225"/>
      <c r="C582" s="186"/>
      <c r="D582" s="186"/>
      <c r="E582" s="186"/>
      <c r="F582" s="234"/>
      <c r="G582" s="495"/>
      <c r="H582" s="495"/>
    </row>
    <row r="583" spans="2:8" ht="13.5" customHeight="1" x14ac:dyDescent="0.3">
      <c r="B583" s="225"/>
      <c r="C583" s="186"/>
      <c r="D583" s="186"/>
      <c r="E583" s="186"/>
      <c r="F583" s="234"/>
      <c r="G583" s="495"/>
      <c r="H583" s="495"/>
    </row>
    <row r="584" spans="2:8" ht="13.5" customHeight="1" x14ac:dyDescent="0.3">
      <c r="B584" s="225"/>
      <c r="C584" s="186"/>
      <c r="D584" s="186"/>
      <c r="E584" s="186"/>
      <c r="F584" s="234"/>
      <c r="G584" s="495"/>
      <c r="H584" s="495"/>
    </row>
    <row r="585" spans="2:8" ht="13.5" customHeight="1" x14ac:dyDescent="0.3">
      <c r="B585" s="225"/>
      <c r="C585" s="186"/>
      <c r="D585" s="186"/>
      <c r="E585" s="186"/>
      <c r="F585" s="234"/>
      <c r="G585" s="495"/>
      <c r="H585" s="495"/>
    </row>
    <row r="586" spans="2:8" ht="13.5" customHeight="1" x14ac:dyDescent="0.3">
      <c r="B586" s="225"/>
      <c r="C586" s="186"/>
      <c r="D586" s="186"/>
      <c r="E586" s="186"/>
      <c r="F586" s="234"/>
      <c r="G586" s="495"/>
      <c r="H586" s="495"/>
    </row>
    <row r="587" spans="2:8" ht="13.5" customHeight="1" x14ac:dyDescent="0.3">
      <c r="B587" s="225"/>
      <c r="C587" s="186"/>
      <c r="D587" s="186"/>
      <c r="E587" s="186"/>
      <c r="F587" s="234"/>
      <c r="G587" s="495"/>
      <c r="H587" s="495"/>
    </row>
    <row r="588" spans="2:8" ht="13.5" customHeight="1" x14ac:dyDescent="0.3">
      <c r="B588" s="225"/>
      <c r="C588" s="186"/>
      <c r="D588" s="186"/>
      <c r="E588" s="186"/>
      <c r="F588" s="234"/>
      <c r="G588" s="495"/>
      <c r="H588" s="495"/>
    </row>
    <row r="589" spans="2:8" ht="13.5" customHeight="1" x14ac:dyDescent="0.3">
      <c r="B589" s="225"/>
      <c r="C589" s="186"/>
      <c r="D589" s="186"/>
      <c r="E589" s="186"/>
      <c r="F589" s="234"/>
      <c r="G589" s="495"/>
      <c r="H589" s="495"/>
    </row>
    <row r="590" spans="2:8" ht="13.5" customHeight="1" x14ac:dyDescent="0.3">
      <c r="B590" s="225"/>
      <c r="C590" s="186"/>
      <c r="D590" s="186"/>
      <c r="E590" s="186"/>
      <c r="F590" s="234"/>
      <c r="G590" s="495"/>
      <c r="H590" s="495"/>
    </row>
    <row r="591" spans="2:8" ht="13.5" customHeight="1" x14ac:dyDescent="0.3">
      <c r="B591" s="225"/>
      <c r="C591" s="186"/>
      <c r="D591" s="186"/>
      <c r="E591" s="186"/>
      <c r="F591" s="234"/>
      <c r="G591" s="495"/>
      <c r="H591" s="495"/>
    </row>
    <row r="592" spans="2:8" ht="13.5" customHeight="1" x14ac:dyDescent="0.3">
      <c r="B592" s="225"/>
      <c r="C592" s="186"/>
      <c r="D592" s="186"/>
      <c r="E592" s="186"/>
      <c r="F592" s="234"/>
      <c r="G592" s="495"/>
      <c r="H592" s="495"/>
    </row>
    <row r="593" spans="2:8" ht="13.5" customHeight="1" x14ac:dyDescent="0.3">
      <c r="B593" s="225"/>
      <c r="C593" s="186"/>
      <c r="D593" s="186"/>
      <c r="E593" s="186"/>
      <c r="F593" s="234"/>
      <c r="G593" s="495"/>
      <c r="H593" s="495"/>
    </row>
    <row r="594" spans="2:8" ht="13.5" customHeight="1" x14ac:dyDescent="0.3">
      <c r="B594" s="225"/>
      <c r="C594" s="186"/>
      <c r="D594" s="186"/>
      <c r="E594" s="186"/>
      <c r="F594" s="234"/>
      <c r="G594" s="495"/>
      <c r="H594" s="495"/>
    </row>
    <row r="595" spans="2:8" ht="13.5" customHeight="1" x14ac:dyDescent="0.3">
      <c r="B595" s="225"/>
      <c r="C595" s="186"/>
      <c r="D595" s="186"/>
      <c r="E595" s="186"/>
      <c r="F595" s="234"/>
      <c r="G595" s="495"/>
      <c r="H595" s="495"/>
    </row>
    <row r="596" spans="2:8" ht="13.5" customHeight="1" x14ac:dyDescent="0.3">
      <c r="B596" s="225"/>
      <c r="C596" s="186"/>
      <c r="D596" s="186"/>
      <c r="E596" s="186"/>
      <c r="F596" s="234"/>
      <c r="G596" s="495"/>
      <c r="H596" s="495"/>
    </row>
    <row r="597" spans="2:8" ht="13.5" customHeight="1" x14ac:dyDescent="0.3">
      <c r="B597" s="225"/>
      <c r="C597" s="186"/>
      <c r="D597" s="186"/>
      <c r="E597" s="186"/>
      <c r="F597" s="234"/>
      <c r="G597" s="495"/>
      <c r="H597" s="495"/>
    </row>
    <row r="598" spans="2:8" ht="13.5" customHeight="1" x14ac:dyDescent="0.3">
      <c r="B598" s="225"/>
      <c r="C598" s="186"/>
      <c r="D598" s="186"/>
      <c r="E598" s="186"/>
      <c r="F598" s="234"/>
      <c r="G598" s="495"/>
      <c r="H598" s="495"/>
    </row>
    <row r="599" spans="2:8" ht="13.5" customHeight="1" x14ac:dyDescent="0.3">
      <c r="B599" s="225"/>
      <c r="C599" s="186"/>
      <c r="D599" s="186"/>
      <c r="E599" s="186"/>
      <c r="F599" s="234"/>
      <c r="G599" s="495"/>
      <c r="H599" s="495"/>
    </row>
    <row r="600" spans="2:8" ht="13.5" customHeight="1" x14ac:dyDescent="0.3">
      <c r="B600" s="225"/>
      <c r="C600" s="186"/>
      <c r="D600" s="186"/>
      <c r="E600" s="186"/>
      <c r="F600" s="234"/>
      <c r="G600" s="495"/>
      <c r="H600" s="495"/>
    </row>
    <row r="601" spans="2:8" ht="13.5" customHeight="1" x14ac:dyDescent="0.3">
      <c r="B601" s="225"/>
      <c r="C601" s="186"/>
      <c r="D601" s="186"/>
      <c r="E601" s="186"/>
      <c r="F601" s="234"/>
      <c r="G601" s="495"/>
      <c r="H601" s="495"/>
    </row>
    <row r="602" spans="2:8" ht="13.5" customHeight="1" x14ac:dyDescent="0.3">
      <c r="B602" s="225"/>
      <c r="C602" s="186"/>
      <c r="D602" s="186"/>
      <c r="E602" s="186"/>
      <c r="F602" s="234"/>
      <c r="G602" s="495"/>
      <c r="H602" s="495"/>
    </row>
    <row r="603" spans="2:8" ht="13.5" customHeight="1" x14ac:dyDescent="0.3">
      <c r="B603" s="225"/>
      <c r="C603" s="186"/>
      <c r="D603" s="186"/>
      <c r="E603" s="186"/>
      <c r="F603" s="234"/>
      <c r="G603" s="495"/>
      <c r="H603" s="495"/>
    </row>
    <row r="604" spans="2:8" ht="13.5" customHeight="1" x14ac:dyDescent="0.3">
      <c r="B604" s="225"/>
      <c r="C604" s="186"/>
      <c r="D604" s="186"/>
      <c r="E604" s="186"/>
      <c r="F604" s="234"/>
      <c r="G604" s="495"/>
      <c r="H604" s="495"/>
    </row>
    <row r="605" spans="2:8" ht="13.5" customHeight="1" x14ac:dyDescent="0.3">
      <c r="B605" s="225"/>
      <c r="C605" s="186"/>
      <c r="D605" s="186"/>
      <c r="E605" s="186"/>
      <c r="F605" s="234"/>
      <c r="G605" s="495"/>
      <c r="H605" s="495"/>
    </row>
    <row r="606" spans="2:8" ht="13.5" customHeight="1" x14ac:dyDescent="0.3">
      <c r="B606" s="225"/>
      <c r="C606" s="186"/>
      <c r="D606" s="186"/>
      <c r="E606" s="186"/>
      <c r="F606" s="234"/>
      <c r="G606" s="495"/>
      <c r="H606" s="495"/>
    </row>
    <row r="607" spans="2:8" ht="13.5" customHeight="1" x14ac:dyDescent="0.3">
      <c r="B607" s="225"/>
      <c r="C607" s="186"/>
      <c r="D607" s="186"/>
      <c r="E607" s="186"/>
      <c r="F607" s="234"/>
      <c r="G607" s="495"/>
      <c r="H607" s="495"/>
    </row>
    <row r="608" spans="2:8" ht="13.5" customHeight="1" x14ac:dyDescent="0.3">
      <c r="B608" s="225"/>
      <c r="C608" s="186"/>
      <c r="D608" s="186"/>
      <c r="E608" s="186"/>
      <c r="F608" s="234"/>
      <c r="G608" s="495"/>
      <c r="H608" s="495"/>
    </row>
    <row r="609" spans="2:8" ht="13.5" customHeight="1" x14ac:dyDescent="0.3">
      <c r="B609" s="225"/>
      <c r="C609" s="186"/>
      <c r="D609" s="186"/>
      <c r="E609" s="186"/>
      <c r="F609" s="234"/>
      <c r="G609" s="495"/>
      <c r="H609" s="495"/>
    </row>
    <row r="610" spans="2:8" ht="13.5" customHeight="1" x14ac:dyDescent="0.3">
      <c r="B610" s="225"/>
      <c r="C610" s="186"/>
      <c r="D610" s="186"/>
      <c r="E610" s="186"/>
      <c r="F610" s="234"/>
      <c r="G610" s="495"/>
      <c r="H610" s="495"/>
    </row>
    <row r="611" spans="2:8" ht="13.5" customHeight="1" x14ac:dyDescent="0.3">
      <c r="B611" s="225"/>
      <c r="C611" s="186"/>
      <c r="D611" s="186"/>
      <c r="E611" s="186"/>
      <c r="F611" s="234"/>
      <c r="G611" s="495"/>
      <c r="H611" s="495"/>
    </row>
    <row r="612" spans="2:8" ht="13.5" customHeight="1" x14ac:dyDescent="0.3">
      <c r="B612" s="225"/>
      <c r="C612" s="186"/>
      <c r="D612" s="186"/>
      <c r="E612" s="186"/>
      <c r="F612" s="234"/>
      <c r="G612" s="495"/>
      <c r="H612" s="495"/>
    </row>
    <row r="613" spans="2:8" ht="13.5" customHeight="1" x14ac:dyDescent="0.3">
      <c r="B613" s="225"/>
      <c r="C613" s="186"/>
      <c r="D613" s="186"/>
      <c r="E613" s="186"/>
      <c r="F613" s="234"/>
      <c r="G613" s="495"/>
      <c r="H613" s="495"/>
    </row>
    <row r="614" spans="2:8" ht="13.5" customHeight="1" x14ac:dyDescent="0.3">
      <c r="B614" s="225"/>
      <c r="C614" s="186"/>
      <c r="D614" s="186"/>
      <c r="E614" s="186"/>
      <c r="F614" s="234"/>
      <c r="G614" s="495"/>
      <c r="H614" s="495"/>
    </row>
    <row r="615" spans="2:8" ht="13.5" customHeight="1" x14ac:dyDescent="0.3">
      <c r="B615" s="225"/>
      <c r="C615" s="186"/>
      <c r="D615" s="186"/>
      <c r="E615" s="186"/>
      <c r="F615" s="234"/>
      <c r="G615" s="495"/>
      <c r="H615" s="495"/>
    </row>
    <row r="616" spans="2:8" ht="13.5" customHeight="1" x14ac:dyDescent="0.3">
      <c r="B616" s="225"/>
      <c r="C616" s="186"/>
      <c r="D616" s="186"/>
      <c r="E616" s="186"/>
      <c r="F616" s="234"/>
      <c r="G616" s="495"/>
      <c r="H616" s="495"/>
    </row>
    <row r="617" spans="2:8" ht="13.5" customHeight="1" x14ac:dyDescent="0.3">
      <c r="B617" s="225"/>
      <c r="C617" s="186"/>
      <c r="D617" s="186"/>
      <c r="E617" s="186"/>
      <c r="F617" s="234"/>
      <c r="G617" s="495"/>
      <c r="H617" s="495"/>
    </row>
    <row r="618" spans="2:8" ht="13.5" customHeight="1" x14ac:dyDescent="0.3">
      <c r="B618" s="225"/>
      <c r="C618" s="186"/>
      <c r="D618" s="186"/>
      <c r="E618" s="186"/>
      <c r="F618" s="234"/>
      <c r="G618" s="495"/>
      <c r="H618" s="495"/>
    </row>
    <row r="619" spans="2:8" ht="13.5" customHeight="1" x14ac:dyDescent="0.3">
      <c r="B619" s="225"/>
      <c r="C619" s="186"/>
      <c r="D619" s="186"/>
      <c r="E619" s="186"/>
      <c r="F619" s="234"/>
      <c r="G619" s="495"/>
      <c r="H619" s="495"/>
    </row>
    <row r="620" spans="2:8" ht="13.5" customHeight="1" x14ac:dyDescent="0.3">
      <c r="B620" s="225"/>
      <c r="C620" s="186"/>
      <c r="D620" s="186"/>
      <c r="E620" s="186"/>
      <c r="F620" s="234"/>
      <c r="G620" s="495"/>
      <c r="H620" s="495"/>
    </row>
    <row r="621" spans="2:8" ht="13.5" customHeight="1" x14ac:dyDescent="0.3">
      <c r="B621" s="225"/>
      <c r="C621" s="186"/>
      <c r="D621" s="186"/>
      <c r="E621" s="186"/>
      <c r="F621" s="234"/>
      <c r="G621" s="495"/>
      <c r="H621" s="495"/>
    </row>
    <row r="622" spans="2:8" ht="13.5" customHeight="1" x14ac:dyDescent="0.3">
      <c r="B622" s="225"/>
      <c r="C622" s="186"/>
      <c r="D622" s="186"/>
      <c r="E622" s="186"/>
      <c r="F622" s="234"/>
      <c r="G622" s="495"/>
      <c r="H622" s="495"/>
    </row>
    <row r="623" spans="2:8" ht="13.5" customHeight="1" x14ac:dyDescent="0.3">
      <c r="B623" s="225"/>
      <c r="C623" s="186"/>
      <c r="D623" s="186"/>
      <c r="E623" s="186"/>
      <c r="F623" s="234"/>
      <c r="G623" s="495"/>
      <c r="H623" s="495"/>
    </row>
    <row r="624" spans="2:8" ht="13.5" customHeight="1" x14ac:dyDescent="0.3">
      <c r="B624" s="225"/>
      <c r="C624" s="186"/>
      <c r="D624" s="186"/>
      <c r="E624" s="186"/>
      <c r="F624" s="234"/>
      <c r="G624" s="495"/>
      <c r="H624" s="495"/>
    </row>
    <row r="625" spans="2:8" ht="13.5" customHeight="1" x14ac:dyDescent="0.3">
      <c r="B625" s="225"/>
      <c r="C625" s="186"/>
      <c r="D625" s="186"/>
      <c r="E625" s="186"/>
      <c r="F625" s="234"/>
      <c r="G625" s="495"/>
      <c r="H625" s="495"/>
    </row>
    <row r="626" spans="2:8" ht="13.5" customHeight="1" x14ac:dyDescent="0.3">
      <c r="B626" s="225"/>
      <c r="C626" s="186"/>
      <c r="D626" s="186"/>
      <c r="E626" s="186"/>
      <c r="F626" s="234"/>
      <c r="G626" s="495"/>
      <c r="H626" s="495"/>
    </row>
    <row r="627" spans="2:8" ht="13.5" customHeight="1" x14ac:dyDescent="0.3">
      <c r="B627" s="225"/>
      <c r="C627" s="186"/>
      <c r="D627" s="186"/>
      <c r="E627" s="186"/>
      <c r="F627" s="234"/>
      <c r="G627" s="495"/>
      <c r="H627" s="495"/>
    </row>
    <row r="628" spans="2:8" ht="13.5" customHeight="1" x14ac:dyDescent="0.3">
      <c r="B628" s="225"/>
      <c r="C628" s="186"/>
      <c r="D628" s="186"/>
      <c r="E628" s="186"/>
      <c r="F628" s="234"/>
      <c r="G628" s="495"/>
      <c r="H628" s="495"/>
    </row>
    <row r="629" spans="2:8" ht="13.5" customHeight="1" x14ac:dyDescent="0.3">
      <c r="B629" s="225"/>
      <c r="C629" s="186"/>
      <c r="D629" s="186"/>
      <c r="E629" s="186"/>
      <c r="F629" s="234"/>
      <c r="G629" s="495"/>
      <c r="H629" s="495"/>
    </row>
    <row r="630" spans="2:8" ht="13.5" customHeight="1" x14ac:dyDescent="0.3">
      <c r="B630" s="225"/>
      <c r="C630" s="186"/>
      <c r="D630" s="186"/>
      <c r="E630" s="186"/>
      <c r="F630" s="234"/>
      <c r="G630" s="495"/>
      <c r="H630" s="495"/>
    </row>
    <row r="631" spans="2:8" ht="13.5" customHeight="1" x14ac:dyDescent="0.3">
      <c r="B631" s="225"/>
      <c r="C631" s="186"/>
      <c r="D631" s="186"/>
      <c r="E631" s="186"/>
      <c r="F631" s="234"/>
      <c r="G631" s="495"/>
      <c r="H631" s="495"/>
    </row>
    <row r="632" spans="2:8" ht="13.5" customHeight="1" x14ac:dyDescent="0.3">
      <c r="B632" s="225"/>
      <c r="C632" s="186"/>
      <c r="D632" s="186"/>
      <c r="E632" s="186"/>
      <c r="F632" s="234"/>
      <c r="G632" s="495"/>
      <c r="H632" s="495"/>
    </row>
    <row r="633" spans="2:8" ht="13.5" customHeight="1" x14ac:dyDescent="0.3">
      <c r="B633" s="225"/>
      <c r="C633" s="186"/>
      <c r="D633" s="186"/>
      <c r="E633" s="186"/>
      <c r="F633" s="234"/>
      <c r="G633" s="495"/>
      <c r="H633" s="495"/>
    </row>
    <row r="634" spans="2:8" ht="13.5" customHeight="1" x14ac:dyDescent="0.3">
      <c r="B634" s="225"/>
      <c r="C634" s="186"/>
      <c r="D634" s="186"/>
      <c r="E634" s="186"/>
      <c r="F634" s="234"/>
      <c r="G634" s="495"/>
      <c r="H634" s="495"/>
    </row>
    <row r="635" spans="2:8" ht="13.5" customHeight="1" x14ac:dyDescent="0.3">
      <c r="B635" s="225"/>
      <c r="C635" s="186"/>
      <c r="D635" s="186"/>
      <c r="E635" s="186"/>
      <c r="F635" s="234"/>
      <c r="G635" s="495"/>
      <c r="H635" s="495"/>
    </row>
    <row r="636" spans="2:8" ht="13.5" customHeight="1" x14ac:dyDescent="0.3">
      <c r="B636" s="225"/>
      <c r="C636" s="186"/>
      <c r="D636" s="186"/>
      <c r="E636" s="186"/>
      <c r="F636" s="234"/>
      <c r="G636" s="495"/>
      <c r="H636" s="495"/>
    </row>
    <row r="637" spans="2:8" ht="13.5" customHeight="1" x14ac:dyDescent="0.3">
      <c r="B637" s="225"/>
      <c r="C637" s="186"/>
      <c r="D637" s="186"/>
      <c r="E637" s="186"/>
      <c r="F637" s="234"/>
      <c r="G637" s="495"/>
      <c r="H637" s="495"/>
    </row>
    <row r="638" spans="2:8" ht="13.5" customHeight="1" x14ac:dyDescent="0.3">
      <c r="B638" s="225"/>
      <c r="C638" s="186"/>
      <c r="D638" s="186"/>
      <c r="E638" s="186"/>
      <c r="F638" s="234"/>
      <c r="G638" s="495"/>
      <c r="H638" s="495"/>
    </row>
    <row r="639" spans="2:8" ht="13.5" customHeight="1" x14ac:dyDescent="0.3">
      <c r="B639" s="225"/>
      <c r="C639" s="186"/>
      <c r="D639" s="186"/>
      <c r="E639" s="186"/>
      <c r="F639" s="234"/>
      <c r="G639" s="495"/>
      <c r="H639" s="495"/>
    </row>
    <row r="640" spans="2:8" ht="13.5" customHeight="1" x14ac:dyDescent="0.3">
      <c r="B640" s="225"/>
      <c r="C640" s="186"/>
      <c r="D640" s="186"/>
      <c r="E640" s="186"/>
      <c r="F640" s="234"/>
      <c r="G640" s="495"/>
      <c r="H640" s="495"/>
    </row>
    <row r="641" spans="2:8" ht="13.5" customHeight="1" x14ac:dyDescent="0.3">
      <c r="B641" s="225"/>
      <c r="C641" s="186"/>
      <c r="D641" s="186"/>
      <c r="E641" s="186"/>
      <c r="F641" s="234"/>
      <c r="G641" s="495"/>
      <c r="H641" s="495"/>
    </row>
    <row r="642" spans="2:8" ht="13.5" customHeight="1" x14ac:dyDescent="0.3">
      <c r="B642" s="225"/>
      <c r="C642" s="186"/>
      <c r="D642" s="186"/>
      <c r="E642" s="186"/>
      <c r="F642" s="234"/>
      <c r="G642" s="495"/>
      <c r="H642" s="495"/>
    </row>
    <row r="643" spans="2:8" ht="13.5" customHeight="1" x14ac:dyDescent="0.3">
      <c r="B643" s="225"/>
      <c r="C643" s="186"/>
      <c r="D643" s="186"/>
      <c r="E643" s="186"/>
      <c r="F643" s="234"/>
      <c r="G643" s="495"/>
      <c r="H643" s="495"/>
    </row>
    <row r="644" spans="2:8" ht="13.5" customHeight="1" x14ac:dyDescent="0.3">
      <c r="B644" s="225"/>
      <c r="C644" s="186"/>
      <c r="D644" s="186"/>
      <c r="E644" s="186"/>
      <c r="F644" s="234"/>
      <c r="G644" s="495"/>
      <c r="H644" s="495"/>
    </row>
    <row r="645" spans="2:8" ht="13.5" customHeight="1" x14ac:dyDescent="0.3">
      <c r="B645" s="225"/>
      <c r="C645" s="186"/>
      <c r="D645" s="186"/>
      <c r="E645" s="186"/>
      <c r="F645" s="234"/>
      <c r="G645" s="495"/>
      <c r="H645" s="495"/>
    </row>
    <row r="646" spans="2:8" ht="13.5" customHeight="1" x14ac:dyDescent="0.3">
      <c r="B646" s="225"/>
      <c r="C646" s="186"/>
      <c r="D646" s="186"/>
      <c r="E646" s="186"/>
      <c r="F646" s="234"/>
      <c r="G646" s="495"/>
      <c r="H646" s="495"/>
    </row>
    <row r="647" spans="2:8" ht="13.5" customHeight="1" x14ac:dyDescent="0.3">
      <c r="B647" s="225"/>
      <c r="C647" s="186"/>
      <c r="D647" s="186"/>
      <c r="E647" s="186"/>
      <c r="F647" s="234"/>
      <c r="G647" s="495"/>
      <c r="H647" s="495"/>
    </row>
    <row r="648" spans="2:8" ht="13.5" customHeight="1" x14ac:dyDescent="0.3">
      <c r="B648" s="225"/>
      <c r="C648" s="186"/>
      <c r="D648" s="186"/>
      <c r="E648" s="186"/>
      <c r="F648" s="234"/>
      <c r="G648" s="495"/>
      <c r="H648" s="495"/>
    </row>
    <row r="649" spans="2:8" ht="13.5" customHeight="1" x14ac:dyDescent="0.3">
      <c r="B649" s="225"/>
      <c r="C649" s="186"/>
      <c r="D649" s="186"/>
      <c r="E649" s="186"/>
      <c r="F649" s="234"/>
      <c r="G649" s="495"/>
      <c r="H649" s="495"/>
    </row>
    <row r="650" spans="2:8" ht="13.5" customHeight="1" x14ac:dyDescent="0.3">
      <c r="B650" s="225"/>
      <c r="C650" s="186"/>
      <c r="D650" s="186"/>
      <c r="E650" s="186"/>
      <c r="F650" s="234"/>
      <c r="G650" s="495"/>
      <c r="H650" s="495"/>
    </row>
    <row r="651" spans="2:8" ht="13.5" customHeight="1" x14ac:dyDescent="0.3">
      <c r="B651" s="225"/>
      <c r="C651" s="186"/>
      <c r="D651" s="186"/>
      <c r="E651" s="186"/>
      <c r="F651" s="234"/>
      <c r="G651" s="495"/>
      <c r="H651" s="495"/>
    </row>
    <row r="652" spans="2:8" ht="13.5" customHeight="1" x14ac:dyDescent="0.3">
      <c r="B652" s="225"/>
      <c r="C652" s="186"/>
      <c r="D652" s="186"/>
      <c r="E652" s="186"/>
      <c r="F652" s="234"/>
      <c r="G652" s="495"/>
      <c r="H652" s="495"/>
    </row>
    <row r="653" spans="2:8" ht="13.5" customHeight="1" x14ac:dyDescent="0.3">
      <c r="B653" s="225"/>
      <c r="C653" s="186"/>
      <c r="D653" s="186"/>
      <c r="E653" s="186"/>
      <c r="F653" s="234"/>
      <c r="G653" s="495"/>
      <c r="H653" s="495"/>
    </row>
    <row r="654" spans="2:8" ht="13.5" customHeight="1" x14ac:dyDescent="0.3">
      <c r="B654" s="225"/>
      <c r="C654" s="186"/>
      <c r="D654" s="186"/>
      <c r="E654" s="186"/>
      <c r="F654" s="234"/>
      <c r="G654" s="495"/>
      <c r="H654" s="495"/>
    </row>
    <row r="655" spans="2:8" ht="13.5" customHeight="1" x14ac:dyDescent="0.3">
      <c r="B655" s="225"/>
      <c r="C655" s="186"/>
      <c r="D655" s="186"/>
      <c r="E655" s="186"/>
      <c r="F655" s="234"/>
      <c r="G655" s="495"/>
      <c r="H655" s="495"/>
    </row>
    <row r="656" spans="2:8" ht="13.5" customHeight="1" x14ac:dyDescent="0.3">
      <c r="B656" s="225"/>
      <c r="C656" s="186"/>
      <c r="D656" s="186"/>
      <c r="E656" s="186"/>
      <c r="F656" s="234"/>
      <c r="G656" s="495"/>
      <c r="H656" s="495"/>
    </row>
    <row r="657" spans="2:8" ht="13.5" customHeight="1" x14ac:dyDescent="0.3">
      <c r="B657" s="225"/>
      <c r="C657" s="186"/>
      <c r="D657" s="186"/>
      <c r="E657" s="186"/>
      <c r="F657" s="234"/>
      <c r="G657" s="495"/>
      <c r="H657" s="495"/>
    </row>
    <row r="658" spans="2:8" ht="13.5" customHeight="1" x14ac:dyDescent="0.3">
      <c r="B658" s="225"/>
      <c r="C658" s="186"/>
      <c r="D658" s="186"/>
      <c r="E658" s="186"/>
      <c r="F658" s="234"/>
      <c r="G658" s="495"/>
      <c r="H658" s="495"/>
    </row>
    <row r="659" spans="2:8" ht="13.5" customHeight="1" x14ac:dyDescent="0.3">
      <c r="B659" s="225"/>
      <c r="C659" s="186"/>
      <c r="D659" s="186"/>
      <c r="E659" s="186"/>
      <c r="F659" s="234"/>
      <c r="G659" s="495"/>
      <c r="H659" s="495"/>
    </row>
    <row r="660" spans="2:8" ht="13.5" customHeight="1" x14ac:dyDescent="0.3">
      <c r="B660" s="225"/>
      <c r="C660" s="186"/>
      <c r="D660" s="186"/>
      <c r="E660" s="186"/>
      <c r="F660" s="234"/>
      <c r="G660" s="495"/>
      <c r="H660" s="495"/>
    </row>
    <row r="661" spans="2:8" ht="13.5" customHeight="1" x14ac:dyDescent="0.3">
      <c r="B661" s="225"/>
      <c r="C661" s="186"/>
      <c r="D661" s="186"/>
      <c r="E661" s="186"/>
      <c r="F661" s="234"/>
      <c r="G661" s="495"/>
      <c r="H661" s="495"/>
    </row>
    <row r="662" spans="2:8" ht="13.5" customHeight="1" x14ac:dyDescent="0.3">
      <c r="B662" s="225"/>
      <c r="C662" s="186"/>
      <c r="D662" s="186"/>
      <c r="E662" s="186"/>
      <c r="F662" s="234"/>
      <c r="G662" s="495"/>
      <c r="H662" s="495"/>
    </row>
    <row r="663" spans="2:8" ht="13.5" customHeight="1" x14ac:dyDescent="0.3">
      <c r="B663" s="225"/>
      <c r="C663" s="186"/>
      <c r="D663" s="186"/>
      <c r="E663" s="186"/>
      <c r="F663" s="234"/>
      <c r="G663" s="495"/>
      <c r="H663" s="495"/>
    </row>
    <row r="664" spans="2:8" ht="13.5" customHeight="1" x14ac:dyDescent="0.3">
      <c r="B664" s="225"/>
      <c r="C664" s="186"/>
      <c r="D664" s="186"/>
      <c r="E664" s="186"/>
      <c r="F664" s="234"/>
      <c r="G664" s="495"/>
      <c r="H664" s="495"/>
    </row>
    <row r="665" spans="2:8" ht="13.5" customHeight="1" x14ac:dyDescent="0.3">
      <c r="B665" s="225"/>
      <c r="C665" s="186"/>
      <c r="D665" s="186"/>
      <c r="E665" s="186"/>
      <c r="F665" s="234"/>
      <c r="G665" s="495"/>
      <c r="H665" s="495"/>
    </row>
    <row r="666" spans="2:8" ht="13.5" customHeight="1" x14ac:dyDescent="0.3">
      <c r="B666" s="225"/>
      <c r="C666" s="186"/>
      <c r="D666" s="186"/>
      <c r="E666" s="186"/>
      <c r="F666" s="234"/>
      <c r="G666" s="495"/>
      <c r="H666" s="495"/>
    </row>
    <row r="667" spans="2:8" ht="13.5" customHeight="1" x14ac:dyDescent="0.3">
      <c r="B667" s="225"/>
      <c r="C667" s="186"/>
      <c r="D667" s="186"/>
      <c r="E667" s="186"/>
      <c r="F667" s="234"/>
      <c r="G667" s="495"/>
      <c r="H667" s="495"/>
    </row>
    <row r="668" spans="2:8" ht="13.5" customHeight="1" x14ac:dyDescent="0.3">
      <c r="B668" s="225"/>
      <c r="C668" s="186"/>
      <c r="D668" s="186"/>
      <c r="E668" s="186"/>
      <c r="F668" s="234"/>
      <c r="G668" s="495"/>
      <c r="H668" s="495"/>
    </row>
    <row r="669" spans="2:8" ht="13.5" customHeight="1" x14ac:dyDescent="0.3">
      <c r="B669" s="225"/>
      <c r="C669" s="186"/>
      <c r="D669" s="186"/>
      <c r="E669" s="186"/>
      <c r="F669" s="234"/>
      <c r="G669" s="495"/>
      <c r="H669" s="495"/>
    </row>
    <row r="670" spans="2:8" ht="13.5" customHeight="1" x14ac:dyDescent="0.3">
      <c r="B670" s="225"/>
      <c r="C670" s="186"/>
      <c r="D670" s="186"/>
      <c r="E670" s="186"/>
      <c r="F670" s="234"/>
      <c r="G670" s="495"/>
      <c r="H670" s="495"/>
    </row>
    <row r="671" spans="2:8" ht="13.5" customHeight="1" x14ac:dyDescent="0.3">
      <c r="B671" s="225"/>
      <c r="C671" s="186"/>
      <c r="D671" s="186"/>
      <c r="E671" s="186"/>
      <c r="F671" s="234"/>
      <c r="G671" s="495"/>
      <c r="H671" s="495"/>
    </row>
    <row r="672" spans="2:8" ht="13.5" customHeight="1" x14ac:dyDescent="0.3">
      <c r="B672" s="225"/>
      <c r="C672" s="186"/>
      <c r="D672" s="186"/>
      <c r="E672" s="186"/>
      <c r="F672" s="234"/>
      <c r="G672" s="495"/>
      <c r="H672" s="495"/>
    </row>
    <row r="673" spans="2:8" ht="13.5" customHeight="1" x14ac:dyDescent="0.3">
      <c r="B673" s="225"/>
      <c r="C673" s="186"/>
      <c r="D673" s="186"/>
      <c r="E673" s="186"/>
      <c r="F673" s="234"/>
      <c r="G673" s="495"/>
      <c r="H673" s="495"/>
    </row>
    <row r="674" spans="2:8" ht="13.5" customHeight="1" x14ac:dyDescent="0.3">
      <c r="B674" s="225"/>
      <c r="C674" s="186"/>
      <c r="D674" s="186"/>
      <c r="E674" s="186"/>
      <c r="F674" s="234"/>
      <c r="G674" s="495"/>
      <c r="H674" s="495"/>
    </row>
    <row r="675" spans="2:8" ht="13.5" customHeight="1" x14ac:dyDescent="0.3">
      <c r="B675" s="225"/>
      <c r="C675" s="186"/>
      <c r="D675" s="186"/>
      <c r="E675" s="186"/>
      <c r="F675" s="234"/>
      <c r="G675" s="495"/>
      <c r="H675" s="495"/>
    </row>
    <row r="676" spans="2:8" ht="13.5" customHeight="1" x14ac:dyDescent="0.3">
      <c r="B676" s="225"/>
      <c r="C676" s="186"/>
      <c r="D676" s="186"/>
      <c r="E676" s="186"/>
      <c r="F676" s="234"/>
      <c r="G676" s="495"/>
      <c r="H676" s="495"/>
    </row>
    <row r="677" spans="2:8" ht="13.5" customHeight="1" x14ac:dyDescent="0.3">
      <c r="B677" s="225"/>
      <c r="C677" s="186"/>
      <c r="D677" s="186"/>
      <c r="E677" s="186"/>
      <c r="F677" s="234"/>
      <c r="G677" s="495"/>
      <c r="H677" s="495"/>
    </row>
    <row r="678" spans="2:8" ht="13.5" customHeight="1" x14ac:dyDescent="0.3">
      <c r="B678" s="225"/>
      <c r="C678" s="186"/>
      <c r="D678" s="186"/>
      <c r="E678" s="186"/>
      <c r="F678" s="234"/>
      <c r="G678" s="495"/>
      <c r="H678" s="495"/>
    </row>
    <row r="679" spans="2:8" ht="13.5" customHeight="1" x14ac:dyDescent="0.3">
      <c r="B679" s="225"/>
      <c r="C679" s="186"/>
      <c r="D679" s="186"/>
      <c r="E679" s="186"/>
      <c r="F679" s="234"/>
      <c r="G679" s="495"/>
      <c r="H679" s="495"/>
    </row>
    <row r="680" spans="2:8" ht="13.5" customHeight="1" x14ac:dyDescent="0.3">
      <c r="B680" s="225"/>
      <c r="C680" s="186"/>
      <c r="D680" s="186"/>
      <c r="E680" s="186"/>
      <c r="F680" s="234"/>
      <c r="G680" s="495"/>
      <c r="H680" s="495"/>
    </row>
    <row r="681" spans="2:8" ht="13.5" customHeight="1" x14ac:dyDescent="0.3">
      <c r="B681" s="225"/>
      <c r="C681" s="186"/>
      <c r="D681" s="186"/>
      <c r="E681" s="186"/>
      <c r="F681" s="234"/>
      <c r="G681" s="495"/>
      <c r="H681" s="495"/>
    </row>
    <row r="682" spans="2:8" ht="13.5" customHeight="1" x14ac:dyDescent="0.3">
      <c r="B682" s="225"/>
      <c r="C682" s="186"/>
      <c r="D682" s="186"/>
      <c r="E682" s="186"/>
      <c r="F682" s="234"/>
      <c r="G682" s="495"/>
      <c r="H682" s="495"/>
    </row>
    <row r="683" spans="2:8" ht="13.5" customHeight="1" x14ac:dyDescent="0.3">
      <c r="B683" s="225"/>
      <c r="C683" s="186"/>
      <c r="D683" s="186"/>
      <c r="E683" s="186"/>
      <c r="F683" s="234"/>
      <c r="G683" s="495"/>
      <c r="H683" s="495"/>
    </row>
    <row r="684" spans="2:8" ht="13.5" customHeight="1" x14ac:dyDescent="0.3">
      <c r="B684" s="225"/>
      <c r="C684" s="186"/>
      <c r="D684" s="186"/>
      <c r="E684" s="186"/>
      <c r="F684" s="234"/>
      <c r="G684" s="495"/>
      <c r="H684" s="495"/>
    </row>
    <row r="685" spans="2:8" ht="13.5" customHeight="1" x14ac:dyDescent="0.3">
      <c r="B685" s="225"/>
      <c r="C685" s="186"/>
      <c r="D685" s="186"/>
      <c r="E685" s="186"/>
      <c r="F685" s="234"/>
      <c r="G685" s="495"/>
      <c r="H685" s="495"/>
    </row>
    <row r="686" spans="2:8" ht="13.5" customHeight="1" x14ac:dyDescent="0.3">
      <c r="B686" s="225"/>
      <c r="C686" s="186"/>
      <c r="D686" s="186"/>
      <c r="E686" s="186"/>
      <c r="F686" s="234"/>
      <c r="G686" s="495"/>
      <c r="H686" s="495"/>
    </row>
    <row r="687" spans="2:8" ht="13.5" customHeight="1" x14ac:dyDescent="0.3">
      <c r="B687" s="225"/>
      <c r="C687" s="186"/>
      <c r="D687" s="186"/>
      <c r="E687" s="186"/>
      <c r="F687" s="234"/>
      <c r="G687" s="495"/>
      <c r="H687" s="495"/>
    </row>
    <row r="688" spans="2:8" ht="13.5" customHeight="1" x14ac:dyDescent="0.3">
      <c r="B688" s="225"/>
      <c r="C688" s="186"/>
      <c r="D688" s="186"/>
      <c r="E688" s="186"/>
      <c r="F688" s="234"/>
      <c r="G688" s="495"/>
      <c r="H688" s="495"/>
    </row>
    <row r="689" spans="2:8" ht="13.5" customHeight="1" x14ac:dyDescent="0.3">
      <c r="B689" s="225"/>
      <c r="C689" s="186"/>
      <c r="D689" s="186"/>
      <c r="E689" s="186"/>
      <c r="F689" s="234"/>
      <c r="G689" s="495"/>
      <c r="H689" s="495"/>
    </row>
    <row r="690" spans="2:8" ht="13.5" customHeight="1" x14ac:dyDescent="0.3">
      <c r="B690" s="225"/>
      <c r="C690" s="186"/>
      <c r="D690" s="186"/>
      <c r="E690" s="186"/>
      <c r="F690" s="234"/>
      <c r="G690" s="495"/>
      <c r="H690" s="495"/>
    </row>
    <row r="691" spans="2:8" ht="13.5" customHeight="1" x14ac:dyDescent="0.3">
      <c r="B691" s="225"/>
      <c r="C691" s="186"/>
      <c r="D691" s="186"/>
      <c r="E691" s="186"/>
      <c r="F691" s="234"/>
      <c r="G691" s="495"/>
      <c r="H691" s="495"/>
    </row>
    <row r="692" spans="2:8" ht="13.5" customHeight="1" x14ac:dyDescent="0.3">
      <c r="B692" s="225"/>
      <c r="C692" s="186"/>
      <c r="D692" s="186"/>
      <c r="E692" s="186"/>
      <c r="F692" s="234"/>
      <c r="G692" s="495"/>
      <c r="H692" s="495"/>
    </row>
    <row r="693" spans="2:8" ht="13.5" customHeight="1" x14ac:dyDescent="0.3">
      <c r="B693" s="225"/>
      <c r="C693" s="186"/>
      <c r="D693" s="186"/>
      <c r="E693" s="186"/>
      <c r="F693" s="234"/>
      <c r="G693" s="495"/>
      <c r="H693" s="495"/>
    </row>
    <row r="694" spans="2:8" ht="13.5" customHeight="1" x14ac:dyDescent="0.3">
      <c r="B694" s="225"/>
      <c r="C694" s="186"/>
      <c r="D694" s="186"/>
      <c r="E694" s="186"/>
      <c r="F694" s="234"/>
      <c r="G694" s="495"/>
      <c r="H694" s="495"/>
    </row>
    <row r="695" spans="2:8" ht="13.5" customHeight="1" x14ac:dyDescent="0.3">
      <c r="B695" s="225"/>
      <c r="C695" s="186"/>
      <c r="D695" s="186"/>
      <c r="E695" s="186"/>
      <c r="F695" s="234"/>
      <c r="G695" s="495"/>
      <c r="H695" s="495"/>
    </row>
    <row r="696" spans="2:8" ht="13.5" customHeight="1" x14ac:dyDescent="0.3">
      <c r="B696" s="225"/>
      <c r="C696" s="186"/>
      <c r="D696" s="186"/>
      <c r="E696" s="186"/>
      <c r="F696" s="234"/>
      <c r="G696" s="495"/>
      <c r="H696" s="495"/>
    </row>
    <row r="697" spans="2:8" ht="13.5" customHeight="1" x14ac:dyDescent="0.3">
      <c r="B697" s="225"/>
      <c r="C697" s="186"/>
      <c r="D697" s="186"/>
      <c r="E697" s="186"/>
      <c r="F697" s="234"/>
      <c r="G697" s="495"/>
      <c r="H697" s="495"/>
    </row>
    <row r="698" spans="2:8" ht="13.5" customHeight="1" x14ac:dyDescent="0.3">
      <c r="B698" s="225"/>
      <c r="C698" s="186"/>
      <c r="D698" s="186"/>
      <c r="E698" s="186"/>
      <c r="F698" s="234"/>
      <c r="G698" s="495"/>
      <c r="H698" s="495"/>
    </row>
    <row r="699" spans="2:8" ht="13.5" customHeight="1" x14ac:dyDescent="0.3">
      <c r="B699" s="225"/>
      <c r="C699" s="186"/>
      <c r="D699" s="186"/>
      <c r="E699" s="186"/>
      <c r="F699" s="234"/>
      <c r="G699" s="495"/>
      <c r="H699" s="495"/>
    </row>
    <row r="700" spans="2:8" ht="13.5" customHeight="1" x14ac:dyDescent="0.3">
      <c r="B700" s="225"/>
      <c r="C700" s="186"/>
      <c r="D700" s="186"/>
      <c r="E700" s="186"/>
      <c r="F700" s="234"/>
      <c r="G700" s="495"/>
      <c r="H700" s="495"/>
    </row>
    <row r="701" spans="2:8" ht="13.5" customHeight="1" x14ac:dyDescent="0.3">
      <c r="B701" s="225"/>
      <c r="C701" s="186"/>
      <c r="D701" s="186"/>
      <c r="E701" s="186"/>
      <c r="F701" s="234"/>
      <c r="G701" s="495"/>
      <c r="H701" s="495"/>
    </row>
    <row r="702" spans="2:8" ht="13.5" customHeight="1" x14ac:dyDescent="0.3">
      <c r="B702" s="225"/>
      <c r="C702" s="186"/>
      <c r="D702" s="186"/>
      <c r="E702" s="186"/>
      <c r="F702" s="234"/>
      <c r="G702" s="495"/>
      <c r="H702" s="495"/>
    </row>
    <row r="703" spans="2:8" ht="13.5" customHeight="1" x14ac:dyDescent="0.3">
      <c r="B703" s="225"/>
      <c r="C703" s="186"/>
      <c r="D703" s="186"/>
      <c r="E703" s="186"/>
      <c r="F703" s="234"/>
      <c r="G703" s="495"/>
      <c r="H703" s="495"/>
    </row>
    <row r="704" spans="2:8" ht="13.5" customHeight="1" x14ac:dyDescent="0.3">
      <c r="B704" s="225"/>
      <c r="C704" s="186"/>
      <c r="D704" s="186"/>
      <c r="E704" s="186"/>
      <c r="F704" s="234"/>
      <c r="G704" s="495"/>
      <c r="H704" s="495"/>
    </row>
    <row r="705" spans="2:8" ht="13.5" customHeight="1" x14ac:dyDescent="0.3">
      <c r="B705" s="225"/>
      <c r="C705" s="186"/>
      <c r="D705" s="186"/>
      <c r="E705" s="186"/>
      <c r="F705" s="234"/>
      <c r="G705" s="495"/>
      <c r="H705" s="495"/>
    </row>
    <row r="706" spans="2:8" ht="13.5" customHeight="1" x14ac:dyDescent="0.3">
      <c r="B706" s="225"/>
      <c r="C706" s="186"/>
      <c r="D706" s="186"/>
      <c r="E706" s="186"/>
      <c r="F706" s="234"/>
      <c r="G706" s="495"/>
      <c r="H706" s="495"/>
    </row>
    <row r="707" spans="2:8" ht="13.5" customHeight="1" x14ac:dyDescent="0.3">
      <c r="B707" s="225"/>
      <c r="C707" s="186"/>
      <c r="D707" s="186"/>
      <c r="E707" s="186"/>
      <c r="F707" s="234"/>
      <c r="G707" s="495"/>
      <c r="H707" s="495"/>
    </row>
    <row r="708" spans="2:8" ht="13.5" customHeight="1" x14ac:dyDescent="0.3">
      <c r="B708" s="225"/>
      <c r="C708" s="186"/>
      <c r="D708" s="186"/>
      <c r="E708" s="186"/>
      <c r="F708" s="234"/>
      <c r="G708" s="495"/>
      <c r="H708" s="495"/>
    </row>
    <row r="709" spans="2:8" ht="13.5" customHeight="1" x14ac:dyDescent="0.3">
      <c r="B709" s="225"/>
      <c r="C709" s="186"/>
      <c r="D709" s="186"/>
      <c r="E709" s="186"/>
      <c r="F709" s="234"/>
      <c r="G709" s="495"/>
      <c r="H709" s="495"/>
    </row>
    <row r="710" spans="2:8" ht="13.5" customHeight="1" x14ac:dyDescent="0.3">
      <c r="B710" s="225"/>
      <c r="C710" s="186"/>
      <c r="D710" s="186"/>
      <c r="E710" s="186"/>
      <c r="F710" s="234"/>
      <c r="G710" s="495"/>
      <c r="H710" s="495"/>
    </row>
    <row r="711" spans="2:8" ht="13.5" customHeight="1" x14ac:dyDescent="0.3">
      <c r="B711" s="225"/>
      <c r="C711" s="186"/>
      <c r="D711" s="186"/>
      <c r="E711" s="186"/>
      <c r="F711" s="234"/>
      <c r="G711" s="495"/>
      <c r="H711" s="495"/>
    </row>
    <row r="712" spans="2:8" ht="13.5" customHeight="1" x14ac:dyDescent="0.3">
      <c r="B712" s="225"/>
      <c r="C712" s="186"/>
      <c r="D712" s="186"/>
      <c r="E712" s="186"/>
      <c r="F712" s="234"/>
      <c r="G712" s="495"/>
      <c r="H712" s="495"/>
    </row>
    <row r="713" spans="2:8" ht="13.5" customHeight="1" x14ac:dyDescent="0.3">
      <c r="B713" s="225"/>
      <c r="C713" s="186"/>
      <c r="D713" s="186"/>
      <c r="E713" s="186"/>
      <c r="F713" s="234"/>
      <c r="G713" s="495"/>
      <c r="H713" s="495"/>
    </row>
    <row r="714" spans="2:8" ht="13.5" customHeight="1" x14ac:dyDescent="0.3">
      <c r="B714" s="225"/>
      <c r="C714" s="186"/>
      <c r="D714" s="186"/>
      <c r="E714" s="186"/>
      <c r="F714" s="234"/>
      <c r="G714" s="495"/>
      <c r="H714" s="495"/>
    </row>
    <row r="715" spans="2:8" ht="13.5" customHeight="1" x14ac:dyDescent="0.3">
      <c r="B715" s="225"/>
      <c r="C715" s="186"/>
      <c r="D715" s="186"/>
      <c r="E715" s="186"/>
      <c r="F715" s="234"/>
      <c r="G715" s="495"/>
      <c r="H715" s="495"/>
    </row>
    <row r="716" spans="2:8" ht="13.5" customHeight="1" x14ac:dyDescent="0.3">
      <c r="B716" s="225"/>
      <c r="C716" s="186"/>
      <c r="D716" s="186"/>
      <c r="E716" s="186"/>
      <c r="F716" s="234"/>
      <c r="G716" s="495"/>
      <c r="H716" s="495"/>
    </row>
    <row r="717" spans="2:8" ht="13.5" customHeight="1" x14ac:dyDescent="0.3">
      <c r="B717" s="225"/>
      <c r="C717" s="186"/>
      <c r="D717" s="186"/>
      <c r="E717" s="186"/>
      <c r="F717" s="234"/>
      <c r="G717" s="495"/>
      <c r="H717" s="495"/>
    </row>
    <row r="718" spans="2:8" ht="13.5" customHeight="1" x14ac:dyDescent="0.3">
      <c r="B718" s="225"/>
      <c r="C718" s="186"/>
      <c r="D718" s="186"/>
      <c r="E718" s="186"/>
      <c r="F718" s="234"/>
      <c r="G718" s="495"/>
      <c r="H718" s="495"/>
    </row>
    <row r="719" spans="2:8" ht="13.5" customHeight="1" x14ac:dyDescent="0.3">
      <c r="B719" s="225"/>
      <c r="C719" s="186"/>
      <c r="D719" s="186"/>
      <c r="E719" s="186"/>
      <c r="F719" s="234"/>
      <c r="G719" s="495"/>
      <c r="H719" s="495"/>
    </row>
    <row r="720" spans="2:8" ht="13.5" customHeight="1" x14ac:dyDescent="0.3">
      <c r="B720" s="225"/>
      <c r="C720" s="186"/>
      <c r="D720" s="186"/>
      <c r="E720" s="186"/>
      <c r="F720" s="234"/>
      <c r="G720" s="495"/>
      <c r="H720" s="495"/>
    </row>
    <row r="721" spans="2:8" ht="13.5" customHeight="1" x14ac:dyDescent="0.3">
      <c r="B721" s="225"/>
      <c r="C721" s="186"/>
      <c r="D721" s="186"/>
      <c r="E721" s="186"/>
      <c r="F721" s="234"/>
      <c r="G721" s="495"/>
      <c r="H721" s="495"/>
    </row>
    <row r="722" spans="2:8" ht="13.5" customHeight="1" x14ac:dyDescent="0.3">
      <c r="B722" s="225"/>
      <c r="C722" s="186"/>
      <c r="D722" s="186"/>
      <c r="E722" s="186"/>
      <c r="F722" s="234"/>
      <c r="G722" s="495"/>
      <c r="H722" s="495"/>
    </row>
    <row r="723" spans="2:8" ht="13.5" customHeight="1" x14ac:dyDescent="0.3">
      <c r="B723" s="225"/>
      <c r="C723" s="186"/>
      <c r="D723" s="186"/>
      <c r="E723" s="186"/>
      <c r="F723" s="234"/>
      <c r="G723" s="495"/>
      <c r="H723" s="495"/>
    </row>
    <row r="724" spans="2:8" ht="13.5" customHeight="1" x14ac:dyDescent="0.3">
      <c r="B724" s="225"/>
      <c r="C724" s="186"/>
      <c r="D724" s="186"/>
      <c r="E724" s="186"/>
      <c r="F724" s="234"/>
      <c r="G724" s="495"/>
      <c r="H724" s="495"/>
    </row>
    <row r="725" spans="2:8" ht="13.5" customHeight="1" x14ac:dyDescent="0.3">
      <c r="B725" s="225"/>
      <c r="C725" s="186"/>
      <c r="D725" s="186"/>
      <c r="E725" s="186"/>
      <c r="F725" s="234"/>
      <c r="G725" s="495"/>
      <c r="H725" s="495"/>
    </row>
    <row r="726" spans="2:8" ht="13.5" customHeight="1" x14ac:dyDescent="0.3">
      <c r="B726" s="225"/>
      <c r="C726" s="186"/>
      <c r="D726" s="186"/>
      <c r="E726" s="186"/>
      <c r="F726" s="234"/>
      <c r="G726" s="495"/>
      <c r="H726" s="495"/>
    </row>
    <row r="727" spans="2:8" ht="13.5" customHeight="1" x14ac:dyDescent="0.3">
      <c r="B727" s="225"/>
      <c r="C727" s="186"/>
      <c r="D727" s="186"/>
      <c r="E727" s="186"/>
      <c r="F727" s="234"/>
      <c r="G727" s="495"/>
      <c r="H727" s="495"/>
    </row>
    <row r="728" spans="2:8" ht="13.5" customHeight="1" x14ac:dyDescent="0.3">
      <c r="B728" s="225"/>
      <c r="C728" s="186"/>
      <c r="D728" s="186"/>
      <c r="E728" s="186"/>
      <c r="F728" s="234"/>
      <c r="G728" s="495"/>
      <c r="H728" s="495"/>
    </row>
    <row r="729" spans="2:8" ht="13.5" customHeight="1" x14ac:dyDescent="0.3">
      <c r="B729" s="225"/>
      <c r="C729" s="186"/>
      <c r="D729" s="186"/>
      <c r="E729" s="186"/>
      <c r="F729" s="234"/>
      <c r="G729" s="495"/>
      <c r="H729" s="495"/>
    </row>
    <row r="730" spans="2:8" ht="13.5" customHeight="1" x14ac:dyDescent="0.3">
      <c r="B730" s="225"/>
      <c r="C730" s="186"/>
      <c r="D730" s="186"/>
      <c r="E730" s="186"/>
      <c r="F730" s="234"/>
      <c r="G730" s="495"/>
      <c r="H730" s="495"/>
    </row>
    <row r="731" spans="2:8" ht="13.5" customHeight="1" x14ac:dyDescent="0.3">
      <c r="B731" s="225"/>
      <c r="C731" s="186"/>
      <c r="D731" s="186"/>
      <c r="E731" s="186"/>
      <c r="F731" s="234"/>
      <c r="G731" s="495"/>
      <c r="H731" s="495"/>
    </row>
    <row r="732" spans="2:8" ht="13.5" customHeight="1" x14ac:dyDescent="0.3">
      <c r="B732" s="225"/>
      <c r="C732" s="186"/>
      <c r="D732" s="186"/>
      <c r="E732" s="186"/>
      <c r="F732" s="234"/>
      <c r="G732" s="495"/>
      <c r="H732" s="495"/>
    </row>
    <row r="733" spans="2:8" ht="13.5" customHeight="1" x14ac:dyDescent="0.3">
      <c r="B733" s="225"/>
      <c r="C733" s="186"/>
      <c r="D733" s="186"/>
      <c r="E733" s="186"/>
      <c r="F733" s="234"/>
      <c r="G733" s="495"/>
      <c r="H733" s="495"/>
    </row>
    <row r="734" spans="2:8" ht="13.5" customHeight="1" x14ac:dyDescent="0.3">
      <c r="B734" s="225"/>
      <c r="C734" s="186"/>
      <c r="D734" s="186"/>
      <c r="E734" s="186"/>
      <c r="F734" s="234"/>
      <c r="G734" s="495"/>
      <c r="H734" s="495"/>
    </row>
    <row r="735" spans="2:8" ht="13.5" customHeight="1" x14ac:dyDescent="0.3">
      <c r="B735" s="225"/>
      <c r="C735" s="186"/>
      <c r="D735" s="186"/>
      <c r="E735" s="186"/>
      <c r="F735" s="234"/>
      <c r="G735" s="495"/>
      <c r="H735" s="495"/>
    </row>
    <row r="736" spans="2:8" ht="13.5" customHeight="1" x14ac:dyDescent="0.3">
      <c r="B736" s="225"/>
      <c r="C736" s="186"/>
      <c r="D736" s="186"/>
      <c r="E736" s="186"/>
      <c r="F736" s="234"/>
      <c r="G736" s="495"/>
      <c r="H736" s="495"/>
    </row>
    <row r="737" spans="2:8" ht="13.5" customHeight="1" x14ac:dyDescent="0.3">
      <c r="B737" s="225"/>
      <c r="C737" s="186"/>
      <c r="D737" s="186"/>
      <c r="E737" s="186"/>
      <c r="F737" s="234"/>
      <c r="G737" s="495"/>
      <c r="H737" s="495"/>
    </row>
    <row r="738" spans="2:8" ht="13.5" customHeight="1" x14ac:dyDescent="0.3">
      <c r="B738" s="225"/>
      <c r="C738" s="186"/>
      <c r="D738" s="186"/>
      <c r="E738" s="186"/>
      <c r="F738" s="234"/>
      <c r="G738" s="495"/>
      <c r="H738" s="495"/>
    </row>
    <row r="739" spans="2:8" ht="13.5" customHeight="1" x14ac:dyDescent="0.3">
      <c r="B739" s="225"/>
      <c r="C739" s="186"/>
      <c r="D739" s="186"/>
      <c r="E739" s="186"/>
      <c r="F739" s="234"/>
      <c r="G739" s="495"/>
      <c r="H739" s="495"/>
    </row>
    <row r="740" spans="2:8" ht="13.5" customHeight="1" x14ac:dyDescent="0.3">
      <c r="B740" s="225"/>
      <c r="C740" s="186"/>
      <c r="D740" s="186"/>
      <c r="E740" s="186"/>
      <c r="F740" s="234"/>
      <c r="G740" s="495"/>
      <c r="H740" s="495"/>
    </row>
    <row r="741" spans="2:8" ht="13.5" customHeight="1" x14ac:dyDescent="0.3">
      <c r="B741" s="225"/>
      <c r="C741" s="186"/>
      <c r="D741" s="186"/>
      <c r="E741" s="186"/>
      <c r="F741" s="234"/>
      <c r="G741" s="495"/>
      <c r="H741" s="495"/>
    </row>
    <row r="742" spans="2:8" ht="13.5" customHeight="1" x14ac:dyDescent="0.3">
      <c r="B742" s="225"/>
      <c r="C742" s="186"/>
      <c r="D742" s="186"/>
      <c r="E742" s="186"/>
      <c r="F742" s="234"/>
      <c r="G742" s="495"/>
      <c r="H742" s="495"/>
    </row>
    <row r="743" spans="2:8" ht="13.5" customHeight="1" x14ac:dyDescent="0.3">
      <c r="B743" s="225"/>
      <c r="C743" s="186"/>
      <c r="D743" s="186"/>
      <c r="E743" s="186"/>
      <c r="F743" s="234"/>
      <c r="G743" s="495"/>
      <c r="H743" s="495"/>
    </row>
    <row r="744" spans="2:8" ht="13.5" customHeight="1" x14ac:dyDescent="0.3">
      <c r="B744" s="225"/>
      <c r="C744" s="186"/>
      <c r="D744" s="186"/>
      <c r="E744" s="186"/>
      <c r="F744" s="234"/>
      <c r="G744" s="495"/>
      <c r="H744" s="495"/>
    </row>
    <row r="745" spans="2:8" ht="13.5" customHeight="1" x14ac:dyDescent="0.3">
      <c r="B745" s="225"/>
      <c r="C745" s="186"/>
      <c r="D745" s="186"/>
      <c r="E745" s="186"/>
      <c r="F745" s="234"/>
      <c r="G745" s="495"/>
      <c r="H745" s="495"/>
    </row>
    <row r="746" spans="2:8" ht="13.5" customHeight="1" x14ac:dyDescent="0.3">
      <c r="B746" s="225"/>
      <c r="C746" s="186"/>
      <c r="D746" s="186"/>
      <c r="E746" s="186"/>
      <c r="F746" s="234"/>
      <c r="G746" s="495"/>
      <c r="H746" s="495"/>
    </row>
    <row r="747" spans="2:8" ht="13.5" customHeight="1" x14ac:dyDescent="0.3">
      <c r="B747" s="225"/>
      <c r="C747" s="186"/>
      <c r="D747" s="186"/>
      <c r="E747" s="186"/>
      <c r="F747" s="234"/>
      <c r="G747" s="495"/>
      <c r="H747" s="495"/>
    </row>
    <row r="748" spans="2:8" ht="13.5" customHeight="1" x14ac:dyDescent="0.3">
      <c r="B748" s="225"/>
      <c r="C748" s="186"/>
      <c r="D748" s="186"/>
      <c r="E748" s="186"/>
      <c r="F748" s="234"/>
      <c r="G748" s="495"/>
      <c r="H748" s="495"/>
    </row>
    <row r="749" spans="2:8" ht="13.5" customHeight="1" x14ac:dyDescent="0.3">
      <c r="B749" s="225"/>
      <c r="C749" s="186"/>
      <c r="D749" s="186"/>
      <c r="E749" s="186"/>
      <c r="F749" s="234"/>
      <c r="G749" s="495"/>
      <c r="H749" s="495"/>
    </row>
    <row r="750" spans="2:8" ht="13.5" customHeight="1" x14ac:dyDescent="0.3">
      <c r="B750" s="225"/>
      <c r="C750" s="186"/>
      <c r="D750" s="186"/>
      <c r="E750" s="186"/>
      <c r="F750" s="234"/>
      <c r="G750" s="495"/>
      <c r="H750" s="495"/>
    </row>
    <row r="751" spans="2:8" ht="13.5" customHeight="1" x14ac:dyDescent="0.3">
      <c r="B751" s="225"/>
      <c r="C751" s="186"/>
      <c r="D751" s="186"/>
      <c r="E751" s="186"/>
      <c r="F751" s="234"/>
      <c r="G751" s="495"/>
      <c r="H751" s="495"/>
    </row>
    <row r="752" spans="2:8" ht="13.5" customHeight="1" x14ac:dyDescent="0.3">
      <c r="B752" s="225"/>
      <c r="C752" s="186"/>
      <c r="D752" s="186"/>
      <c r="E752" s="186"/>
      <c r="F752" s="234"/>
      <c r="G752" s="495"/>
      <c r="H752" s="495"/>
    </row>
    <row r="753" spans="2:8" ht="13.5" customHeight="1" x14ac:dyDescent="0.3">
      <c r="B753" s="225"/>
      <c r="C753" s="186"/>
      <c r="D753" s="186"/>
      <c r="E753" s="186"/>
      <c r="F753" s="234"/>
      <c r="G753" s="495"/>
      <c r="H753" s="495"/>
    </row>
    <row r="754" spans="2:8" ht="13.5" customHeight="1" x14ac:dyDescent="0.3">
      <c r="B754" s="225"/>
      <c r="C754" s="186"/>
      <c r="D754" s="186"/>
      <c r="E754" s="186"/>
      <c r="F754" s="234"/>
      <c r="G754" s="495"/>
      <c r="H754" s="495"/>
    </row>
    <row r="755" spans="2:8" ht="13.5" customHeight="1" x14ac:dyDescent="0.3">
      <c r="B755" s="225"/>
      <c r="C755" s="186"/>
      <c r="D755" s="186"/>
      <c r="E755" s="186"/>
      <c r="F755" s="234"/>
      <c r="G755" s="495"/>
      <c r="H755" s="495"/>
    </row>
    <row r="756" spans="2:8" ht="13.5" customHeight="1" x14ac:dyDescent="0.3">
      <c r="B756" s="225"/>
      <c r="C756" s="186"/>
      <c r="D756" s="186"/>
      <c r="E756" s="186"/>
      <c r="F756" s="234"/>
      <c r="G756" s="495"/>
      <c r="H756" s="495"/>
    </row>
    <row r="757" spans="2:8" ht="13.5" customHeight="1" x14ac:dyDescent="0.3">
      <c r="B757" s="225"/>
      <c r="C757" s="186"/>
      <c r="D757" s="186"/>
      <c r="E757" s="186"/>
      <c r="F757" s="234"/>
      <c r="G757" s="495"/>
      <c r="H757" s="495"/>
    </row>
    <row r="758" spans="2:8" ht="13.5" customHeight="1" x14ac:dyDescent="0.3">
      <c r="B758" s="225"/>
      <c r="C758" s="186"/>
      <c r="D758" s="186"/>
      <c r="E758" s="186"/>
      <c r="F758" s="234"/>
      <c r="G758" s="495"/>
      <c r="H758" s="495"/>
    </row>
    <row r="759" spans="2:8" ht="13.5" customHeight="1" x14ac:dyDescent="0.3">
      <c r="B759" s="225"/>
      <c r="C759" s="186"/>
      <c r="D759" s="186"/>
      <c r="E759" s="186"/>
      <c r="F759" s="234"/>
      <c r="G759" s="495"/>
      <c r="H759" s="495"/>
    </row>
    <row r="760" spans="2:8" ht="13.5" customHeight="1" x14ac:dyDescent="0.3">
      <c r="B760" s="225"/>
      <c r="C760" s="186"/>
      <c r="D760" s="186"/>
      <c r="E760" s="186"/>
      <c r="F760" s="234"/>
      <c r="G760" s="495"/>
      <c r="H760" s="495"/>
    </row>
    <row r="761" spans="2:8" ht="13.5" customHeight="1" x14ac:dyDescent="0.3">
      <c r="B761" s="225"/>
      <c r="C761" s="186"/>
      <c r="D761" s="186"/>
      <c r="E761" s="186"/>
      <c r="F761" s="234"/>
      <c r="G761" s="495"/>
      <c r="H761" s="495"/>
    </row>
    <row r="762" spans="2:8" ht="13.5" customHeight="1" x14ac:dyDescent="0.3">
      <c r="B762" s="225"/>
      <c r="C762" s="186"/>
      <c r="D762" s="186"/>
      <c r="E762" s="186"/>
      <c r="F762" s="234"/>
      <c r="G762" s="495"/>
      <c r="H762" s="495"/>
    </row>
    <row r="763" spans="2:8" ht="13.5" customHeight="1" x14ac:dyDescent="0.3">
      <c r="B763" s="225"/>
      <c r="C763" s="186"/>
      <c r="D763" s="186"/>
      <c r="E763" s="186"/>
      <c r="F763" s="234"/>
      <c r="G763" s="495"/>
      <c r="H763" s="495"/>
    </row>
    <row r="764" spans="2:8" ht="13.5" customHeight="1" x14ac:dyDescent="0.3">
      <c r="B764" s="225"/>
      <c r="C764" s="186"/>
      <c r="D764" s="186"/>
      <c r="E764" s="186"/>
      <c r="F764" s="234"/>
      <c r="G764" s="495"/>
      <c r="H764" s="495"/>
    </row>
    <row r="765" spans="2:8" ht="13.5" customHeight="1" x14ac:dyDescent="0.3">
      <c r="B765" s="225"/>
      <c r="C765" s="186"/>
      <c r="D765" s="186"/>
      <c r="E765" s="186"/>
      <c r="F765" s="234"/>
      <c r="G765" s="495"/>
      <c r="H765" s="495"/>
    </row>
    <row r="766" spans="2:8" ht="13.5" customHeight="1" x14ac:dyDescent="0.3">
      <c r="B766" s="225"/>
      <c r="C766" s="186"/>
      <c r="D766" s="186"/>
      <c r="E766" s="186"/>
      <c r="F766" s="234"/>
      <c r="G766" s="495"/>
      <c r="H766" s="495"/>
    </row>
    <row r="767" spans="2:8" ht="13.5" customHeight="1" x14ac:dyDescent="0.3">
      <c r="B767" s="225"/>
      <c r="C767" s="186"/>
      <c r="D767" s="186"/>
      <c r="E767" s="186"/>
      <c r="F767" s="234"/>
      <c r="G767" s="495"/>
      <c r="H767" s="495"/>
    </row>
    <row r="768" spans="2:8" ht="13.5" customHeight="1" x14ac:dyDescent="0.3">
      <c r="B768" s="225"/>
      <c r="C768" s="186"/>
      <c r="D768" s="186"/>
      <c r="E768" s="186"/>
      <c r="F768" s="234"/>
      <c r="G768" s="495"/>
      <c r="H768" s="495"/>
    </row>
    <row r="769" spans="2:8" ht="13.5" customHeight="1" x14ac:dyDescent="0.3">
      <c r="B769" s="225"/>
      <c r="C769" s="186"/>
      <c r="D769" s="186"/>
      <c r="E769" s="186"/>
      <c r="F769" s="234"/>
      <c r="G769" s="495"/>
      <c r="H769" s="495"/>
    </row>
    <row r="770" spans="2:8" ht="13.5" customHeight="1" x14ac:dyDescent="0.3">
      <c r="B770" s="225"/>
      <c r="C770" s="186"/>
      <c r="D770" s="186"/>
      <c r="E770" s="186"/>
      <c r="F770" s="234"/>
      <c r="G770" s="495"/>
      <c r="H770" s="495"/>
    </row>
    <row r="771" spans="2:8" ht="13.5" customHeight="1" x14ac:dyDescent="0.3">
      <c r="B771" s="225"/>
      <c r="C771" s="186"/>
      <c r="D771" s="186"/>
      <c r="E771" s="186"/>
      <c r="F771" s="234"/>
      <c r="G771" s="495"/>
      <c r="H771" s="495"/>
    </row>
    <row r="772" spans="2:8" ht="13.5" customHeight="1" x14ac:dyDescent="0.3">
      <c r="B772" s="225"/>
      <c r="C772" s="186"/>
      <c r="D772" s="186"/>
      <c r="E772" s="186"/>
      <c r="F772" s="234"/>
      <c r="G772" s="495"/>
      <c r="H772" s="495"/>
    </row>
    <row r="773" spans="2:8" ht="13.5" customHeight="1" x14ac:dyDescent="0.3">
      <c r="B773" s="225"/>
      <c r="C773" s="186"/>
      <c r="D773" s="186"/>
      <c r="E773" s="186"/>
      <c r="F773" s="234"/>
      <c r="G773" s="495"/>
      <c r="H773" s="495"/>
    </row>
    <row r="774" spans="2:8" ht="13.5" customHeight="1" x14ac:dyDescent="0.3">
      <c r="B774" s="225"/>
      <c r="C774" s="186"/>
      <c r="D774" s="186"/>
      <c r="E774" s="186"/>
      <c r="F774" s="234"/>
      <c r="G774" s="495"/>
      <c r="H774" s="495"/>
    </row>
    <row r="775" spans="2:8" ht="13.5" customHeight="1" x14ac:dyDescent="0.3">
      <c r="B775" s="225"/>
      <c r="C775" s="186"/>
      <c r="D775" s="186"/>
      <c r="E775" s="186"/>
      <c r="F775" s="234"/>
      <c r="G775" s="495"/>
      <c r="H775" s="495"/>
    </row>
    <row r="776" spans="2:8" ht="13.5" customHeight="1" x14ac:dyDescent="0.3">
      <c r="B776" s="225"/>
      <c r="C776" s="186"/>
      <c r="D776" s="186"/>
      <c r="E776" s="186"/>
      <c r="F776" s="234"/>
      <c r="G776" s="495"/>
      <c r="H776" s="495"/>
    </row>
    <row r="777" spans="2:8" ht="13.5" customHeight="1" x14ac:dyDescent="0.3">
      <c r="B777" s="225"/>
      <c r="C777" s="186"/>
      <c r="D777" s="186"/>
      <c r="E777" s="186"/>
      <c r="F777" s="234"/>
      <c r="G777" s="495"/>
      <c r="H777" s="495"/>
    </row>
    <row r="778" spans="2:8" ht="13.5" customHeight="1" x14ac:dyDescent="0.3">
      <c r="B778" s="225"/>
      <c r="C778" s="186"/>
      <c r="D778" s="186"/>
      <c r="E778" s="186"/>
      <c r="F778" s="234"/>
      <c r="G778" s="495"/>
      <c r="H778" s="495"/>
    </row>
    <row r="779" spans="2:8" ht="13.5" customHeight="1" x14ac:dyDescent="0.3">
      <c r="B779" s="225"/>
      <c r="C779" s="186"/>
      <c r="D779" s="186"/>
      <c r="E779" s="186"/>
      <c r="F779" s="234"/>
      <c r="G779" s="495"/>
      <c r="H779" s="495"/>
    </row>
    <row r="780" spans="2:8" ht="13.5" customHeight="1" x14ac:dyDescent="0.3">
      <c r="B780" s="225"/>
      <c r="C780" s="186"/>
      <c r="D780" s="186"/>
      <c r="E780" s="186"/>
      <c r="F780" s="234"/>
      <c r="G780" s="495"/>
      <c r="H780" s="495"/>
    </row>
    <row r="781" spans="2:8" ht="13.5" customHeight="1" x14ac:dyDescent="0.3">
      <c r="B781" s="225"/>
      <c r="C781" s="186"/>
      <c r="D781" s="186"/>
      <c r="E781" s="186"/>
      <c r="F781" s="234"/>
      <c r="G781" s="495"/>
      <c r="H781" s="495"/>
    </row>
    <row r="782" spans="2:8" ht="13.5" customHeight="1" x14ac:dyDescent="0.3">
      <c r="B782" s="225"/>
      <c r="C782" s="186"/>
      <c r="D782" s="186"/>
      <c r="E782" s="186"/>
      <c r="F782" s="234"/>
      <c r="G782" s="495"/>
      <c r="H782" s="495"/>
    </row>
    <row r="783" spans="2:8" ht="13.5" customHeight="1" x14ac:dyDescent="0.3">
      <c r="B783" s="225"/>
      <c r="C783" s="186"/>
      <c r="D783" s="186"/>
      <c r="E783" s="186"/>
      <c r="F783" s="234"/>
      <c r="G783" s="495"/>
      <c r="H783" s="495"/>
    </row>
    <row r="784" spans="2:8" ht="13.5" customHeight="1" x14ac:dyDescent="0.3">
      <c r="B784" s="225"/>
      <c r="C784" s="186"/>
      <c r="D784" s="186"/>
      <c r="E784" s="186"/>
      <c r="F784" s="234"/>
      <c r="G784" s="495"/>
      <c r="H784" s="495"/>
    </row>
    <row r="785" spans="2:8" ht="13.5" customHeight="1" x14ac:dyDescent="0.3">
      <c r="B785" s="225"/>
      <c r="C785" s="186"/>
      <c r="D785" s="186"/>
      <c r="E785" s="186"/>
      <c r="F785" s="234"/>
      <c r="G785" s="495"/>
      <c r="H785" s="495"/>
    </row>
    <row r="786" spans="2:8" ht="13.5" customHeight="1" x14ac:dyDescent="0.3">
      <c r="B786" s="225"/>
      <c r="C786" s="186"/>
      <c r="D786" s="186"/>
      <c r="E786" s="186"/>
      <c r="F786" s="234"/>
      <c r="G786" s="495"/>
      <c r="H786" s="495"/>
    </row>
    <row r="787" spans="2:8" ht="13.5" customHeight="1" x14ac:dyDescent="0.3">
      <c r="B787" s="225"/>
      <c r="C787" s="186"/>
      <c r="D787" s="186"/>
      <c r="E787" s="186"/>
      <c r="F787" s="234"/>
      <c r="G787" s="495"/>
      <c r="H787" s="495"/>
    </row>
    <row r="788" spans="2:8" ht="13.5" customHeight="1" x14ac:dyDescent="0.3">
      <c r="B788" s="225"/>
      <c r="C788" s="186"/>
      <c r="D788" s="186"/>
      <c r="E788" s="186"/>
      <c r="F788" s="234"/>
      <c r="G788" s="495"/>
      <c r="H788" s="495"/>
    </row>
    <row r="789" spans="2:8" ht="13.5" customHeight="1" x14ac:dyDescent="0.3">
      <c r="B789" s="225"/>
      <c r="C789" s="186"/>
      <c r="D789" s="186"/>
      <c r="E789" s="186"/>
      <c r="F789" s="234"/>
      <c r="G789" s="495"/>
      <c r="H789" s="495"/>
    </row>
    <row r="790" spans="2:8" ht="13.5" customHeight="1" x14ac:dyDescent="0.3">
      <c r="B790" s="225"/>
      <c r="C790" s="186"/>
      <c r="D790" s="186"/>
      <c r="E790" s="186"/>
      <c r="F790" s="234"/>
      <c r="G790" s="495"/>
      <c r="H790" s="495"/>
    </row>
    <row r="791" spans="2:8" ht="13.5" customHeight="1" x14ac:dyDescent="0.3">
      <c r="B791" s="225"/>
      <c r="C791" s="186"/>
      <c r="D791" s="186"/>
      <c r="E791" s="186"/>
      <c r="F791" s="234"/>
      <c r="G791" s="495"/>
      <c r="H791" s="495"/>
    </row>
    <row r="792" spans="2:8" ht="13.5" customHeight="1" x14ac:dyDescent="0.3">
      <c r="B792" s="225"/>
      <c r="C792" s="186"/>
      <c r="D792" s="186"/>
      <c r="E792" s="186"/>
      <c r="F792" s="234"/>
      <c r="G792" s="495"/>
      <c r="H792" s="495"/>
    </row>
    <row r="793" spans="2:8" ht="13.5" customHeight="1" x14ac:dyDescent="0.3">
      <c r="B793" s="225"/>
      <c r="C793" s="186"/>
      <c r="D793" s="186"/>
      <c r="E793" s="186"/>
      <c r="F793" s="234"/>
      <c r="G793" s="495"/>
      <c r="H793" s="495"/>
    </row>
    <row r="794" spans="2:8" ht="13.5" customHeight="1" x14ac:dyDescent="0.3">
      <c r="B794" s="225"/>
      <c r="C794" s="186"/>
      <c r="D794" s="186"/>
      <c r="E794" s="186"/>
      <c r="F794" s="234"/>
      <c r="G794" s="495"/>
      <c r="H794" s="495"/>
    </row>
    <row r="795" spans="2:8" ht="13.5" customHeight="1" x14ac:dyDescent="0.3">
      <c r="B795" s="225"/>
      <c r="C795" s="186"/>
      <c r="D795" s="186"/>
      <c r="E795" s="186"/>
      <c r="F795" s="234"/>
      <c r="G795" s="495"/>
      <c r="H795" s="495"/>
    </row>
    <row r="796" spans="2:8" ht="13.5" customHeight="1" x14ac:dyDescent="0.3">
      <c r="B796" s="225"/>
      <c r="C796" s="186"/>
      <c r="D796" s="186"/>
      <c r="E796" s="186"/>
      <c r="F796" s="234"/>
      <c r="G796" s="495"/>
      <c r="H796" s="495"/>
    </row>
    <row r="797" spans="2:8" ht="13.5" customHeight="1" x14ac:dyDescent="0.3">
      <c r="B797" s="225"/>
      <c r="C797" s="186"/>
      <c r="D797" s="186"/>
      <c r="E797" s="186"/>
      <c r="F797" s="234"/>
      <c r="G797" s="495"/>
      <c r="H797" s="495"/>
    </row>
    <row r="798" spans="2:8" ht="13.5" customHeight="1" x14ac:dyDescent="0.3">
      <c r="B798" s="225"/>
      <c r="C798" s="186"/>
      <c r="D798" s="186"/>
      <c r="E798" s="186"/>
      <c r="F798" s="234"/>
      <c r="G798" s="495"/>
      <c r="H798" s="495"/>
    </row>
    <row r="799" spans="2:8" ht="13.5" customHeight="1" x14ac:dyDescent="0.3">
      <c r="B799" s="225"/>
      <c r="C799" s="186"/>
      <c r="D799" s="186"/>
      <c r="E799" s="186"/>
      <c r="F799" s="234"/>
      <c r="G799" s="495"/>
      <c r="H799" s="495"/>
    </row>
    <row r="800" spans="2:8" ht="13.5" customHeight="1" x14ac:dyDescent="0.3">
      <c r="B800" s="225"/>
      <c r="C800" s="186"/>
      <c r="D800" s="186"/>
      <c r="E800" s="186"/>
      <c r="F800" s="234"/>
      <c r="G800" s="495"/>
      <c r="H800" s="495"/>
    </row>
    <row r="801" spans="2:8" ht="13.5" customHeight="1" x14ac:dyDescent="0.3">
      <c r="B801" s="225"/>
      <c r="C801" s="186"/>
      <c r="D801" s="186"/>
      <c r="E801" s="186"/>
      <c r="F801" s="234"/>
      <c r="G801" s="495"/>
      <c r="H801" s="495"/>
    </row>
    <row r="802" spans="2:8" ht="13.5" customHeight="1" x14ac:dyDescent="0.3">
      <c r="B802" s="225"/>
      <c r="C802" s="186"/>
      <c r="D802" s="186"/>
      <c r="E802" s="186"/>
      <c r="F802" s="234"/>
      <c r="G802" s="495"/>
      <c r="H802" s="495"/>
    </row>
    <row r="803" spans="2:8" ht="13.5" customHeight="1" x14ac:dyDescent="0.3">
      <c r="B803" s="225"/>
      <c r="C803" s="186"/>
      <c r="D803" s="186"/>
      <c r="E803" s="186"/>
      <c r="F803" s="234"/>
      <c r="G803" s="495"/>
      <c r="H803" s="495"/>
    </row>
    <row r="804" spans="2:8" ht="13.5" customHeight="1" x14ac:dyDescent="0.3">
      <c r="B804" s="225"/>
      <c r="C804" s="186"/>
      <c r="D804" s="186"/>
      <c r="E804" s="186"/>
      <c r="F804" s="234"/>
      <c r="G804" s="495"/>
      <c r="H804" s="495"/>
    </row>
    <row r="805" spans="2:8" ht="13.5" customHeight="1" x14ac:dyDescent="0.3">
      <c r="B805" s="225"/>
      <c r="C805" s="186"/>
      <c r="D805" s="186"/>
      <c r="E805" s="186"/>
      <c r="F805" s="234"/>
      <c r="G805" s="495"/>
      <c r="H805" s="495"/>
    </row>
    <row r="806" spans="2:8" ht="13.5" customHeight="1" x14ac:dyDescent="0.3">
      <c r="B806" s="225"/>
      <c r="C806" s="186"/>
      <c r="D806" s="186"/>
      <c r="E806" s="186"/>
      <c r="F806" s="234"/>
      <c r="G806" s="495"/>
      <c r="H806" s="495"/>
    </row>
    <row r="807" spans="2:8" ht="13.5" customHeight="1" x14ac:dyDescent="0.3">
      <c r="B807" s="225"/>
      <c r="C807" s="186"/>
      <c r="D807" s="186"/>
      <c r="E807" s="186"/>
      <c r="F807" s="234"/>
      <c r="G807" s="495"/>
      <c r="H807" s="495"/>
    </row>
    <row r="808" spans="2:8" ht="13.5" customHeight="1" x14ac:dyDescent="0.3">
      <c r="B808" s="225"/>
      <c r="C808" s="186"/>
      <c r="D808" s="186"/>
      <c r="E808" s="186"/>
      <c r="F808" s="234"/>
      <c r="G808" s="495"/>
      <c r="H808" s="495"/>
    </row>
    <row r="809" spans="2:8" ht="13.5" customHeight="1" x14ac:dyDescent="0.3">
      <c r="B809" s="225"/>
      <c r="C809" s="186"/>
      <c r="D809" s="186"/>
      <c r="E809" s="186"/>
      <c r="F809" s="234"/>
      <c r="G809" s="495"/>
      <c r="H809" s="495"/>
    </row>
    <row r="810" spans="2:8" ht="13.5" customHeight="1" x14ac:dyDescent="0.3">
      <c r="B810" s="225"/>
      <c r="C810" s="186"/>
      <c r="D810" s="186"/>
      <c r="E810" s="186"/>
      <c r="F810" s="234"/>
      <c r="G810" s="495"/>
      <c r="H810" s="495"/>
    </row>
    <row r="811" spans="2:8" ht="13.5" customHeight="1" x14ac:dyDescent="0.3">
      <c r="B811" s="225"/>
      <c r="C811" s="186"/>
      <c r="D811" s="186"/>
      <c r="E811" s="186"/>
      <c r="F811" s="234"/>
      <c r="G811" s="495"/>
      <c r="H811" s="495"/>
    </row>
    <row r="812" spans="2:8" ht="13.5" customHeight="1" x14ac:dyDescent="0.3">
      <c r="B812" s="225"/>
      <c r="C812" s="186"/>
      <c r="D812" s="186"/>
      <c r="E812" s="186"/>
      <c r="F812" s="234"/>
      <c r="G812" s="495"/>
      <c r="H812" s="495"/>
    </row>
    <row r="813" spans="2:8" ht="13.5" customHeight="1" x14ac:dyDescent="0.3">
      <c r="B813" s="225"/>
      <c r="C813" s="186"/>
      <c r="D813" s="186"/>
      <c r="E813" s="186"/>
      <c r="F813" s="234"/>
      <c r="G813" s="495"/>
      <c r="H813" s="495"/>
    </row>
    <row r="814" spans="2:8" ht="13.5" customHeight="1" x14ac:dyDescent="0.3">
      <c r="B814" s="225"/>
      <c r="C814" s="186"/>
      <c r="D814" s="186"/>
      <c r="E814" s="186"/>
      <c r="F814" s="234"/>
      <c r="G814" s="495"/>
      <c r="H814" s="495"/>
    </row>
    <row r="815" spans="2:8" ht="13.5" customHeight="1" x14ac:dyDescent="0.3">
      <c r="B815" s="225"/>
      <c r="C815" s="186"/>
      <c r="D815" s="186"/>
      <c r="E815" s="186"/>
      <c r="F815" s="234"/>
      <c r="G815" s="495"/>
      <c r="H815" s="495"/>
    </row>
    <row r="816" spans="2:8" ht="13.5" customHeight="1" x14ac:dyDescent="0.3">
      <c r="B816" s="225"/>
      <c r="C816" s="186"/>
      <c r="D816" s="186"/>
      <c r="E816" s="186"/>
      <c r="F816" s="234"/>
      <c r="G816" s="495"/>
      <c r="H816" s="495"/>
    </row>
    <row r="817" spans="2:8" ht="13.5" customHeight="1" x14ac:dyDescent="0.3">
      <c r="B817" s="225"/>
      <c r="C817" s="186"/>
      <c r="D817" s="186"/>
      <c r="E817" s="186"/>
      <c r="F817" s="234"/>
      <c r="G817" s="495"/>
      <c r="H817" s="495"/>
    </row>
    <row r="818" spans="2:8" ht="13.5" customHeight="1" x14ac:dyDescent="0.3">
      <c r="B818" s="225"/>
      <c r="C818" s="186"/>
      <c r="D818" s="186"/>
      <c r="E818" s="186"/>
      <c r="F818" s="234"/>
      <c r="G818" s="495"/>
      <c r="H818" s="495"/>
    </row>
    <row r="819" spans="2:8" ht="13.5" customHeight="1" x14ac:dyDescent="0.3">
      <c r="B819" s="225"/>
      <c r="C819" s="186"/>
      <c r="D819" s="186"/>
      <c r="E819" s="186"/>
      <c r="F819" s="234"/>
      <c r="G819" s="495"/>
      <c r="H819" s="495"/>
    </row>
    <row r="820" spans="2:8" ht="13.5" customHeight="1" x14ac:dyDescent="0.3">
      <c r="B820" s="225"/>
      <c r="C820" s="186"/>
      <c r="D820" s="186"/>
      <c r="E820" s="186"/>
      <c r="F820" s="234"/>
      <c r="G820" s="495"/>
      <c r="H820" s="495"/>
    </row>
    <row r="821" spans="2:8" ht="13.5" customHeight="1" x14ac:dyDescent="0.3">
      <c r="B821" s="225"/>
      <c r="C821" s="186"/>
      <c r="D821" s="186"/>
      <c r="E821" s="186"/>
      <c r="F821" s="234"/>
      <c r="G821" s="495"/>
      <c r="H821" s="495"/>
    </row>
    <row r="822" spans="2:8" ht="13.5" customHeight="1" x14ac:dyDescent="0.3">
      <c r="B822" s="225"/>
      <c r="C822" s="186"/>
      <c r="D822" s="186"/>
      <c r="E822" s="186"/>
      <c r="F822" s="234"/>
      <c r="G822" s="495"/>
      <c r="H822" s="495"/>
    </row>
    <row r="823" spans="2:8" ht="13.5" customHeight="1" x14ac:dyDescent="0.3">
      <c r="B823" s="225"/>
      <c r="C823" s="186"/>
      <c r="D823" s="186"/>
      <c r="E823" s="186"/>
      <c r="F823" s="234"/>
      <c r="G823" s="495"/>
      <c r="H823" s="495"/>
    </row>
    <row r="824" spans="2:8" ht="13.5" customHeight="1" x14ac:dyDescent="0.3">
      <c r="B824" s="225"/>
      <c r="C824" s="186"/>
      <c r="D824" s="186"/>
      <c r="E824" s="186"/>
      <c r="F824" s="234"/>
      <c r="G824" s="495"/>
      <c r="H824" s="495"/>
    </row>
    <row r="825" spans="2:8" ht="13.5" customHeight="1" x14ac:dyDescent="0.3">
      <c r="B825" s="225"/>
      <c r="C825" s="186"/>
      <c r="D825" s="186"/>
      <c r="E825" s="186"/>
      <c r="F825" s="234"/>
      <c r="G825" s="495"/>
      <c r="H825" s="495"/>
    </row>
    <row r="826" spans="2:8" ht="13.5" customHeight="1" x14ac:dyDescent="0.3">
      <c r="B826" s="225"/>
      <c r="C826" s="186"/>
      <c r="D826" s="186"/>
      <c r="E826" s="186"/>
      <c r="F826" s="234"/>
      <c r="G826" s="495"/>
      <c r="H826" s="495"/>
    </row>
    <row r="827" spans="2:8" ht="13.5" customHeight="1" x14ac:dyDescent="0.3">
      <c r="B827" s="225"/>
      <c r="C827" s="186"/>
      <c r="D827" s="186"/>
      <c r="E827" s="186"/>
      <c r="F827" s="234"/>
      <c r="G827" s="495"/>
      <c r="H827" s="495"/>
    </row>
    <row r="828" spans="2:8" ht="13.5" customHeight="1" x14ac:dyDescent="0.3">
      <c r="B828" s="225"/>
      <c r="C828" s="186"/>
      <c r="D828" s="186"/>
      <c r="E828" s="186"/>
      <c r="F828" s="234"/>
      <c r="G828" s="495"/>
      <c r="H828" s="495"/>
    </row>
    <row r="829" spans="2:8" ht="13.5" customHeight="1" x14ac:dyDescent="0.3">
      <c r="B829" s="225"/>
      <c r="C829" s="186"/>
      <c r="D829" s="186"/>
      <c r="E829" s="186"/>
      <c r="F829" s="234"/>
      <c r="G829" s="495"/>
      <c r="H829" s="495"/>
    </row>
    <row r="830" spans="2:8" ht="13.5" customHeight="1" x14ac:dyDescent="0.3">
      <c r="B830" s="225"/>
      <c r="C830" s="186"/>
      <c r="D830" s="186"/>
      <c r="E830" s="186"/>
      <c r="F830" s="234"/>
      <c r="G830" s="495"/>
      <c r="H830" s="495"/>
    </row>
    <row r="831" spans="2:8" ht="13.5" customHeight="1" x14ac:dyDescent="0.3">
      <c r="B831" s="225"/>
      <c r="C831" s="186"/>
      <c r="D831" s="186"/>
      <c r="E831" s="186"/>
      <c r="F831" s="234"/>
      <c r="G831" s="495"/>
      <c r="H831" s="495"/>
    </row>
    <row r="832" spans="2:8" ht="13.5" customHeight="1" x14ac:dyDescent="0.3">
      <c r="B832" s="225"/>
      <c r="C832" s="186"/>
      <c r="D832" s="186"/>
      <c r="E832" s="186"/>
      <c r="F832" s="234"/>
      <c r="G832" s="495"/>
      <c r="H832" s="495"/>
    </row>
    <row r="833" spans="2:8" ht="13.5" customHeight="1" x14ac:dyDescent="0.3">
      <c r="B833" s="225"/>
      <c r="C833" s="186"/>
      <c r="D833" s="186"/>
      <c r="E833" s="186"/>
      <c r="F833" s="234"/>
      <c r="G833" s="495"/>
      <c r="H833" s="495"/>
    </row>
    <row r="834" spans="2:8" ht="13.5" customHeight="1" x14ac:dyDescent="0.3">
      <c r="B834" s="225"/>
      <c r="C834" s="186"/>
      <c r="D834" s="186"/>
      <c r="E834" s="186"/>
      <c r="F834" s="234"/>
      <c r="G834" s="495"/>
      <c r="H834" s="495"/>
    </row>
    <row r="835" spans="2:8" ht="13.5" customHeight="1" x14ac:dyDescent="0.3">
      <c r="B835" s="225"/>
      <c r="C835" s="186"/>
      <c r="D835" s="186"/>
      <c r="E835" s="186"/>
      <c r="F835" s="234"/>
      <c r="G835" s="495"/>
      <c r="H835" s="495"/>
    </row>
    <row r="836" spans="2:8" ht="13.5" customHeight="1" x14ac:dyDescent="0.3">
      <c r="B836" s="225"/>
      <c r="C836" s="186"/>
      <c r="D836" s="186"/>
      <c r="E836" s="186"/>
      <c r="F836" s="234"/>
      <c r="G836" s="495"/>
      <c r="H836" s="495"/>
    </row>
    <row r="837" spans="2:8" ht="13.5" customHeight="1" x14ac:dyDescent="0.3">
      <c r="B837" s="225"/>
      <c r="C837" s="186"/>
      <c r="D837" s="186"/>
      <c r="E837" s="186"/>
      <c r="F837" s="234"/>
      <c r="G837" s="495"/>
      <c r="H837" s="495"/>
    </row>
    <row r="838" spans="2:8" ht="13.5" customHeight="1" x14ac:dyDescent="0.3">
      <c r="B838" s="225"/>
      <c r="C838" s="186"/>
      <c r="D838" s="186"/>
      <c r="E838" s="186"/>
      <c r="F838" s="234"/>
      <c r="G838" s="495"/>
      <c r="H838" s="495"/>
    </row>
    <row r="839" spans="2:8" ht="13.5" customHeight="1" x14ac:dyDescent="0.3">
      <c r="B839" s="225"/>
      <c r="C839" s="186"/>
      <c r="D839" s="186"/>
      <c r="E839" s="186"/>
      <c r="F839" s="234"/>
      <c r="G839" s="495"/>
      <c r="H839" s="495"/>
    </row>
    <row r="840" spans="2:8" ht="13.5" customHeight="1" x14ac:dyDescent="0.3">
      <c r="B840" s="225"/>
      <c r="C840" s="186"/>
      <c r="D840" s="186"/>
      <c r="E840" s="186"/>
      <c r="F840" s="234"/>
      <c r="G840" s="495"/>
      <c r="H840" s="495"/>
    </row>
    <row r="841" spans="2:8" ht="13.5" customHeight="1" x14ac:dyDescent="0.3">
      <c r="B841" s="225"/>
      <c r="C841" s="186"/>
      <c r="D841" s="186"/>
      <c r="E841" s="186"/>
      <c r="F841" s="234"/>
      <c r="G841" s="495"/>
      <c r="H841" s="495"/>
    </row>
    <row r="842" spans="2:8" ht="13.5" customHeight="1" x14ac:dyDescent="0.3">
      <c r="B842" s="225"/>
      <c r="C842" s="186"/>
      <c r="D842" s="186"/>
      <c r="E842" s="186"/>
      <c r="F842" s="234"/>
      <c r="G842" s="495"/>
      <c r="H842" s="495"/>
    </row>
    <row r="843" spans="2:8" ht="13.5" customHeight="1" x14ac:dyDescent="0.3">
      <c r="B843" s="225"/>
      <c r="C843" s="186"/>
      <c r="D843" s="186"/>
      <c r="E843" s="186"/>
      <c r="F843" s="234"/>
      <c r="G843" s="495"/>
      <c r="H843" s="495"/>
    </row>
    <row r="844" spans="2:8" ht="13.5" customHeight="1" x14ac:dyDescent="0.3">
      <c r="B844" s="225"/>
      <c r="C844" s="186"/>
      <c r="D844" s="186"/>
      <c r="E844" s="186"/>
      <c r="F844" s="234"/>
      <c r="G844" s="495"/>
      <c r="H844" s="495"/>
    </row>
    <row r="845" spans="2:8" ht="13.5" customHeight="1" x14ac:dyDescent="0.3">
      <c r="B845" s="225"/>
      <c r="C845" s="186"/>
      <c r="D845" s="186"/>
      <c r="E845" s="186"/>
      <c r="F845" s="234"/>
      <c r="G845" s="495"/>
      <c r="H845" s="495"/>
    </row>
    <row r="846" spans="2:8" ht="13.5" customHeight="1" x14ac:dyDescent="0.3">
      <c r="B846" s="225"/>
      <c r="C846" s="186"/>
      <c r="D846" s="186"/>
      <c r="E846" s="186"/>
      <c r="F846" s="234"/>
      <c r="G846" s="495"/>
      <c r="H846" s="495"/>
    </row>
    <row r="847" spans="2:8" ht="13.5" customHeight="1" x14ac:dyDescent="0.3">
      <c r="B847" s="225"/>
      <c r="C847" s="186"/>
      <c r="D847" s="186"/>
      <c r="E847" s="186"/>
      <c r="F847" s="234"/>
      <c r="G847" s="495"/>
      <c r="H847" s="495"/>
    </row>
    <row r="848" spans="2:8" ht="13.5" customHeight="1" x14ac:dyDescent="0.3">
      <c r="B848" s="225"/>
      <c r="C848" s="186"/>
      <c r="D848" s="186"/>
      <c r="E848" s="186"/>
      <c r="F848" s="234"/>
      <c r="G848" s="495"/>
      <c r="H848" s="495"/>
    </row>
    <row r="849" spans="2:8" ht="13.5" customHeight="1" x14ac:dyDescent="0.3">
      <c r="B849" s="225"/>
      <c r="C849" s="186"/>
      <c r="D849" s="186"/>
      <c r="E849" s="186"/>
      <c r="F849" s="234"/>
      <c r="G849" s="495"/>
      <c r="H849" s="495"/>
    </row>
    <row r="850" spans="2:8" ht="13.5" customHeight="1" x14ac:dyDescent="0.3">
      <c r="B850" s="225"/>
      <c r="C850" s="186"/>
      <c r="D850" s="186"/>
      <c r="E850" s="186"/>
      <c r="F850" s="234"/>
      <c r="G850" s="495"/>
      <c r="H850" s="495"/>
    </row>
    <row r="851" spans="2:8" ht="13.5" customHeight="1" x14ac:dyDescent="0.3">
      <c r="B851" s="225"/>
      <c r="C851" s="186"/>
      <c r="D851" s="186"/>
      <c r="E851" s="186"/>
      <c r="F851" s="234"/>
      <c r="G851" s="495"/>
      <c r="H851" s="495"/>
    </row>
    <row r="852" spans="2:8" ht="13.5" customHeight="1" x14ac:dyDescent="0.3">
      <c r="B852" s="225"/>
      <c r="C852" s="186"/>
      <c r="D852" s="186"/>
      <c r="E852" s="186"/>
      <c r="F852" s="234"/>
      <c r="G852" s="495"/>
      <c r="H852" s="495"/>
    </row>
    <row r="853" spans="2:8" ht="13.5" customHeight="1" x14ac:dyDescent="0.3">
      <c r="B853" s="225"/>
      <c r="C853" s="186"/>
      <c r="D853" s="186"/>
      <c r="E853" s="186"/>
      <c r="F853" s="234"/>
      <c r="G853" s="495"/>
      <c r="H853" s="495"/>
    </row>
    <row r="854" spans="2:8" ht="13.5" customHeight="1" x14ac:dyDescent="0.3">
      <c r="B854" s="225"/>
      <c r="C854" s="186"/>
      <c r="D854" s="186"/>
      <c r="E854" s="186"/>
      <c r="F854" s="234"/>
      <c r="G854" s="495"/>
      <c r="H854" s="495"/>
    </row>
    <row r="855" spans="2:8" ht="13.5" customHeight="1" x14ac:dyDescent="0.3">
      <c r="B855" s="225"/>
      <c r="C855" s="186"/>
      <c r="D855" s="186"/>
      <c r="E855" s="186"/>
      <c r="F855" s="234"/>
      <c r="G855" s="495"/>
      <c r="H855" s="495"/>
    </row>
    <row r="856" spans="2:8" ht="13.5" customHeight="1" x14ac:dyDescent="0.3">
      <c r="B856" s="225"/>
      <c r="C856" s="186"/>
      <c r="D856" s="186"/>
      <c r="E856" s="186"/>
      <c r="F856" s="234"/>
      <c r="G856" s="495"/>
      <c r="H856" s="495"/>
    </row>
    <row r="857" spans="2:8" ht="13.5" customHeight="1" x14ac:dyDescent="0.3">
      <c r="B857" s="225"/>
      <c r="C857" s="186"/>
      <c r="D857" s="186"/>
      <c r="E857" s="186"/>
      <c r="F857" s="234"/>
      <c r="G857" s="495"/>
      <c r="H857" s="495"/>
    </row>
    <row r="858" spans="2:8" ht="13.5" customHeight="1" x14ac:dyDescent="0.3">
      <c r="B858" s="225"/>
      <c r="C858" s="186"/>
      <c r="D858" s="186"/>
      <c r="E858" s="186"/>
      <c r="F858" s="234"/>
      <c r="G858" s="495"/>
      <c r="H858" s="495"/>
    </row>
    <row r="859" spans="2:8" ht="13.5" customHeight="1" x14ac:dyDescent="0.3">
      <c r="B859" s="225"/>
      <c r="C859" s="186"/>
      <c r="D859" s="186"/>
      <c r="E859" s="186"/>
      <c r="F859" s="234"/>
      <c r="G859" s="495"/>
      <c r="H859" s="495"/>
    </row>
    <row r="860" spans="2:8" ht="13.5" customHeight="1" x14ac:dyDescent="0.3">
      <c r="B860" s="225"/>
      <c r="C860" s="186"/>
      <c r="D860" s="186"/>
      <c r="E860" s="186"/>
      <c r="F860" s="234"/>
      <c r="G860" s="495"/>
      <c r="H860" s="495"/>
    </row>
    <row r="861" spans="2:8" ht="13.5" customHeight="1" x14ac:dyDescent="0.3">
      <c r="B861" s="225"/>
      <c r="C861" s="186"/>
      <c r="D861" s="186"/>
      <c r="E861" s="186"/>
      <c r="F861" s="234"/>
      <c r="G861" s="495"/>
      <c r="H861" s="495"/>
    </row>
    <row r="862" spans="2:8" ht="13.5" customHeight="1" x14ac:dyDescent="0.3">
      <c r="B862" s="225"/>
      <c r="C862" s="186"/>
      <c r="D862" s="186"/>
      <c r="E862" s="186"/>
      <c r="F862" s="234"/>
      <c r="G862" s="495"/>
      <c r="H862" s="495"/>
    </row>
    <row r="863" spans="2:8" ht="13.5" customHeight="1" x14ac:dyDescent="0.3">
      <c r="B863" s="225"/>
      <c r="C863" s="186"/>
      <c r="D863" s="186"/>
      <c r="E863" s="186"/>
      <c r="F863" s="234"/>
      <c r="G863" s="495"/>
      <c r="H863" s="495"/>
    </row>
    <row r="864" spans="2:8" ht="13.5" customHeight="1" x14ac:dyDescent="0.3">
      <c r="B864" s="225"/>
      <c r="C864" s="186"/>
      <c r="D864" s="186"/>
      <c r="E864" s="186"/>
      <c r="F864" s="234"/>
      <c r="G864" s="495"/>
      <c r="H864" s="495"/>
    </row>
    <row r="865" spans="2:8" ht="13.5" customHeight="1" x14ac:dyDescent="0.3">
      <c r="B865" s="225"/>
      <c r="C865" s="186"/>
      <c r="D865" s="186"/>
      <c r="E865" s="186"/>
      <c r="F865" s="234"/>
      <c r="G865" s="495"/>
      <c r="H865" s="495"/>
    </row>
    <row r="866" spans="2:8" ht="13.5" customHeight="1" x14ac:dyDescent="0.3">
      <c r="B866" s="225"/>
      <c r="C866" s="186"/>
      <c r="D866" s="186"/>
      <c r="E866" s="186"/>
      <c r="F866" s="234"/>
      <c r="G866" s="495"/>
      <c r="H866" s="495"/>
    </row>
    <row r="867" spans="2:8" ht="13.5" customHeight="1" x14ac:dyDescent="0.3">
      <c r="B867" s="225"/>
      <c r="C867" s="186"/>
      <c r="D867" s="186"/>
      <c r="E867" s="186"/>
      <c r="F867" s="234"/>
      <c r="G867" s="495"/>
      <c r="H867" s="495"/>
    </row>
    <row r="868" spans="2:8" ht="13.5" customHeight="1" x14ac:dyDescent="0.3">
      <c r="B868" s="225"/>
      <c r="C868" s="186"/>
      <c r="D868" s="186"/>
      <c r="E868" s="186"/>
      <c r="F868" s="234"/>
      <c r="G868" s="495"/>
      <c r="H868" s="495"/>
    </row>
    <row r="869" spans="2:8" ht="13.5" customHeight="1" x14ac:dyDescent="0.3">
      <c r="B869" s="225"/>
      <c r="C869" s="186"/>
      <c r="D869" s="186"/>
      <c r="E869" s="186"/>
      <c r="F869" s="234"/>
      <c r="G869" s="495"/>
      <c r="H869" s="495"/>
    </row>
    <row r="870" spans="2:8" ht="13.5" customHeight="1" x14ac:dyDescent="0.3">
      <c r="B870" s="225"/>
      <c r="C870" s="186"/>
      <c r="D870" s="186"/>
      <c r="E870" s="186"/>
      <c r="F870" s="234"/>
      <c r="G870" s="495"/>
      <c r="H870" s="495"/>
    </row>
    <row r="871" spans="2:8" ht="13.5" customHeight="1" x14ac:dyDescent="0.3">
      <c r="B871" s="225"/>
      <c r="C871" s="186"/>
      <c r="D871" s="186"/>
      <c r="E871" s="186"/>
      <c r="F871" s="234"/>
      <c r="G871" s="495"/>
      <c r="H871" s="495"/>
    </row>
    <row r="872" spans="2:8" ht="13.5" customHeight="1" x14ac:dyDescent="0.3">
      <c r="B872" s="225"/>
      <c r="C872" s="186"/>
      <c r="D872" s="186"/>
      <c r="E872" s="186"/>
      <c r="F872" s="234"/>
      <c r="G872" s="495"/>
      <c r="H872" s="495"/>
    </row>
    <row r="873" spans="2:8" ht="13.5" customHeight="1" x14ac:dyDescent="0.3">
      <c r="B873" s="225"/>
      <c r="C873" s="186"/>
      <c r="D873" s="186"/>
      <c r="E873" s="186"/>
      <c r="F873" s="234"/>
      <c r="G873" s="495"/>
      <c r="H873" s="495"/>
    </row>
    <row r="874" spans="2:8" ht="13.5" customHeight="1" x14ac:dyDescent="0.3">
      <c r="B874" s="225"/>
      <c r="C874" s="186"/>
      <c r="D874" s="186"/>
      <c r="E874" s="186"/>
      <c r="F874" s="234"/>
      <c r="G874" s="495"/>
      <c r="H874" s="495"/>
    </row>
    <row r="875" spans="2:8" ht="13.5" customHeight="1" x14ac:dyDescent="0.3">
      <c r="B875" s="225"/>
      <c r="C875" s="186"/>
      <c r="D875" s="186"/>
      <c r="E875" s="186"/>
      <c r="F875" s="234"/>
      <c r="G875" s="495"/>
      <c r="H875" s="495"/>
    </row>
    <row r="876" spans="2:8" ht="13.5" customHeight="1" x14ac:dyDescent="0.3">
      <c r="B876" s="225"/>
      <c r="C876" s="186"/>
      <c r="D876" s="186"/>
      <c r="E876" s="186"/>
      <c r="F876" s="234"/>
      <c r="G876" s="495"/>
      <c r="H876" s="495"/>
    </row>
    <row r="877" spans="2:8" ht="13.5" customHeight="1" x14ac:dyDescent="0.3">
      <c r="B877" s="225"/>
      <c r="C877" s="186"/>
      <c r="D877" s="186"/>
      <c r="E877" s="186"/>
      <c r="F877" s="234"/>
      <c r="G877" s="495"/>
      <c r="H877" s="495"/>
    </row>
    <row r="878" spans="2:8" ht="13.5" customHeight="1" x14ac:dyDescent="0.3">
      <c r="B878" s="225"/>
      <c r="C878" s="186"/>
      <c r="D878" s="186"/>
      <c r="E878" s="186"/>
      <c r="F878" s="234"/>
      <c r="G878" s="495"/>
      <c r="H878" s="495"/>
    </row>
    <row r="879" spans="2:8" ht="13.5" customHeight="1" x14ac:dyDescent="0.3">
      <c r="B879" s="225"/>
      <c r="C879" s="186"/>
      <c r="D879" s="186"/>
      <c r="E879" s="186"/>
      <c r="F879" s="234"/>
      <c r="G879" s="495"/>
      <c r="H879" s="495"/>
    </row>
    <row r="880" spans="2:8" ht="13.5" customHeight="1" x14ac:dyDescent="0.3">
      <c r="B880" s="225"/>
      <c r="C880" s="186"/>
      <c r="D880" s="186"/>
      <c r="E880" s="186"/>
      <c r="F880" s="234"/>
      <c r="G880" s="495"/>
      <c r="H880" s="495"/>
    </row>
    <row r="881" spans="2:8" ht="13.5" customHeight="1" x14ac:dyDescent="0.3">
      <c r="B881" s="225"/>
      <c r="C881" s="186"/>
      <c r="D881" s="186"/>
      <c r="E881" s="186"/>
      <c r="F881" s="234"/>
      <c r="G881" s="495"/>
      <c r="H881" s="495"/>
    </row>
    <row r="882" spans="2:8" ht="13.5" customHeight="1" x14ac:dyDescent="0.3">
      <c r="B882" s="225"/>
      <c r="C882" s="186"/>
      <c r="D882" s="186"/>
      <c r="E882" s="186"/>
      <c r="F882" s="234"/>
      <c r="G882" s="495"/>
      <c r="H882" s="495"/>
    </row>
    <row r="883" spans="2:8" ht="13.5" customHeight="1" x14ac:dyDescent="0.3">
      <c r="B883" s="225"/>
      <c r="C883" s="186"/>
      <c r="D883" s="186"/>
      <c r="E883" s="186"/>
      <c r="F883" s="234"/>
      <c r="G883" s="495"/>
      <c r="H883" s="495"/>
    </row>
    <row r="884" spans="2:8" ht="13.5" customHeight="1" x14ac:dyDescent="0.3">
      <c r="B884" s="225"/>
      <c r="C884" s="186"/>
      <c r="D884" s="186"/>
      <c r="E884" s="186"/>
      <c r="F884" s="234"/>
      <c r="G884" s="495"/>
      <c r="H884" s="495"/>
    </row>
    <row r="885" spans="2:8" ht="13.5" customHeight="1" x14ac:dyDescent="0.3">
      <c r="B885" s="225"/>
      <c r="C885" s="186"/>
      <c r="D885" s="186"/>
      <c r="E885" s="186"/>
      <c r="F885" s="234"/>
      <c r="G885" s="495"/>
      <c r="H885" s="495"/>
    </row>
    <row r="886" spans="2:8" ht="13.5" customHeight="1" x14ac:dyDescent="0.3">
      <c r="B886" s="225"/>
      <c r="C886" s="186"/>
      <c r="D886" s="186"/>
      <c r="E886" s="186"/>
      <c r="F886" s="234"/>
      <c r="G886" s="495"/>
      <c r="H886" s="495"/>
    </row>
    <row r="887" spans="2:8" ht="13.5" customHeight="1" x14ac:dyDescent="0.3">
      <c r="B887" s="225"/>
      <c r="C887" s="186"/>
      <c r="D887" s="186"/>
      <c r="E887" s="186"/>
      <c r="F887" s="234"/>
      <c r="G887" s="495"/>
      <c r="H887" s="495"/>
    </row>
    <row r="888" spans="2:8" ht="13.5" customHeight="1" x14ac:dyDescent="0.3">
      <c r="B888" s="225"/>
      <c r="C888" s="186"/>
      <c r="D888" s="186"/>
      <c r="E888" s="186"/>
      <c r="F888" s="234"/>
      <c r="G888" s="495"/>
      <c r="H888" s="495"/>
    </row>
    <row r="889" spans="2:8" ht="13.5" customHeight="1" x14ac:dyDescent="0.3">
      <c r="B889" s="225"/>
      <c r="C889" s="186"/>
      <c r="D889" s="186"/>
      <c r="E889" s="186"/>
      <c r="F889" s="234"/>
      <c r="G889" s="495"/>
      <c r="H889" s="495"/>
    </row>
    <row r="890" spans="2:8" ht="13.5" customHeight="1" x14ac:dyDescent="0.3">
      <c r="B890" s="225"/>
      <c r="C890" s="186"/>
      <c r="D890" s="186"/>
      <c r="E890" s="186"/>
      <c r="F890" s="234"/>
      <c r="G890" s="495"/>
      <c r="H890" s="495"/>
    </row>
    <row r="891" spans="2:8" ht="13.5" customHeight="1" x14ac:dyDescent="0.3">
      <c r="B891" s="225"/>
      <c r="C891" s="186"/>
      <c r="D891" s="186"/>
      <c r="E891" s="186"/>
      <c r="F891" s="234"/>
      <c r="G891" s="495"/>
      <c r="H891" s="495"/>
    </row>
    <row r="892" spans="2:8" ht="13.5" customHeight="1" x14ac:dyDescent="0.3">
      <c r="B892" s="225"/>
      <c r="C892" s="186"/>
      <c r="D892" s="186"/>
      <c r="E892" s="186"/>
      <c r="F892" s="234"/>
      <c r="G892" s="495"/>
      <c r="H892" s="495"/>
    </row>
    <row r="893" spans="2:8" ht="13.5" customHeight="1" x14ac:dyDescent="0.3">
      <c r="B893" s="225"/>
      <c r="C893" s="186"/>
      <c r="D893" s="186"/>
      <c r="E893" s="186"/>
      <c r="F893" s="234"/>
      <c r="G893" s="495"/>
      <c r="H893" s="495"/>
    </row>
    <row r="894" spans="2:8" ht="13.5" customHeight="1" x14ac:dyDescent="0.3">
      <c r="B894" s="225"/>
      <c r="C894" s="186"/>
      <c r="D894" s="186"/>
      <c r="E894" s="186"/>
      <c r="F894" s="234"/>
      <c r="G894" s="495"/>
      <c r="H894" s="495"/>
    </row>
    <row r="895" spans="2:8" ht="13.5" customHeight="1" x14ac:dyDescent="0.3">
      <c r="B895" s="225"/>
      <c r="C895" s="186"/>
      <c r="D895" s="186"/>
      <c r="E895" s="186"/>
      <c r="F895" s="234"/>
      <c r="G895" s="495"/>
      <c r="H895" s="495"/>
    </row>
    <row r="896" spans="2:8" ht="13.5" customHeight="1" x14ac:dyDescent="0.3">
      <c r="B896" s="225"/>
      <c r="C896" s="186"/>
      <c r="D896" s="186"/>
      <c r="E896" s="186"/>
      <c r="F896" s="234"/>
      <c r="G896" s="495"/>
      <c r="H896" s="495"/>
    </row>
    <row r="897" spans="2:8" ht="13.5" customHeight="1" x14ac:dyDescent="0.3">
      <c r="B897" s="225"/>
      <c r="C897" s="186"/>
      <c r="D897" s="186"/>
      <c r="E897" s="186"/>
      <c r="F897" s="234"/>
      <c r="G897" s="495"/>
      <c r="H897" s="495"/>
    </row>
    <row r="898" spans="2:8" ht="13.5" customHeight="1" x14ac:dyDescent="0.3">
      <c r="B898" s="225"/>
      <c r="C898" s="186"/>
      <c r="D898" s="186"/>
      <c r="E898" s="186"/>
      <c r="F898" s="234"/>
      <c r="G898" s="495"/>
      <c r="H898" s="495"/>
    </row>
    <row r="899" spans="2:8" ht="13.5" customHeight="1" x14ac:dyDescent="0.3">
      <c r="B899" s="225"/>
      <c r="C899" s="186"/>
      <c r="D899" s="186"/>
      <c r="E899" s="186"/>
      <c r="F899" s="234"/>
      <c r="G899" s="495"/>
      <c r="H899" s="495"/>
    </row>
    <row r="900" spans="2:8" ht="13.5" customHeight="1" x14ac:dyDescent="0.3">
      <c r="B900" s="225"/>
      <c r="C900" s="186"/>
      <c r="D900" s="186"/>
      <c r="E900" s="186"/>
      <c r="F900" s="234"/>
      <c r="G900" s="495"/>
      <c r="H900" s="495"/>
    </row>
    <row r="901" spans="2:8" ht="13.5" customHeight="1" x14ac:dyDescent="0.3">
      <c r="B901" s="225"/>
      <c r="C901" s="186"/>
      <c r="D901" s="186"/>
      <c r="E901" s="186"/>
      <c r="F901" s="234"/>
      <c r="G901" s="495"/>
      <c r="H901" s="495"/>
    </row>
    <row r="902" spans="2:8" ht="13.5" customHeight="1" x14ac:dyDescent="0.3">
      <c r="B902" s="225"/>
      <c r="C902" s="186"/>
      <c r="D902" s="186"/>
      <c r="E902" s="186"/>
      <c r="F902" s="234"/>
      <c r="G902" s="495"/>
      <c r="H902" s="495"/>
    </row>
    <row r="903" spans="2:8" ht="13.5" customHeight="1" x14ac:dyDescent="0.3">
      <c r="B903" s="225"/>
      <c r="C903" s="186"/>
      <c r="D903" s="186"/>
      <c r="E903" s="186"/>
      <c r="F903" s="234"/>
      <c r="G903" s="495"/>
      <c r="H903" s="495"/>
    </row>
    <row r="904" spans="2:8" ht="13.5" customHeight="1" x14ac:dyDescent="0.3">
      <c r="B904" s="225"/>
      <c r="C904" s="186"/>
      <c r="D904" s="186"/>
      <c r="E904" s="186"/>
      <c r="F904" s="234"/>
      <c r="G904" s="495"/>
      <c r="H904" s="495"/>
    </row>
    <row r="905" spans="2:8" ht="13.5" customHeight="1" x14ac:dyDescent="0.3">
      <c r="B905" s="225"/>
      <c r="C905" s="186"/>
      <c r="D905" s="186"/>
      <c r="E905" s="186"/>
      <c r="F905" s="234"/>
      <c r="G905" s="495"/>
      <c r="H905" s="495"/>
    </row>
    <row r="906" spans="2:8" ht="13.5" customHeight="1" x14ac:dyDescent="0.3">
      <c r="B906" s="225"/>
      <c r="C906" s="186"/>
      <c r="D906" s="186"/>
      <c r="E906" s="186"/>
      <c r="F906" s="234"/>
      <c r="G906" s="495"/>
      <c r="H906" s="495"/>
    </row>
    <row r="907" spans="2:8" ht="13.5" customHeight="1" x14ac:dyDescent="0.3">
      <c r="B907" s="225"/>
      <c r="C907" s="186"/>
      <c r="D907" s="186"/>
      <c r="E907" s="186"/>
      <c r="F907" s="234"/>
      <c r="G907" s="495"/>
      <c r="H907" s="495"/>
    </row>
    <row r="908" spans="2:8" ht="13.5" customHeight="1" x14ac:dyDescent="0.3">
      <c r="B908" s="225"/>
      <c r="C908" s="186"/>
      <c r="D908" s="186"/>
      <c r="E908" s="186"/>
      <c r="F908" s="234"/>
      <c r="G908" s="495"/>
      <c r="H908" s="495"/>
    </row>
    <row r="909" spans="2:8" ht="13.5" customHeight="1" x14ac:dyDescent="0.3">
      <c r="B909" s="225"/>
      <c r="C909" s="186"/>
      <c r="D909" s="186"/>
      <c r="E909" s="186"/>
      <c r="F909" s="234"/>
      <c r="G909" s="495"/>
      <c r="H909" s="495"/>
    </row>
    <row r="910" spans="2:8" ht="13.5" customHeight="1" x14ac:dyDescent="0.3">
      <c r="B910" s="225"/>
      <c r="C910" s="186"/>
      <c r="D910" s="186"/>
      <c r="E910" s="186"/>
      <c r="F910" s="234"/>
      <c r="G910" s="495"/>
      <c r="H910" s="495"/>
    </row>
    <row r="911" spans="2:8" ht="13.5" customHeight="1" x14ac:dyDescent="0.3">
      <c r="B911" s="225"/>
      <c r="C911" s="186"/>
      <c r="D911" s="186"/>
      <c r="E911" s="186"/>
      <c r="F911" s="234"/>
      <c r="G911" s="495"/>
      <c r="H911" s="495"/>
    </row>
    <row r="912" spans="2:8" ht="13.5" customHeight="1" x14ac:dyDescent="0.3">
      <c r="B912" s="225"/>
      <c r="C912" s="186"/>
      <c r="D912" s="186"/>
      <c r="E912" s="186"/>
      <c r="F912" s="234"/>
      <c r="G912" s="495"/>
      <c r="H912" s="495"/>
    </row>
    <row r="913" spans="2:8" ht="13.5" customHeight="1" x14ac:dyDescent="0.3">
      <c r="B913" s="225"/>
      <c r="C913" s="186"/>
      <c r="D913" s="186"/>
      <c r="E913" s="186"/>
      <c r="F913" s="234"/>
      <c r="G913" s="495"/>
      <c r="H913" s="495"/>
    </row>
    <row r="914" spans="2:8" ht="13.5" customHeight="1" x14ac:dyDescent="0.3">
      <c r="B914" s="225"/>
      <c r="C914" s="186"/>
      <c r="D914" s="186"/>
      <c r="E914" s="186"/>
      <c r="F914" s="234"/>
      <c r="G914" s="495"/>
      <c r="H914" s="495"/>
    </row>
    <row r="915" spans="2:8" ht="13.5" customHeight="1" x14ac:dyDescent="0.3">
      <c r="B915" s="225"/>
      <c r="C915" s="186"/>
      <c r="D915" s="186"/>
      <c r="E915" s="186"/>
      <c r="F915" s="234"/>
      <c r="G915" s="495"/>
      <c r="H915" s="495"/>
    </row>
    <row r="916" spans="2:8" ht="13.5" customHeight="1" x14ac:dyDescent="0.3">
      <c r="B916" s="225"/>
      <c r="C916" s="186"/>
      <c r="D916" s="186"/>
      <c r="E916" s="186"/>
      <c r="F916" s="234"/>
      <c r="G916" s="495"/>
      <c r="H916" s="495"/>
    </row>
    <row r="917" spans="2:8" ht="13.5" customHeight="1" x14ac:dyDescent="0.3">
      <c r="B917" s="225"/>
      <c r="C917" s="186"/>
      <c r="D917" s="186"/>
      <c r="E917" s="186"/>
      <c r="F917" s="234"/>
      <c r="G917" s="495"/>
      <c r="H917" s="495"/>
    </row>
    <row r="918" spans="2:8" ht="13.5" customHeight="1" x14ac:dyDescent="0.3">
      <c r="B918" s="225"/>
      <c r="C918" s="186"/>
      <c r="D918" s="186"/>
      <c r="E918" s="186"/>
      <c r="F918" s="234"/>
      <c r="G918" s="495"/>
      <c r="H918" s="495"/>
    </row>
    <row r="919" spans="2:8" ht="13.5" customHeight="1" x14ac:dyDescent="0.3">
      <c r="B919" s="225"/>
      <c r="C919" s="186"/>
      <c r="D919" s="186"/>
      <c r="E919" s="186"/>
      <c r="F919" s="234"/>
      <c r="G919" s="495"/>
      <c r="H919" s="495"/>
    </row>
    <row r="920" spans="2:8" ht="13.5" customHeight="1" x14ac:dyDescent="0.3">
      <c r="B920" s="225"/>
      <c r="C920" s="186"/>
      <c r="D920" s="186"/>
      <c r="E920" s="186"/>
      <c r="F920" s="234"/>
      <c r="G920" s="495"/>
      <c r="H920" s="495"/>
    </row>
    <row r="921" spans="2:8" ht="13.5" customHeight="1" x14ac:dyDescent="0.3">
      <c r="B921" s="225"/>
      <c r="C921" s="186"/>
      <c r="D921" s="186"/>
      <c r="E921" s="186"/>
      <c r="F921" s="234"/>
      <c r="G921" s="495"/>
      <c r="H921" s="495"/>
    </row>
    <row r="922" spans="2:8" ht="13.5" customHeight="1" x14ac:dyDescent="0.3">
      <c r="B922" s="225"/>
      <c r="C922" s="186"/>
      <c r="D922" s="186"/>
      <c r="E922" s="186"/>
      <c r="F922" s="234"/>
      <c r="G922" s="495"/>
      <c r="H922" s="495"/>
    </row>
    <row r="923" spans="2:8" ht="13.5" customHeight="1" x14ac:dyDescent="0.3">
      <c r="B923" s="225"/>
      <c r="C923" s="186"/>
      <c r="D923" s="186"/>
      <c r="E923" s="186"/>
      <c r="F923" s="234"/>
      <c r="G923" s="495"/>
      <c r="H923" s="495"/>
    </row>
    <row r="924" spans="2:8" ht="13.5" customHeight="1" x14ac:dyDescent="0.3">
      <c r="B924" s="225"/>
      <c r="C924" s="186"/>
      <c r="D924" s="186"/>
      <c r="E924" s="186"/>
      <c r="F924" s="234"/>
      <c r="G924" s="495"/>
      <c r="H924" s="495"/>
    </row>
    <row r="925" spans="2:8" ht="13.5" customHeight="1" x14ac:dyDescent="0.3">
      <c r="B925" s="225"/>
      <c r="C925" s="186"/>
      <c r="D925" s="186"/>
      <c r="E925" s="186"/>
      <c r="F925" s="234"/>
      <c r="G925" s="495"/>
      <c r="H925" s="495"/>
    </row>
    <row r="926" spans="2:8" ht="13.5" customHeight="1" x14ac:dyDescent="0.3">
      <c r="B926" s="225"/>
      <c r="C926" s="186"/>
      <c r="D926" s="186"/>
      <c r="E926" s="186"/>
      <c r="F926" s="234"/>
      <c r="G926" s="495"/>
      <c r="H926" s="495"/>
    </row>
    <row r="927" spans="2:8" ht="13.5" customHeight="1" x14ac:dyDescent="0.3">
      <c r="B927" s="225"/>
      <c r="C927" s="186"/>
      <c r="D927" s="186"/>
      <c r="E927" s="186"/>
      <c r="F927" s="234"/>
      <c r="G927" s="495"/>
      <c r="H927" s="495"/>
    </row>
    <row r="928" spans="2:8" ht="13.5" customHeight="1" x14ac:dyDescent="0.3">
      <c r="B928" s="225"/>
      <c r="C928" s="186"/>
      <c r="D928" s="186"/>
      <c r="E928" s="186"/>
      <c r="F928" s="234"/>
      <c r="G928" s="495"/>
      <c r="H928" s="495"/>
    </row>
    <row r="929" spans="2:8" ht="13.5" customHeight="1" x14ac:dyDescent="0.3">
      <c r="B929" s="225"/>
      <c r="C929" s="186"/>
      <c r="D929" s="186"/>
      <c r="E929" s="186"/>
      <c r="F929" s="234"/>
      <c r="G929" s="495"/>
      <c r="H929" s="495"/>
    </row>
    <row r="930" spans="2:8" ht="13.5" customHeight="1" x14ac:dyDescent="0.3">
      <c r="B930" s="225"/>
      <c r="C930" s="186"/>
      <c r="D930" s="186"/>
      <c r="E930" s="186"/>
      <c r="F930" s="234"/>
      <c r="G930" s="495"/>
      <c r="H930" s="495"/>
    </row>
    <row r="931" spans="2:8" ht="13.5" customHeight="1" x14ac:dyDescent="0.3">
      <c r="B931" s="225"/>
      <c r="C931" s="186"/>
      <c r="D931" s="186"/>
      <c r="E931" s="186"/>
      <c r="F931" s="234"/>
      <c r="G931" s="495"/>
      <c r="H931" s="495"/>
    </row>
    <row r="932" spans="2:8" ht="13.5" customHeight="1" x14ac:dyDescent="0.3">
      <c r="B932" s="225"/>
      <c r="C932" s="186"/>
      <c r="D932" s="186"/>
      <c r="E932" s="186"/>
      <c r="F932" s="234"/>
      <c r="G932" s="495"/>
      <c r="H932" s="495"/>
    </row>
    <row r="933" spans="2:8" ht="13.5" customHeight="1" x14ac:dyDescent="0.3">
      <c r="B933" s="225"/>
      <c r="C933" s="186"/>
      <c r="D933" s="186"/>
      <c r="E933" s="186"/>
      <c r="F933" s="234"/>
      <c r="G933" s="495"/>
      <c r="H933" s="495"/>
    </row>
    <row r="934" spans="2:8" ht="13.5" customHeight="1" x14ac:dyDescent="0.3">
      <c r="B934" s="225"/>
      <c r="C934" s="186"/>
      <c r="D934" s="186"/>
      <c r="E934" s="186"/>
      <c r="F934" s="234"/>
      <c r="G934" s="495"/>
      <c r="H934" s="495"/>
    </row>
    <row r="935" spans="2:8" ht="13.5" customHeight="1" x14ac:dyDescent="0.3">
      <c r="B935" s="225"/>
      <c r="C935" s="186"/>
      <c r="D935" s="186"/>
      <c r="E935" s="186"/>
      <c r="F935" s="234"/>
      <c r="G935" s="495"/>
      <c r="H935" s="495"/>
    </row>
    <row r="936" spans="2:8" ht="13.5" customHeight="1" x14ac:dyDescent="0.3">
      <c r="B936" s="225"/>
      <c r="C936" s="186"/>
      <c r="D936" s="186"/>
      <c r="E936" s="186"/>
      <c r="F936" s="234"/>
      <c r="G936" s="495"/>
      <c r="H936" s="495"/>
    </row>
    <row r="937" spans="2:8" ht="13.5" customHeight="1" x14ac:dyDescent="0.3">
      <c r="B937" s="225"/>
      <c r="C937" s="186"/>
      <c r="D937" s="186"/>
      <c r="E937" s="186"/>
      <c r="F937" s="234"/>
      <c r="G937" s="495"/>
      <c r="H937" s="495"/>
    </row>
    <row r="938" spans="2:8" ht="13.5" customHeight="1" x14ac:dyDescent="0.3">
      <c r="B938" s="225"/>
      <c r="C938" s="186"/>
      <c r="D938" s="186"/>
      <c r="E938" s="186"/>
      <c r="F938" s="234"/>
      <c r="G938" s="495"/>
      <c r="H938" s="495"/>
    </row>
    <row r="939" spans="2:8" ht="13.5" customHeight="1" x14ac:dyDescent="0.3">
      <c r="B939" s="225"/>
      <c r="C939" s="186"/>
      <c r="D939" s="186"/>
      <c r="E939" s="186"/>
      <c r="F939" s="234"/>
      <c r="G939" s="495"/>
      <c r="H939" s="495"/>
    </row>
    <row r="940" spans="2:8" ht="13.5" customHeight="1" x14ac:dyDescent="0.3">
      <c r="B940" s="225"/>
      <c r="C940" s="186"/>
      <c r="D940" s="186"/>
      <c r="E940" s="186"/>
      <c r="F940" s="234"/>
      <c r="G940" s="495"/>
      <c r="H940" s="495"/>
    </row>
    <row r="941" spans="2:8" ht="13.5" customHeight="1" x14ac:dyDescent="0.3">
      <c r="B941" s="225"/>
      <c r="C941" s="186"/>
      <c r="D941" s="186"/>
      <c r="E941" s="186"/>
      <c r="F941" s="234"/>
      <c r="G941" s="495"/>
      <c r="H941" s="495"/>
    </row>
    <row r="942" spans="2:8" ht="13.5" customHeight="1" x14ac:dyDescent="0.3">
      <c r="B942" s="225"/>
      <c r="C942" s="186"/>
      <c r="D942" s="186"/>
      <c r="E942" s="186"/>
      <c r="F942" s="234"/>
      <c r="G942" s="495"/>
      <c r="H942" s="495"/>
    </row>
    <row r="943" spans="2:8" ht="13.5" customHeight="1" x14ac:dyDescent="0.3">
      <c r="B943" s="225"/>
      <c r="C943" s="186"/>
      <c r="D943" s="186"/>
      <c r="E943" s="186"/>
      <c r="F943" s="234"/>
      <c r="G943" s="495"/>
      <c r="H943" s="495"/>
    </row>
    <row r="944" spans="2:8" ht="13.5" customHeight="1" x14ac:dyDescent="0.3">
      <c r="B944" s="225"/>
      <c r="C944" s="186"/>
      <c r="D944" s="186"/>
      <c r="E944" s="186"/>
      <c r="F944" s="234"/>
      <c r="G944" s="495"/>
      <c r="H944" s="495"/>
    </row>
    <row r="945" spans="2:8" ht="13.5" customHeight="1" x14ac:dyDescent="0.3">
      <c r="B945" s="225"/>
      <c r="C945" s="186"/>
      <c r="D945" s="186"/>
      <c r="E945" s="186"/>
      <c r="F945" s="234"/>
      <c r="G945" s="495"/>
      <c r="H945" s="495"/>
    </row>
    <row r="946" spans="2:8" ht="13.5" customHeight="1" x14ac:dyDescent="0.3">
      <c r="B946" s="225"/>
      <c r="C946" s="186"/>
      <c r="D946" s="186"/>
      <c r="E946" s="186"/>
      <c r="F946" s="234"/>
      <c r="G946" s="495"/>
      <c r="H946" s="495"/>
    </row>
    <row r="947" spans="2:8" ht="13.5" customHeight="1" x14ac:dyDescent="0.3">
      <c r="B947" s="225"/>
      <c r="C947" s="186"/>
      <c r="D947" s="186"/>
      <c r="E947" s="186"/>
      <c r="F947" s="234"/>
      <c r="G947" s="495"/>
      <c r="H947" s="495"/>
    </row>
    <row r="948" spans="2:8" ht="13.5" customHeight="1" x14ac:dyDescent="0.3">
      <c r="B948" s="225"/>
      <c r="C948" s="186"/>
      <c r="D948" s="186"/>
      <c r="E948" s="186"/>
      <c r="F948" s="234"/>
      <c r="G948" s="495"/>
      <c r="H948" s="495"/>
    </row>
    <row r="949" spans="2:8" ht="13.5" customHeight="1" x14ac:dyDescent="0.3">
      <c r="B949" s="225"/>
      <c r="C949" s="186"/>
      <c r="D949" s="186"/>
      <c r="E949" s="186"/>
      <c r="F949" s="234"/>
      <c r="G949" s="495"/>
      <c r="H949" s="495"/>
    </row>
    <row r="950" spans="2:8" ht="13.5" customHeight="1" x14ac:dyDescent="0.3">
      <c r="B950" s="225"/>
      <c r="C950" s="186"/>
      <c r="D950" s="186"/>
      <c r="E950" s="186"/>
      <c r="F950" s="234"/>
      <c r="G950" s="495"/>
      <c r="H950" s="495"/>
    </row>
    <row r="951" spans="2:8" ht="13.5" customHeight="1" x14ac:dyDescent="0.3">
      <c r="B951" s="225"/>
      <c r="C951" s="186"/>
      <c r="D951" s="186"/>
      <c r="E951" s="186"/>
      <c r="F951" s="234"/>
      <c r="G951" s="495"/>
      <c r="H951" s="495"/>
    </row>
    <row r="952" spans="2:8" ht="13.5" customHeight="1" x14ac:dyDescent="0.3">
      <c r="B952" s="225"/>
      <c r="C952" s="186"/>
      <c r="D952" s="186"/>
      <c r="E952" s="186"/>
      <c r="F952" s="234"/>
      <c r="G952" s="495"/>
      <c r="H952" s="495"/>
    </row>
    <row r="953" spans="2:8" ht="13.5" customHeight="1" x14ac:dyDescent="0.3">
      <c r="B953" s="225"/>
      <c r="C953" s="186"/>
      <c r="D953" s="186"/>
      <c r="E953" s="186"/>
      <c r="F953" s="234"/>
      <c r="G953" s="495"/>
      <c r="H953" s="495"/>
    </row>
    <row r="954" spans="2:8" ht="13.5" customHeight="1" x14ac:dyDescent="0.3">
      <c r="B954" s="225"/>
      <c r="C954" s="186"/>
      <c r="D954" s="186"/>
      <c r="E954" s="186"/>
      <c r="F954" s="234"/>
      <c r="G954" s="495"/>
      <c r="H954" s="495"/>
    </row>
    <row r="955" spans="2:8" ht="13.5" customHeight="1" x14ac:dyDescent="0.3">
      <c r="B955" s="225"/>
      <c r="C955" s="186"/>
      <c r="D955" s="186"/>
      <c r="E955" s="186"/>
      <c r="F955" s="234"/>
      <c r="G955" s="495"/>
      <c r="H955" s="495"/>
    </row>
    <row r="956" spans="2:8" ht="13.5" customHeight="1" x14ac:dyDescent="0.3">
      <c r="B956" s="225"/>
      <c r="C956" s="186"/>
      <c r="D956" s="186"/>
      <c r="E956" s="186"/>
      <c r="F956" s="234"/>
      <c r="G956" s="495"/>
      <c r="H956" s="495"/>
    </row>
    <row r="957" spans="2:8" ht="13.5" customHeight="1" x14ac:dyDescent="0.3">
      <c r="B957" s="225"/>
      <c r="C957" s="186"/>
      <c r="D957" s="186"/>
      <c r="E957" s="186"/>
      <c r="F957" s="234"/>
      <c r="G957" s="495"/>
      <c r="H957" s="495"/>
    </row>
    <row r="958" spans="2:8" ht="13.5" customHeight="1" x14ac:dyDescent="0.3">
      <c r="B958" s="225"/>
      <c r="C958" s="186"/>
      <c r="D958" s="186"/>
      <c r="E958" s="186"/>
      <c r="F958" s="234"/>
      <c r="G958" s="495"/>
      <c r="H958" s="495"/>
    </row>
    <row r="959" spans="2:8" ht="13.5" customHeight="1" x14ac:dyDescent="0.3">
      <c r="B959" s="225"/>
      <c r="C959" s="186"/>
      <c r="D959" s="186"/>
      <c r="E959" s="186"/>
      <c r="F959" s="234"/>
      <c r="G959" s="495"/>
      <c r="H959" s="495"/>
    </row>
    <row r="960" spans="2:8" ht="13.5" customHeight="1" x14ac:dyDescent="0.3">
      <c r="B960" s="225"/>
      <c r="C960" s="186"/>
      <c r="D960" s="186"/>
      <c r="E960" s="186"/>
      <c r="F960" s="234"/>
      <c r="G960" s="495"/>
      <c r="H960" s="495"/>
    </row>
    <row r="961" spans="2:8" ht="13.5" customHeight="1" x14ac:dyDescent="0.3">
      <c r="B961" s="225"/>
      <c r="C961" s="186"/>
      <c r="D961" s="186"/>
      <c r="E961" s="186"/>
      <c r="F961" s="234"/>
      <c r="G961" s="495"/>
      <c r="H961" s="495"/>
    </row>
    <row r="962" spans="2:8" ht="13.5" customHeight="1" x14ac:dyDescent="0.3">
      <c r="B962" s="225"/>
      <c r="C962" s="186"/>
      <c r="D962" s="186"/>
      <c r="E962" s="186"/>
      <c r="F962" s="234"/>
      <c r="G962" s="495"/>
      <c r="H962" s="495"/>
    </row>
    <row r="963" spans="2:8" ht="13.5" customHeight="1" x14ac:dyDescent="0.3">
      <c r="B963" s="225"/>
      <c r="C963" s="186"/>
      <c r="D963" s="186"/>
      <c r="E963" s="186"/>
      <c r="F963" s="234"/>
      <c r="G963" s="495"/>
      <c r="H963" s="495"/>
    </row>
    <row r="964" spans="2:8" ht="13.5" customHeight="1" x14ac:dyDescent="0.3">
      <c r="B964" s="225"/>
      <c r="C964" s="186"/>
      <c r="D964" s="186"/>
      <c r="E964" s="186"/>
      <c r="F964" s="234"/>
      <c r="G964" s="495"/>
      <c r="H964" s="495"/>
    </row>
    <row r="965" spans="2:8" ht="13.5" customHeight="1" x14ac:dyDescent="0.3">
      <c r="B965" s="225"/>
      <c r="C965" s="186"/>
      <c r="D965" s="186"/>
      <c r="E965" s="186"/>
      <c r="F965" s="234"/>
      <c r="G965" s="495"/>
      <c r="H965" s="495"/>
    </row>
    <row r="966" spans="2:8" ht="13.5" customHeight="1" x14ac:dyDescent="0.3">
      <c r="B966" s="225"/>
      <c r="C966" s="186"/>
      <c r="D966" s="186"/>
      <c r="E966" s="186"/>
      <c r="F966" s="234"/>
      <c r="G966" s="495"/>
      <c r="H966" s="495"/>
    </row>
    <row r="967" spans="2:8" ht="13.5" customHeight="1" x14ac:dyDescent="0.3">
      <c r="B967" s="225"/>
      <c r="C967" s="186"/>
      <c r="D967" s="186"/>
      <c r="E967" s="186"/>
      <c r="F967" s="234"/>
      <c r="G967" s="495"/>
      <c r="H967" s="495"/>
    </row>
    <row r="968" spans="2:8" ht="13.5" customHeight="1" x14ac:dyDescent="0.3">
      <c r="B968" s="225"/>
      <c r="C968" s="186"/>
      <c r="D968" s="186"/>
      <c r="E968" s="186"/>
      <c r="F968" s="234"/>
      <c r="G968" s="495"/>
      <c r="H968" s="495"/>
    </row>
    <row r="969" spans="2:8" ht="13.5" customHeight="1" x14ac:dyDescent="0.3">
      <c r="B969" s="225"/>
      <c r="C969" s="186"/>
      <c r="D969" s="186"/>
      <c r="E969" s="186"/>
      <c r="F969" s="234"/>
      <c r="G969" s="495"/>
      <c r="H969" s="495"/>
    </row>
    <row r="970" spans="2:8" ht="13.5" customHeight="1" x14ac:dyDescent="0.3">
      <c r="B970" s="225"/>
      <c r="C970" s="186"/>
      <c r="D970" s="186"/>
      <c r="E970" s="186"/>
      <c r="F970" s="234"/>
      <c r="G970" s="495"/>
      <c r="H970" s="495"/>
    </row>
    <row r="971" spans="2:8" ht="13.5" customHeight="1" x14ac:dyDescent="0.3">
      <c r="B971" s="225"/>
      <c r="C971" s="186"/>
      <c r="D971" s="186"/>
      <c r="E971" s="186"/>
      <c r="F971" s="234"/>
      <c r="G971" s="495"/>
      <c r="H971" s="495"/>
    </row>
    <row r="972" spans="2:8" ht="13.5" customHeight="1" x14ac:dyDescent="0.3">
      <c r="B972" s="225"/>
      <c r="C972" s="186"/>
      <c r="D972" s="186"/>
      <c r="E972" s="186"/>
      <c r="F972" s="234"/>
      <c r="G972" s="495"/>
      <c r="H972" s="495"/>
    </row>
    <row r="973" spans="2:8" ht="13.5" customHeight="1" x14ac:dyDescent="0.3">
      <c r="B973" s="225"/>
      <c r="C973" s="186"/>
      <c r="D973" s="186"/>
      <c r="E973" s="186"/>
      <c r="F973" s="234"/>
      <c r="G973" s="495"/>
      <c r="H973" s="495"/>
    </row>
    <row r="974" spans="2:8" ht="13.5" customHeight="1" x14ac:dyDescent="0.3">
      <c r="B974" s="225"/>
      <c r="C974" s="186"/>
      <c r="D974" s="186"/>
      <c r="E974" s="186"/>
      <c r="F974" s="234"/>
      <c r="G974" s="495"/>
      <c r="H974" s="495"/>
    </row>
    <row r="975" spans="2:8" ht="13.5" customHeight="1" x14ac:dyDescent="0.3">
      <c r="B975" s="225"/>
      <c r="C975" s="186"/>
      <c r="D975" s="186"/>
      <c r="E975" s="186"/>
      <c r="F975" s="234"/>
      <c r="G975" s="495"/>
      <c r="H975" s="495"/>
    </row>
    <row r="976" spans="2:8" ht="13.5" customHeight="1" x14ac:dyDescent="0.3">
      <c r="B976" s="225"/>
      <c r="C976" s="186"/>
      <c r="D976" s="186"/>
      <c r="E976" s="186"/>
      <c r="F976" s="234"/>
      <c r="G976" s="495"/>
      <c r="H976" s="495"/>
    </row>
    <row r="977" spans="2:8" ht="13.5" customHeight="1" x14ac:dyDescent="0.3">
      <c r="B977" s="225"/>
      <c r="C977" s="186"/>
      <c r="D977" s="186"/>
      <c r="E977" s="186"/>
      <c r="F977" s="234"/>
      <c r="G977" s="495"/>
      <c r="H977" s="495"/>
    </row>
    <row r="978" spans="2:8" ht="13.5" customHeight="1" x14ac:dyDescent="0.3">
      <c r="B978" s="225"/>
      <c r="C978" s="186"/>
      <c r="D978" s="186"/>
      <c r="E978" s="186"/>
      <c r="F978" s="234"/>
      <c r="G978" s="495"/>
      <c r="H978" s="495"/>
    </row>
    <row r="979" spans="2:8" ht="13.5" customHeight="1" x14ac:dyDescent="0.3">
      <c r="B979" s="225"/>
      <c r="C979" s="186"/>
      <c r="D979" s="186"/>
      <c r="E979" s="186"/>
      <c r="F979" s="234"/>
      <c r="G979" s="495"/>
      <c r="H979" s="495"/>
    </row>
    <row r="980" spans="2:8" ht="13.5" customHeight="1" x14ac:dyDescent="0.3">
      <c r="B980" s="225"/>
      <c r="C980" s="186"/>
      <c r="D980" s="186"/>
      <c r="E980" s="186"/>
      <c r="F980" s="234"/>
      <c r="G980" s="495"/>
      <c r="H980" s="495"/>
    </row>
    <row r="981" spans="2:8" ht="13.5" customHeight="1" x14ac:dyDescent="0.3">
      <c r="B981" s="225"/>
      <c r="C981" s="186"/>
      <c r="D981" s="186"/>
      <c r="E981" s="186"/>
      <c r="F981" s="234"/>
      <c r="G981" s="495"/>
      <c r="H981" s="495"/>
    </row>
    <row r="982" spans="2:8" ht="13.5" customHeight="1" x14ac:dyDescent="0.3">
      <c r="B982" s="225"/>
      <c r="C982" s="186"/>
      <c r="D982" s="186"/>
      <c r="E982" s="186"/>
      <c r="F982" s="234"/>
      <c r="G982" s="495"/>
      <c r="H982" s="495"/>
    </row>
    <row r="983" spans="2:8" ht="13.5" customHeight="1" x14ac:dyDescent="0.3">
      <c r="B983" s="225"/>
      <c r="C983" s="186"/>
      <c r="D983" s="186"/>
      <c r="E983" s="186"/>
      <c r="F983" s="234"/>
      <c r="G983" s="495"/>
      <c r="H983" s="495"/>
    </row>
    <row r="984" spans="2:8" ht="13.5" customHeight="1" x14ac:dyDescent="0.3">
      <c r="B984" s="225"/>
      <c r="C984" s="186"/>
      <c r="D984" s="186"/>
      <c r="E984" s="186"/>
      <c r="F984" s="234"/>
      <c r="G984" s="495"/>
      <c r="H984" s="495"/>
    </row>
    <row r="985" spans="2:8" ht="13.5" customHeight="1" x14ac:dyDescent="0.3">
      <c r="B985" s="225"/>
      <c r="C985" s="186"/>
      <c r="D985" s="186"/>
      <c r="E985" s="186"/>
      <c r="F985" s="234"/>
      <c r="G985" s="495"/>
      <c r="H985" s="495"/>
    </row>
    <row r="986" spans="2:8" ht="13.5" customHeight="1" x14ac:dyDescent="0.3">
      <c r="B986" s="225"/>
      <c r="C986" s="186"/>
      <c r="D986" s="186"/>
      <c r="E986" s="186"/>
      <c r="F986" s="234"/>
      <c r="G986" s="495"/>
      <c r="H986" s="495"/>
    </row>
    <row r="987" spans="2:8" ht="13.5" customHeight="1" x14ac:dyDescent="0.3">
      <c r="B987" s="225"/>
      <c r="C987" s="186"/>
      <c r="D987" s="186"/>
      <c r="E987" s="186"/>
      <c r="F987" s="234"/>
      <c r="G987" s="495"/>
      <c r="H987" s="495"/>
    </row>
    <row r="988" spans="2:8" ht="13.5" customHeight="1" x14ac:dyDescent="0.3">
      <c r="B988" s="225"/>
      <c r="C988" s="186"/>
      <c r="D988" s="186"/>
      <c r="E988" s="186"/>
      <c r="F988" s="234"/>
      <c r="G988" s="495"/>
      <c r="H988" s="495"/>
    </row>
    <row r="989" spans="2:8" ht="13.5" customHeight="1" x14ac:dyDescent="0.3">
      <c r="B989" s="225"/>
      <c r="C989" s="186"/>
      <c r="D989" s="186"/>
      <c r="E989" s="186"/>
      <c r="F989" s="234"/>
      <c r="G989" s="495"/>
      <c r="H989" s="495"/>
    </row>
    <row r="990" spans="2:8" ht="13.5" customHeight="1" x14ac:dyDescent="0.3">
      <c r="B990" s="225"/>
      <c r="C990" s="186"/>
      <c r="D990" s="186"/>
      <c r="E990" s="186"/>
      <c r="F990" s="234"/>
      <c r="G990" s="495"/>
      <c r="H990" s="495"/>
    </row>
    <row r="991" spans="2:8" ht="13.5" customHeight="1" x14ac:dyDescent="0.3">
      <c r="B991" s="225"/>
      <c r="C991" s="186"/>
      <c r="D991" s="186"/>
      <c r="E991" s="186"/>
      <c r="F991" s="234"/>
      <c r="G991" s="495"/>
      <c r="H991" s="495"/>
    </row>
    <row r="992" spans="2:8" ht="13.5" customHeight="1" x14ac:dyDescent="0.3">
      <c r="B992" s="225"/>
      <c r="C992" s="186"/>
      <c r="D992" s="186"/>
      <c r="E992" s="186"/>
      <c r="F992" s="234"/>
      <c r="G992" s="495"/>
      <c r="H992" s="495"/>
    </row>
    <row r="993" spans="2:8" ht="13.5" customHeight="1" x14ac:dyDescent="0.3">
      <c r="B993" s="225"/>
      <c r="C993" s="186"/>
      <c r="D993" s="186"/>
      <c r="E993" s="186"/>
      <c r="F993" s="234"/>
      <c r="G993" s="495"/>
      <c r="H993" s="495"/>
    </row>
    <row r="994" spans="2:8" ht="13.5" customHeight="1" x14ac:dyDescent="0.3">
      <c r="B994" s="225"/>
      <c r="C994" s="186"/>
      <c r="D994" s="186"/>
      <c r="E994" s="186"/>
      <c r="F994" s="234"/>
      <c r="G994" s="495"/>
      <c r="H994" s="495"/>
    </row>
    <row r="995" spans="2:8" ht="13.5" customHeight="1" x14ac:dyDescent="0.3">
      <c r="B995" s="225"/>
      <c r="C995" s="186"/>
      <c r="D995" s="186"/>
      <c r="E995" s="186"/>
      <c r="F995" s="234"/>
      <c r="G995" s="495"/>
      <c r="H995" s="495"/>
    </row>
    <row r="996" spans="2:8" ht="13.5" customHeight="1" x14ac:dyDescent="0.3">
      <c r="B996" s="225"/>
      <c r="C996" s="186"/>
      <c r="D996" s="186"/>
      <c r="E996" s="186"/>
      <c r="F996" s="234"/>
      <c r="G996" s="495"/>
      <c r="H996" s="495"/>
    </row>
    <row r="997" spans="2:8" ht="13.5" customHeight="1" x14ac:dyDescent="0.3">
      <c r="B997" s="225"/>
      <c r="C997" s="186"/>
      <c r="D997" s="186"/>
      <c r="E997" s="186"/>
      <c r="F997" s="234"/>
      <c r="G997" s="495"/>
      <c r="H997" s="495"/>
    </row>
    <row r="998" spans="2:8" ht="13.5" customHeight="1" x14ac:dyDescent="0.3">
      <c r="B998" s="225"/>
      <c r="C998" s="186"/>
      <c r="D998" s="186"/>
      <c r="E998" s="186"/>
      <c r="F998" s="234"/>
      <c r="G998" s="495"/>
      <c r="H998" s="495"/>
    </row>
    <row r="999" spans="2:8" ht="13.5" customHeight="1" x14ac:dyDescent="0.3">
      <c r="B999" s="225"/>
      <c r="C999" s="186"/>
      <c r="D999" s="186"/>
      <c r="E999" s="186"/>
      <c r="F999" s="234"/>
      <c r="G999" s="495"/>
      <c r="H999" s="495"/>
    </row>
    <row r="1000" spans="2:8" ht="13.5" customHeight="1" x14ac:dyDescent="0.3">
      <c r="B1000" s="225"/>
      <c r="C1000" s="186"/>
      <c r="D1000" s="186"/>
      <c r="E1000" s="186"/>
      <c r="F1000" s="234"/>
      <c r="G1000" s="495"/>
      <c r="H1000" s="495"/>
    </row>
    <row r="1001" spans="2:8" ht="13.5" customHeight="1" x14ac:dyDescent="0.3">
      <c r="B1001" s="225"/>
      <c r="C1001" s="186"/>
      <c r="D1001" s="186"/>
      <c r="E1001" s="186"/>
      <c r="F1001" s="234"/>
      <c r="G1001" s="495"/>
      <c r="H1001" s="495"/>
    </row>
    <row r="1002" spans="2:8" ht="13.5" customHeight="1" x14ac:dyDescent="0.3">
      <c r="B1002" s="225"/>
      <c r="C1002" s="186"/>
      <c r="D1002" s="186"/>
      <c r="E1002" s="186"/>
      <c r="F1002" s="234"/>
      <c r="G1002" s="495"/>
      <c r="H1002" s="495"/>
    </row>
    <row r="1003" spans="2:8" ht="13.5" customHeight="1" x14ac:dyDescent="0.3">
      <c r="B1003" s="225"/>
      <c r="C1003" s="186"/>
      <c r="D1003" s="186"/>
      <c r="E1003" s="186"/>
      <c r="F1003" s="234"/>
      <c r="G1003" s="495"/>
      <c r="H1003" s="495"/>
    </row>
    <row r="1004" spans="2:8" ht="13.5" customHeight="1" x14ac:dyDescent="0.3">
      <c r="B1004" s="225"/>
      <c r="C1004" s="186"/>
      <c r="D1004" s="186"/>
      <c r="E1004" s="186"/>
      <c r="F1004" s="234"/>
      <c r="G1004" s="495"/>
      <c r="H1004" s="495"/>
    </row>
    <row r="1005" spans="2:8" ht="13.5" customHeight="1" x14ac:dyDescent="0.3">
      <c r="B1005" s="225"/>
      <c r="C1005" s="186"/>
      <c r="D1005" s="186"/>
      <c r="E1005" s="186"/>
      <c r="F1005" s="234"/>
      <c r="G1005" s="495"/>
      <c r="H1005" s="495"/>
    </row>
    <row r="1006" spans="2:8" ht="13.5" customHeight="1" x14ac:dyDescent="0.3">
      <c r="B1006" s="225"/>
      <c r="C1006" s="186"/>
      <c r="D1006" s="186"/>
      <c r="E1006" s="186"/>
      <c r="F1006" s="234"/>
      <c r="G1006" s="495"/>
      <c r="H1006" s="495"/>
    </row>
    <row r="1007" spans="2:8" ht="13.5" customHeight="1" x14ac:dyDescent="0.3">
      <c r="B1007" s="225"/>
      <c r="C1007" s="186"/>
      <c r="D1007" s="186"/>
      <c r="E1007" s="186"/>
      <c r="F1007" s="234"/>
      <c r="G1007" s="495"/>
      <c r="H1007" s="495"/>
    </row>
    <row r="1008" spans="2:8" ht="13.5" customHeight="1" x14ac:dyDescent="0.3">
      <c r="B1008" s="225"/>
      <c r="C1008" s="186"/>
      <c r="D1008" s="186"/>
      <c r="E1008" s="186"/>
      <c r="F1008" s="234"/>
      <c r="G1008" s="495"/>
      <c r="H1008" s="495"/>
    </row>
    <row r="1009" spans="2:8" ht="13.5" customHeight="1" x14ac:dyDescent="0.3">
      <c r="B1009" s="225"/>
      <c r="C1009" s="186"/>
      <c r="D1009" s="186"/>
      <c r="E1009" s="186"/>
      <c r="F1009" s="234"/>
      <c r="G1009" s="495"/>
      <c r="H1009" s="495"/>
    </row>
    <row r="1010" spans="2:8" ht="13.5" customHeight="1" x14ac:dyDescent="0.3">
      <c r="B1010" s="225"/>
      <c r="C1010" s="186"/>
      <c r="D1010" s="186"/>
      <c r="E1010" s="186"/>
      <c r="F1010" s="234"/>
      <c r="G1010" s="495"/>
      <c r="H1010" s="495"/>
    </row>
    <row r="1011" spans="2:8" ht="13.5" customHeight="1" x14ac:dyDescent="0.3">
      <c r="B1011" s="225"/>
      <c r="C1011" s="186"/>
      <c r="D1011" s="186"/>
      <c r="E1011" s="186"/>
      <c r="F1011" s="234"/>
      <c r="G1011" s="495"/>
      <c r="H1011" s="495"/>
    </row>
    <row r="1012" spans="2:8" ht="13.5" customHeight="1" x14ac:dyDescent="0.3">
      <c r="B1012" s="225"/>
      <c r="C1012" s="186"/>
      <c r="D1012" s="186"/>
      <c r="E1012" s="186"/>
      <c r="F1012" s="234"/>
      <c r="G1012" s="495"/>
      <c r="H1012" s="495"/>
    </row>
    <row r="1013" spans="2:8" ht="13.5" customHeight="1" x14ac:dyDescent="0.3">
      <c r="B1013" s="225"/>
      <c r="C1013" s="186"/>
      <c r="D1013" s="186"/>
      <c r="E1013" s="186"/>
      <c r="F1013" s="234"/>
      <c r="G1013" s="495"/>
      <c r="H1013" s="495"/>
    </row>
    <row r="1014" spans="2:8" ht="13.5" customHeight="1" x14ac:dyDescent="0.3">
      <c r="B1014" s="225"/>
      <c r="C1014" s="186"/>
      <c r="D1014" s="186"/>
      <c r="E1014" s="186"/>
      <c r="F1014" s="234"/>
      <c r="G1014" s="495"/>
      <c r="H1014" s="495"/>
    </row>
    <row r="1015" spans="2:8" ht="13.5" customHeight="1" x14ac:dyDescent="0.3">
      <c r="B1015" s="225"/>
      <c r="C1015" s="186"/>
      <c r="D1015" s="186"/>
      <c r="E1015" s="186"/>
      <c r="F1015" s="234"/>
      <c r="G1015" s="495"/>
      <c r="H1015" s="495"/>
    </row>
    <row r="1016" spans="2:8" ht="13.5" customHeight="1" x14ac:dyDescent="0.3">
      <c r="B1016" s="225"/>
      <c r="C1016" s="186"/>
      <c r="D1016" s="186"/>
      <c r="E1016" s="186"/>
      <c r="F1016" s="234"/>
      <c r="G1016" s="495"/>
      <c r="H1016" s="495"/>
    </row>
    <row r="1017" spans="2:8" ht="13.5" customHeight="1" x14ac:dyDescent="0.3">
      <c r="B1017" s="225"/>
      <c r="C1017" s="186"/>
      <c r="D1017" s="186"/>
      <c r="E1017" s="186"/>
      <c r="F1017" s="234"/>
      <c r="G1017" s="495"/>
      <c r="H1017" s="495"/>
    </row>
    <row r="1018" spans="2:8" ht="13.5" customHeight="1" x14ac:dyDescent="0.3">
      <c r="B1018" s="225"/>
      <c r="C1018" s="186"/>
      <c r="D1018" s="186"/>
      <c r="E1018" s="186"/>
      <c r="F1018" s="234"/>
      <c r="G1018" s="495"/>
      <c r="H1018" s="495"/>
    </row>
    <row r="1019" spans="2:8" ht="13.5" customHeight="1" x14ac:dyDescent="0.3">
      <c r="B1019" s="225"/>
      <c r="C1019" s="186"/>
      <c r="D1019" s="186"/>
      <c r="E1019" s="186"/>
      <c r="F1019" s="234"/>
      <c r="G1019" s="495"/>
      <c r="H1019" s="495"/>
    </row>
    <row r="1020" spans="2:8" ht="13.5" customHeight="1" x14ac:dyDescent="0.3">
      <c r="B1020" s="225"/>
      <c r="C1020" s="186"/>
      <c r="D1020" s="186"/>
      <c r="E1020" s="186"/>
      <c r="F1020" s="234"/>
      <c r="G1020" s="495"/>
      <c r="H1020" s="495"/>
    </row>
    <row r="1021" spans="2:8" ht="13.5" customHeight="1" x14ac:dyDescent="0.3">
      <c r="B1021" s="225"/>
      <c r="C1021" s="186"/>
      <c r="D1021" s="186"/>
      <c r="E1021" s="186"/>
      <c r="F1021" s="234"/>
      <c r="G1021" s="495"/>
      <c r="H1021" s="495"/>
    </row>
    <row r="1022" spans="2:8" ht="13.5" customHeight="1" x14ac:dyDescent="0.3">
      <c r="B1022" s="225"/>
      <c r="C1022" s="186"/>
      <c r="D1022" s="186"/>
      <c r="E1022" s="186"/>
      <c r="F1022" s="234"/>
      <c r="G1022" s="495"/>
      <c r="H1022" s="495"/>
    </row>
    <row r="1023" spans="2:8" ht="13.5" customHeight="1" x14ac:dyDescent="0.3">
      <c r="B1023" s="225"/>
      <c r="C1023" s="186"/>
      <c r="D1023" s="186"/>
      <c r="E1023" s="186"/>
      <c r="F1023" s="234"/>
      <c r="G1023" s="495"/>
      <c r="H1023" s="495"/>
    </row>
    <row r="1024" spans="2:8" ht="13.5" customHeight="1" x14ac:dyDescent="0.3">
      <c r="B1024" s="225"/>
      <c r="C1024" s="186"/>
      <c r="D1024" s="186"/>
      <c r="E1024" s="186"/>
      <c r="F1024" s="234"/>
      <c r="G1024" s="495"/>
      <c r="H1024" s="495"/>
    </row>
    <row r="1025" spans="2:8" ht="13.5" customHeight="1" x14ac:dyDescent="0.3">
      <c r="B1025" s="225"/>
      <c r="C1025" s="186"/>
      <c r="D1025" s="186"/>
      <c r="E1025" s="186"/>
      <c r="F1025" s="234"/>
      <c r="G1025" s="495"/>
      <c r="H1025" s="495"/>
    </row>
    <row r="1026" spans="2:8" ht="13.5" customHeight="1" x14ac:dyDescent="0.3">
      <c r="B1026" s="225"/>
      <c r="C1026" s="186"/>
      <c r="D1026" s="186"/>
      <c r="E1026" s="186"/>
      <c r="F1026" s="234"/>
      <c r="G1026" s="495"/>
      <c r="H1026" s="495"/>
    </row>
    <row r="1027" spans="2:8" ht="13.5" customHeight="1" x14ac:dyDescent="0.3">
      <c r="B1027" s="225"/>
      <c r="C1027" s="186"/>
      <c r="D1027" s="186"/>
      <c r="E1027" s="186"/>
      <c r="F1027" s="234"/>
      <c r="G1027" s="495"/>
      <c r="H1027" s="495"/>
    </row>
    <row r="1028" spans="2:8" ht="13.5" customHeight="1" x14ac:dyDescent="0.3">
      <c r="B1028" s="225"/>
      <c r="C1028" s="186"/>
      <c r="D1028" s="186"/>
      <c r="E1028" s="186"/>
      <c r="F1028" s="234"/>
      <c r="G1028" s="495"/>
      <c r="H1028" s="495"/>
    </row>
    <row r="1029" spans="2:8" ht="13.5" customHeight="1" x14ac:dyDescent="0.3">
      <c r="B1029" s="225"/>
      <c r="C1029" s="186"/>
      <c r="D1029" s="186"/>
      <c r="E1029" s="186"/>
      <c r="F1029" s="234"/>
      <c r="G1029" s="495"/>
      <c r="H1029" s="495"/>
    </row>
    <row r="1030" spans="2:8" ht="13.5" customHeight="1" x14ac:dyDescent="0.3">
      <c r="B1030" s="225"/>
      <c r="C1030" s="186"/>
      <c r="D1030" s="186"/>
      <c r="E1030" s="186"/>
      <c r="F1030" s="234"/>
      <c r="G1030" s="495"/>
      <c r="H1030" s="495"/>
    </row>
    <row r="1031" spans="2:8" ht="13.5" customHeight="1" x14ac:dyDescent="0.3">
      <c r="B1031" s="225"/>
      <c r="C1031" s="186"/>
      <c r="D1031" s="186"/>
      <c r="E1031" s="186"/>
      <c r="F1031" s="234"/>
      <c r="G1031" s="495"/>
      <c r="H1031" s="495"/>
    </row>
    <row r="1032" spans="2:8" ht="13.5" customHeight="1" x14ac:dyDescent="0.3">
      <c r="B1032" s="225"/>
      <c r="C1032" s="186"/>
      <c r="D1032" s="186"/>
      <c r="E1032" s="186"/>
      <c r="F1032" s="234"/>
      <c r="G1032" s="495"/>
      <c r="H1032" s="495"/>
    </row>
    <row r="1033" spans="2:8" ht="13.5" customHeight="1" x14ac:dyDescent="0.3">
      <c r="B1033" s="225"/>
      <c r="C1033" s="186"/>
      <c r="D1033" s="186"/>
      <c r="E1033" s="186"/>
      <c r="F1033" s="234"/>
      <c r="G1033" s="495"/>
      <c r="H1033" s="495"/>
    </row>
    <row r="1034" spans="2:8" ht="13.5" customHeight="1" x14ac:dyDescent="0.3">
      <c r="B1034" s="225"/>
      <c r="C1034" s="186"/>
      <c r="D1034" s="186"/>
      <c r="E1034" s="186"/>
      <c r="F1034" s="234"/>
      <c r="G1034" s="495"/>
      <c r="H1034" s="495"/>
    </row>
    <row r="1035" spans="2:8" ht="13.5" customHeight="1" x14ac:dyDescent="0.3">
      <c r="B1035" s="225"/>
      <c r="C1035" s="186"/>
      <c r="D1035" s="186"/>
      <c r="E1035" s="186"/>
      <c r="F1035" s="234"/>
      <c r="G1035" s="495"/>
      <c r="H1035" s="495"/>
    </row>
    <row r="1036" spans="2:8" ht="13.5" customHeight="1" x14ac:dyDescent="0.3">
      <c r="B1036" s="225"/>
      <c r="C1036" s="186"/>
      <c r="D1036" s="186"/>
      <c r="E1036" s="186"/>
      <c r="F1036" s="234"/>
      <c r="G1036" s="495"/>
      <c r="H1036" s="495"/>
    </row>
    <row r="1037" spans="2:8" ht="13.5" customHeight="1" x14ac:dyDescent="0.3">
      <c r="B1037" s="225"/>
      <c r="C1037" s="186"/>
      <c r="D1037" s="186"/>
      <c r="E1037" s="186"/>
      <c r="F1037" s="234"/>
      <c r="G1037" s="495"/>
      <c r="H1037" s="495"/>
    </row>
    <row r="1038" spans="2:8" ht="13.5" customHeight="1" x14ac:dyDescent="0.3">
      <c r="B1038" s="225"/>
      <c r="C1038" s="186"/>
      <c r="D1038" s="186"/>
      <c r="E1038" s="186"/>
      <c r="F1038" s="234"/>
      <c r="G1038" s="495"/>
      <c r="H1038" s="495"/>
    </row>
    <row r="1039" spans="2:8" ht="13.5" customHeight="1" x14ac:dyDescent="0.3">
      <c r="B1039" s="225"/>
      <c r="C1039" s="186"/>
      <c r="D1039" s="186"/>
      <c r="E1039" s="186"/>
      <c r="F1039" s="234"/>
      <c r="G1039" s="495"/>
      <c r="H1039" s="495"/>
    </row>
    <row r="1040" spans="2:8" ht="13.5" customHeight="1" x14ac:dyDescent="0.3">
      <c r="B1040" s="225"/>
      <c r="C1040" s="186"/>
      <c r="D1040" s="186"/>
      <c r="E1040" s="186"/>
      <c r="F1040" s="234"/>
      <c r="G1040" s="495"/>
      <c r="H1040" s="495"/>
    </row>
    <row r="1041" spans="2:8" ht="13.5" customHeight="1" x14ac:dyDescent="0.3">
      <c r="B1041" s="225"/>
      <c r="C1041" s="186"/>
      <c r="D1041" s="186"/>
      <c r="E1041" s="186"/>
      <c r="F1041" s="234"/>
      <c r="G1041" s="495"/>
      <c r="H1041" s="495"/>
    </row>
    <row r="1042" spans="2:8" ht="13.5" customHeight="1" x14ac:dyDescent="0.3">
      <c r="B1042" s="225"/>
      <c r="C1042" s="186"/>
      <c r="D1042" s="186"/>
      <c r="E1042" s="186"/>
      <c r="F1042" s="234"/>
      <c r="G1042" s="495"/>
      <c r="H1042" s="495"/>
    </row>
    <row r="1043" spans="2:8" ht="13.5" customHeight="1" x14ac:dyDescent="0.3">
      <c r="B1043" s="225"/>
      <c r="C1043" s="186"/>
      <c r="D1043" s="186"/>
      <c r="E1043" s="186"/>
      <c r="F1043" s="234"/>
      <c r="G1043" s="495"/>
      <c r="H1043" s="495"/>
    </row>
    <row r="1044" spans="2:8" ht="13.5" customHeight="1" x14ac:dyDescent="0.3">
      <c r="B1044" s="225"/>
      <c r="C1044" s="186"/>
      <c r="D1044" s="186"/>
      <c r="E1044" s="186"/>
      <c r="F1044" s="234"/>
      <c r="G1044" s="495"/>
      <c r="H1044" s="495"/>
    </row>
    <row r="1045" spans="2:8" ht="13.5" customHeight="1" x14ac:dyDescent="0.3">
      <c r="B1045" s="225"/>
      <c r="C1045" s="186"/>
      <c r="D1045" s="186"/>
      <c r="E1045" s="186"/>
      <c r="F1045" s="234"/>
      <c r="G1045" s="495"/>
      <c r="H1045" s="495"/>
    </row>
    <row r="1046" spans="2:8" ht="13.5" customHeight="1" x14ac:dyDescent="0.3">
      <c r="B1046" s="225"/>
      <c r="C1046" s="186"/>
      <c r="D1046" s="186"/>
      <c r="E1046" s="186"/>
      <c r="F1046" s="234"/>
      <c r="G1046" s="495"/>
      <c r="H1046" s="495"/>
    </row>
    <row r="1047" spans="2:8" ht="13.5" customHeight="1" x14ac:dyDescent="0.3">
      <c r="B1047" s="225"/>
      <c r="C1047" s="186"/>
      <c r="D1047" s="186"/>
      <c r="E1047" s="186"/>
      <c r="F1047" s="234"/>
      <c r="G1047" s="495"/>
      <c r="H1047" s="495"/>
    </row>
    <row r="1048" spans="2:8" ht="13.5" customHeight="1" x14ac:dyDescent="0.3">
      <c r="B1048" s="225"/>
      <c r="C1048" s="186"/>
      <c r="D1048" s="186"/>
      <c r="E1048" s="186"/>
      <c r="F1048" s="234"/>
      <c r="G1048" s="495"/>
      <c r="H1048" s="495"/>
    </row>
    <row r="1049" spans="2:8" ht="13.5" customHeight="1" x14ac:dyDescent="0.3">
      <c r="B1049" s="225"/>
      <c r="C1049" s="186"/>
      <c r="D1049" s="186"/>
      <c r="E1049" s="186"/>
      <c r="F1049" s="234"/>
      <c r="G1049" s="495"/>
      <c r="H1049" s="495"/>
    </row>
    <row r="1050" spans="2:8" ht="13.5" customHeight="1" x14ac:dyDescent="0.3">
      <c r="B1050" s="225"/>
      <c r="C1050" s="186"/>
      <c r="D1050" s="186"/>
      <c r="E1050" s="186"/>
      <c r="F1050" s="234"/>
      <c r="G1050" s="495"/>
      <c r="H1050" s="495"/>
    </row>
    <row r="1051" spans="2:8" ht="13.5" customHeight="1" x14ac:dyDescent="0.3">
      <c r="B1051" s="225"/>
      <c r="C1051" s="186"/>
      <c r="D1051" s="186"/>
      <c r="E1051" s="186"/>
      <c r="F1051" s="234"/>
      <c r="G1051" s="495"/>
      <c r="H1051" s="495"/>
    </row>
    <row r="1052" spans="2:8" ht="13.5" customHeight="1" x14ac:dyDescent="0.3">
      <c r="B1052" s="225"/>
      <c r="C1052" s="186"/>
      <c r="D1052" s="186"/>
      <c r="E1052" s="186"/>
      <c r="F1052" s="234"/>
      <c r="G1052" s="495"/>
      <c r="H1052" s="495"/>
    </row>
    <row r="1053" spans="2:8" ht="13.5" customHeight="1" x14ac:dyDescent="0.3">
      <c r="B1053" s="225"/>
      <c r="C1053" s="186"/>
      <c r="D1053" s="186"/>
      <c r="E1053" s="186"/>
      <c r="F1053" s="234"/>
      <c r="G1053" s="495"/>
      <c r="H1053" s="495"/>
    </row>
    <row r="1054" spans="2:8" ht="13.5" customHeight="1" x14ac:dyDescent="0.3">
      <c r="B1054" s="225"/>
      <c r="C1054" s="186"/>
      <c r="D1054" s="186"/>
      <c r="E1054" s="186"/>
      <c r="F1054" s="234"/>
      <c r="G1054" s="495"/>
      <c r="H1054" s="495"/>
    </row>
    <row r="1055" spans="2:8" ht="13.5" customHeight="1" x14ac:dyDescent="0.3">
      <c r="B1055" s="225"/>
      <c r="C1055" s="186"/>
      <c r="D1055" s="186"/>
      <c r="E1055" s="186"/>
      <c r="F1055" s="234"/>
      <c r="G1055" s="495"/>
      <c r="H1055" s="495"/>
    </row>
    <row r="1056" spans="2:8" ht="13.5" customHeight="1" x14ac:dyDescent="0.3">
      <c r="B1056" s="225"/>
      <c r="C1056" s="186"/>
      <c r="D1056" s="186"/>
      <c r="E1056" s="186"/>
      <c r="F1056" s="234"/>
      <c r="G1056" s="495"/>
      <c r="H1056" s="495"/>
    </row>
    <row r="1057" spans="2:8" ht="13.5" customHeight="1" x14ac:dyDescent="0.3">
      <c r="B1057" s="225"/>
      <c r="C1057" s="186"/>
      <c r="D1057" s="186"/>
      <c r="E1057" s="186"/>
      <c r="F1057" s="234"/>
      <c r="G1057" s="495"/>
      <c r="H1057" s="495"/>
    </row>
    <row r="1058" spans="2:8" ht="13.5" customHeight="1" x14ac:dyDescent="0.3">
      <c r="B1058" s="225"/>
      <c r="C1058" s="186"/>
      <c r="D1058" s="186"/>
      <c r="E1058" s="186"/>
      <c r="F1058" s="234"/>
      <c r="G1058" s="495"/>
      <c r="H1058" s="495"/>
    </row>
    <row r="1059" spans="2:8" ht="13.5" customHeight="1" x14ac:dyDescent="0.3">
      <c r="B1059" s="225"/>
      <c r="C1059" s="186"/>
      <c r="D1059" s="186"/>
      <c r="E1059" s="186"/>
      <c r="F1059" s="234"/>
      <c r="G1059" s="495"/>
      <c r="H1059" s="495"/>
    </row>
    <row r="1060" spans="2:8" ht="13.5" customHeight="1" x14ac:dyDescent="0.3">
      <c r="B1060" s="225"/>
      <c r="C1060" s="186"/>
      <c r="D1060" s="186"/>
      <c r="E1060" s="186"/>
      <c r="F1060" s="234"/>
      <c r="G1060" s="495"/>
      <c r="H1060" s="495"/>
    </row>
    <row r="1061" spans="2:8" ht="13.5" customHeight="1" x14ac:dyDescent="0.3">
      <c r="B1061" s="225"/>
      <c r="C1061" s="186"/>
      <c r="D1061" s="186"/>
      <c r="E1061" s="186"/>
      <c r="F1061" s="234"/>
      <c r="G1061" s="495"/>
      <c r="H1061" s="495"/>
    </row>
    <row r="1062" spans="2:8" ht="13.5" customHeight="1" x14ac:dyDescent="0.3">
      <c r="B1062" s="225"/>
      <c r="C1062" s="186"/>
      <c r="D1062" s="186"/>
      <c r="E1062" s="186"/>
      <c r="F1062" s="234"/>
      <c r="G1062" s="495"/>
      <c r="H1062" s="495"/>
    </row>
    <row r="1063" spans="2:8" ht="13.5" customHeight="1" x14ac:dyDescent="0.3">
      <c r="B1063" s="225"/>
      <c r="C1063" s="186"/>
      <c r="D1063" s="186"/>
      <c r="E1063" s="186"/>
      <c r="F1063" s="234"/>
      <c r="G1063" s="495"/>
      <c r="H1063" s="495"/>
    </row>
    <row r="1064" spans="2:8" ht="13.5" customHeight="1" x14ac:dyDescent="0.3">
      <c r="B1064" s="225"/>
      <c r="C1064" s="186"/>
      <c r="D1064" s="186"/>
      <c r="E1064" s="186"/>
      <c r="F1064" s="234"/>
      <c r="G1064" s="495"/>
      <c r="H1064" s="495"/>
    </row>
    <row r="1065" spans="2:8" ht="13.5" customHeight="1" x14ac:dyDescent="0.3">
      <c r="B1065" s="225"/>
      <c r="C1065" s="186"/>
      <c r="D1065" s="186"/>
      <c r="E1065" s="186"/>
      <c r="F1065" s="234"/>
      <c r="G1065" s="495"/>
      <c r="H1065" s="495"/>
    </row>
    <row r="1066" spans="2:8" ht="13.5" customHeight="1" x14ac:dyDescent="0.3">
      <c r="B1066" s="225"/>
      <c r="C1066" s="186"/>
      <c r="D1066" s="186"/>
      <c r="E1066" s="186"/>
      <c r="F1066" s="234"/>
      <c r="G1066" s="495"/>
      <c r="H1066" s="495"/>
    </row>
    <row r="1067" spans="2:8" ht="13.5" customHeight="1" x14ac:dyDescent="0.3">
      <c r="B1067" s="225"/>
      <c r="C1067" s="186"/>
      <c r="D1067" s="186"/>
      <c r="E1067" s="186"/>
      <c r="F1067" s="234"/>
      <c r="G1067" s="495"/>
      <c r="H1067" s="495"/>
    </row>
    <row r="1068" spans="2:8" ht="13.5" customHeight="1" x14ac:dyDescent="0.3">
      <c r="B1068" s="225"/>
      <c r="C1068" s="186"/>
      <c r="D1068" s="186"/>
      <c r="E1068" s="186"/>
      <c r="F1068" s="234"/>
      <c r="G1068" s="495"/>
      <c r="H1068" s="495"/>
    </row>
    <row r="1069" spans="2:8" ht="13.5" customHeight="1" x14ac:dyDescent="0.3">
      <c r="B1069" s="225"/>
      <c r="C1069" s="186"/>
      <c r="D1069" s="186"/>
      <c r="E1069" s="186"/>
      <c r="F1069" s="234"/>
      <c r="G1069" s="495"/>
      <c r="H1069" s="495"/>
    </row>
    <row r="1070" spans="2:8" ht="13.5" customHeight="1" x14ac:dyDescent="0.3">
      <c r="B1070" s="225"/>
      <c r="C1070" s="186"/>
      <c r="D1070" s="186"/>
      <c r="E1070" s="186"/>
      <c r="F1070" s="234"/>
      <c r="G1070" s="495"/>
      <c r="H1070" s="495"/>
    </row>
    <row r="1071" spans="2:8" ht="13.5" customHeight="1" x14ac:dyDescent="0.3">
      <c r="B1071" s="225"/>
      <c r="C1071" s="186"/>
      <c r="D1071" s="186"/>
      <c r="E1071" s="186"/>
      <c r="F1071" s="234"/>
      <c r="G1071" s="495"/>
      <c r="H1071" s="495"/>
    </row>
    <row r="1072" spans="2:8" ht="13.5" customHeight="1" x14ac:dyDescent="0.3">
      <c r="B1072" s="225"/>
      <c r="C1072" s="186"/>
      <c r="D1072" s="186"/>
      <c r="E1072" s="186"/>
      <c r="F1072" s="234"/>
      <c r="G1072" s="495"/>
      <c r="H1072" s="495"/>
    </row>
    <row r="1073" spans="2:8" ht="13.5" customHeight="1" x14ac:dyDescent="0.3">
      <c r="B1073" s="225"/>
      <c r="C1073" s="186"/>
      <c r="D1073" s="186"/>
      <c r="E1073" s="186"/>
      <c r="F1073" s="234"/>
      <c r="G1073" s="495"/>
      <c r="H1073" s="495"/>
    </row>
    <row r="1074" spans="2:8" ht="13.5" customHeight="1" x14ac:dyDescent="0.3">
      <c r="B1074" s="225"/>
      <c r="C1074" s="186"/>
      <c r="D1074" s="186"/>
      <c r="E1074" s="186"/>
      <c r="F1074" s="234"/>
      <c r="G1074" s="495"/>
      <c r="H1074" s="495"/>
    </row>
    <row r="1075" spans="2:8" ht="13.5" customHeight="1" x14ac:dyDescent="0.3">
      <c r="B1075" s="225"/>
      <c r="C1075" s="186"/>
      <c r="D1075" s="186"/>
      <c r="E1075" s="186"/>
      <c r="F1075" s="234"/>
      <c r="G1075" s="495"/>
      <c r="H1075" s="495"/>
    </row>
    <row r="1076" spans="2:8" ht="13.5" customHeight="1" x14ac:dyDescent="0.3">
      <c r="B1076" s="225"/>
      <c r="C1076" s="186"/>
      <c r="D1076" s="186"/>
      <c r="E1076" s="186"/>
      <c r="F1076" s="234"/>
      <c r="G1076" s="495"/>
      <c r="H1076" s="495"/>
    </row>
    <row r="1077" spans="2:8" ht="13.5" customHeight="1" x14ac:dyDescent="0.3">
      <c r="B1077" s="225"/>
      <c r="C1077" s="186"/>
      <c r="D1077" s="186"/>
      <c r="E1077" s="186"/>
      <c r="F1077" s="234"/>
      <c r="G1077" s="495"/>
      <c r="H1077" s="495"/>
    </row>
    <row r="1078" spans="2:8" ht="13.5" customHeight="1" x14ac:dyDescent="0.3">
      <c r="B1078" s="225"/>
      <c r="C1078" s="186"/>
      <c r="D1078" s="186"/>
      <c r="E1078" s="186"/>
      <c r="F1078" s="234"/>
      <c r="G1078" s="495"/>
      <c r="H1078" s="495"/>
    </row>
    <row r="1079" spans="2:8" ht="13.5" customHeight="1" x14ac:dyDescent="0.3">
      <c r="B1079" s="225"/>
      <c r="C1079" s="186"/>
      <c r="D1079" s="186"/>
      <c r="E1079" s="186"/>
      <c r="F1079" s="234"/>
      <c r="G1079" s="495"/>
      <c r="H1079" s="495"/>
    </row>
    <row r="1080" spans="2:8" ht="13.5" customHeight="1" x14ac:dyDescent="0.3">
      <c r="B1080" s="225"/>
      <c r="C1080" s="186"/>
      <c r="D1080" s="186"/>
      <c r="E1080" s="186"/>
      <c r="F1080" s="234"/>
      <c r="G1080" s="495"/>
      <c r="H1080" s="495"/>
    </row>
    <row r="1081" spans="2:8" ht="13.5" customHeight="1" x14ac:dyDescent="0.3">
      <c r="B1081" s="225"/>
      <c r="C1081" s="186"/>
      <c r="D1081" s="186"/>
      <c r="E1081" s="186"/>
      <c r="F1081" s="234"/>
      <c r="G1081" s="495"/>
      <c r="H1081" s="495"/>
    </row>
    <row r="1082" spans="2:8" ht="13.5" customHeight="1" x14ac:dyDescent="0.3">
      <c r="B1082" s="225"/>
      <c r="C1082" s="186"/>
      <c r="D1082" s="186"/>
      <c r="E1082" s="186"/>
      <c r="F1082" s="234"/>
      <c r="G1082" s="495"/>
      <c r="H1082" s="495"/>
    </row>
    <row r="1083" spans="2:8" ht="13.5" customHeight="1" x14ac:dyDescent="0.3">
      <c r="B1083" s="225"/>
      <c r="C1083" s="186"/>
      <c r="D1083" s="186"/>
      <c r="E1083" s="186"/>
      <c r="F1083" s="234"/>
      <c r="G1083" s="495"/>
      <c r="H1083" s="495"/>
    </row>
    <row r="1084" spans="2:8" ht="13.5" customHeight="1" x14ac:dyDescent="0.3">
      <c r="B1084" s="225"/>
      <c r="C1084" s="186"/>
      <c r="D1084" s="186"/>
      <c r="E1084" s="186"/>
      <c r="F1084" s="234"/>
      <c r="G1084" s="495"/>
      <c r="H1084" s="495"/>
    </row>
    <row r="1085" spans="2:8" ht="13.5" customHeight="1" x14ac:dyDescent="0.3">
      <c r="B1085" s="225"/>
      <c r="C1085" s="186"/>
      <c r="D1085" s="186"/>
      <c r="E1085" s="186"/>
      <c r="F1085" s="234"/>
      <c r="G1085" s="495"/>
      <c r="H1085" s="495"/>
    </row>
    <row r="1086" spans="2:8" ht="13.5" customHeight="1" x14ac:dyDescent="0.3">
      <c r="B1086" s="225"/>
      <c r="C1086" s="186"/>
      <c r="D1086" s="186"/>
      <c r="E1086" s="186"/>
      <c r="F1086" s="234"/>
      <c r="G1086" s="495"/>
      <c r="H1086" s="495"/>
    </row>
    <row r="1087" spans="2:8" ht="13.5" customHeight="1" x14ac:dyDescent="0.3">
      <c r="B1087" s="225"/>
      <c r="C1087" s="186"/>
      <c r="D1087" s="186"/>
      <c r="E1087" s="186"/>
      <c r="F1087" s="234"/>
      <c r="G1087" s="495"/>
      <c r="H1087" s="495"/>
    </row>
    <row r="1088" spans="2:8" ht="13.5" customHeight="1" x14ac:dyDescent="0.3">
      <c r="B1088" s="225"/>
      <c r="C1088" s="186"/>
      <c r="D1088" s="186"/>
      <c r="E1088" s="186"/>
      <c r="F1088" s="234"/>
      <c r="G1088" s="495"/>
      <c r="H1088" s="495"/>
    </row>
    <row r="1089" spans="2:8" ht="13.5" customHeight="1" x14ac:dyDescent="0.3">
      <c r="B1089" s="225"/>
      <c r="C1089" s="186"/>
      <c r="D1089" s="186"/>
      <c r="E1089" s="186"/>
      <c r="F1089" s="234"/>
      <c r="G1089" s="495"/>
      <c r="H1089" s="495"/>
    </row>
    <row r="1090" spans="2:8" ht="13.5" customHeight="1" x14ac:dyDescent="0.3">
      <c r="B1090" s="225"/>
      <c r="C1090" s="186"/>
      <c r="D1090" s="186"/>
      <c r="E1090" s="186"/>
      <c r="F1090" s="234"/>
      <c r="G1090" s="495"/>
      <c r="H1090" s="495"/>
    </row>
    <row r="1091" spans="2:8" ht="13.5" customHeight="1" x14ac:dyDescent="0.3">
      <c r="B1091" s="225"/>
      <c r="C1091" s="186"/>
      <c r="D1091" s="186"/>
      <c r="E1091" s="186"/>
      <c r="F1091" s="234"/>
      <c r="G1091" s="495"/>
      <c r="H1091" s="495"/>
    </row>
    <row r="1092" spans="2:8" ht="13.5" customHeight="1" x14ac:dyDescent="0.3">
      <c r="B1092" s="225"/>
      <c r="C1092" s="186"/>
      <c r="D1092" s="186"/>
      <c r="E1092" s="186"/>
      <c r="F1092" s="234"/>
      <c r="G1092" s="495"/>
      <c r="H1092" s="495"/>
    </row>
    <row r="1093" spans="2:8" ht="13.5" customHeight="1" x14ac:dyDescent="0.3">
      <c r="B1093" s="225"/>
      <c r="C1093" s="186"/>
      <c r="D1093" s="186"/>
      <c r="E1093" s="186"/>
      <c r="F1093" s="234"/>
      <c r="G1093" s="495"/>
      <c r="H1093" s="495"/>
    </row>
    <row r="1094" spans="2:8" ht="13.5" customHeight="1" x14ac:dyDescent="0.3">
      <c r="B1094" s="225"/>
      <c r="C1094" s="186"/>
      <c r="D1094" s="186"/>
      <c r="E1094" s="186"/>
      <c r="F1094" s="234"/>
      <c r="G1094" s="495"/>
      <c r="H1094" s="495"/>
    </row>
    <row r="1095" spans="2:8" ht="13.5" customHeight="1" x14ac:dyDescent="0.3">
      <c r="B1095" s="225"/>
      <c r="C1095" s="186"/>
      <c r="D1095" s="186"/>
      <c r="E1095" s="186"/>
      <c r="F1095" s="234"/>
      <c r="G1095" s="495"/>
      <c r="H1095" s="495"/>
    </row>
    <row r="1096" spans="2:8" ht="13.5" customHeight="1" x14ac:dyDescent="0.3">
      <c r="B1096" s="225"/>
      <c r="C1096" s="186"/>
      <c r="D1096" s="186"/>
      <c r="E1096" s="186"/>
      <c r="F1096" s="234"/>
      <c r="G1096" s="495"/>
      <c r="H1096" s="495"/>
    </row>
    <row r="1097" spans="2:8" ht="13.5" customHeight="1" x14ac:dyDescent="0.3">
      <c r="B1097" s="225"/>
      <c r="C1097" s="186"/>
      <c r="D1097" s="186"/>
      <c r="E1097" s="186"/>
      <c r="F1097" s="234"/>
      <c r="G1097" s="495"/>
      <c r="H1097" s="495"/>
    </row>
    <row r="1098" spans="2:8" ht="13.5" customHeight="1" x14ac:dyDescent="0.3">
      <c r="B1098" s="225"/>
      <c r="C1098" s="186"/>
      <c r="D1098" s="186"/>
      <c r="E1098" s="186"/>
      <c r="F1098" s="234"/>
      <c r="G1098" s="495"/>
      <c r="H1098" s="495"/>
    </row>
    <row r="1099" spans="2:8" ht="13.5" customHeight="1" x14ac:dyDescent="0.3">
      <c r="B1099" s="225"/>
      <c r="C1099" s="186"/>
      <c r="D1099" s="186"/>
      <c r="E1099" s="186"/>
      <c r="F1099" s="234"/>
      <c r="G1099" s="495"/>
      <c r="H1099" s="495"/>
    </row>
    <row r="1100" spans="2:8" ht="13.5" customHeight="1" x14ac:dyDescent="0.3">
      <c r="B1100" s="225"/>
      <c r="C1100" s="186"/>
      <c r="D1100" s="186"/>
      <c r="E1100" s="186"/>
      <c r="F1100" s="234"/>
      <c r="G1100" s="495"/>
      <c r="H1100" s="495"/>
    </row>
    <row r="1101" spans="2:8" ht="13.5" customHeight="1" x14ac:dyDescent="0.3">
      <c r="B1101" s="225"/>
      <c r="C1101" s="186"/>
      <c r="D1101" s="186"/>
      <c r="E1101" s="186"/>
      <c r="F1101" s="234"/>
      <c r="G1101" s="495"/>
      <c r="H1101" s="495"/>
    </row>
    <row r="1102" spans="2:8" ht="13.5" customHeight="1" x14ac:dyDescent="0.3">
      <c r="B1102" s="225"/>
      <c r="C1102" s="186"/>
      <c r="D1102" s="186"/>
      <c r="E1102" s="186"/>
      <c r="F1102" s="234"/>
      <c r="G1102" s="495"/>
      <c r="H1102" s="495"/>
    </row>
    <row r="1103" spans="2:8" ht="13.5" customHeight="1" x14ac:dyDescent="0.3">
      <c r="B1103" s="225"/>
      <c r="C1103" s="186"/>
      <c r="D1103" s="186"/>
      <c r="E1103" s="186"/>
      <c r="F1103" s="234"/>
      <c r="G1103" s="495"/>
      <c r="H1103" s="495"/>
    </row>
    <row r="1104" spans="2:8" ht="13.5" customHeight="1" x14ac:dyDescent="0.3">
      <c r="B1104" s="225"/>
      <c r="C1104" s="186"/>
      <c r="D1104" s="186"/>
      <c r="E1104" s="186"/>
      <c r="F1104" s="234"/>
      <c r="G1104" s="495"/>
      <c r="H1104" s="495"/>
    </row>
    <row r="1105" spans="2:8" ht="13.5" customHeight="1" x14ac:dyDescent="0.3">
      <c r="B1105" s="225"/>
      <c r="C1105" s="186"/>
      <c r="D1105" s="186"/>
      <c r="E1105" s="186"/>
      <c r="F1105" s="234"/>
      <c r="G1105" s="495"/>
      <c r="H1105" s="495"/>
    </row>
    <row r="1106" spans="2:8" ht="13.5" customHeight="1" x14ac:dyDescent="0.3">
      <c r="B1106" s="225"/>
      <c r="C1106" s="186"/>
      <c r="D1106" s="186"/>
      <c r="E1106" s="186"/>
      <c r="F1106" s="234"/>
      <c r="G1106" s="495"/>
      <c r="H1106" s="495"/>
    </row>
    <row r="1107" spans="2:8" ht="13.5" customHeight="1" x14ac:dyDescent="0.3">
      <c r="B1107" s="225"/>
      <c r="C1107" s="186"/>
      <c r="D1107" s="186"/>
      <c r="E1107" s="186"/>
      <c r="F1107" s="234"/>
      <c r="G1107" s="495"/>
      <c r="H1107" s="495"/>
    </row>
    <row r="1108" spans="2:8" ht="13.5" customHeight="1" x14ac:dyDescent="0.3">
      <c r="B1108" s="225"/>
      <c r="C1108" s="186"/>
      <c r="D1108" s="186"/>
      <c r="E1108" s="186"/>
      <c r="F1108" s="234"/>
      <c r="G1108" s="495"/>
      <c r="H1108" s="495"/>
    </row>
    <row r="1109" spans="2:8" ht="13.5" customHeight="1" x14ac:dyDescent="0.3">
      <c r="B1109" s="225"/>
      <c r="C1109" s="186"/>
      <c r="D1109" s="186"/>
      <c r="E1109" s="186"/>
      <c r="F1109" s="234"/>
      <c r="G1109" s="495"/>
      <c r="H1109" s="495"/>
    </row>
    <row r="1110" spans="2:8" ht="13.5" customHeight="1" x14ac:dyDescent="0.3">
      <c r="B1110" s="225"/>
      <c r="C1110" s="186"/>
      <c r="D1110" s="186"/>
      <c r="E1110" s="186"/>
      <c r="F1110" s="234"/>
      <c r="G1110" s="495"/>
      <c r="H1110" s="495"/>
    </row>
    <row r="1111" spans="2:8" ht="13.5" customHeight="1" x14ac:dyDescent="0.3">
      <c r="B1111" s="225"/>
      <c r="C1111" s="186"/>
      <c r="D1111" s="186"/>
      <c r="E1111" s="186"/>
      <c r="F1111" s="234"/>
      <c r="G1111" s="495"/>
      <c r="H1111" s="495"/>
    </row>
    <row r="1112" spans="2:8" ht="13.5" customHeight="1" x14ac:dyDescent="0.3">
      <c r="B1112" s="225"/>
      <c r="C1112" s="186"/>
      <c r="D1112" s="186"/>
      <c r="E1112" s="186"/>
      <c r="F1112" s="234"/>
      <c r="G1112" s="495"/>
      <c r="H1112" s="495"/>
    </row>
    <row r="1113" spans="2:8" ht="13.5" customHeight="1" x14ac:dyDescent="0.3">
      <c r="B1113" s="225"/>
      <c r="C1113" s="186"/>
      <c r="D1113" s="186"/>
      <c r="E1113" s="186"/>
      <c r="F1113" s="234"/>
      <c r="G1113" s="495"/>
      <c r="H1113" s="495"/>
    </row>
    <row r="1114" spans="2:8" ht="13.5" customHeight="1" x14ac:dyDescent="0.3">
      <c r="B1114" s="225"/>
      <c r="C1114" s="186"/>
      <c r="D1114" s="186"/>
      <c r="E1114" s="186"/>
      <c r="F1114" s="234"/>
      <c r="G1114" s="495"/>
      <c r="H1114" s="495"/>
    </row>
    <row r="1115" spans="2:8" ht="13.5" customHeight="1" x14ac:dyDescent="0.3">
      <c r="B1115" s="225"/>
      <c r="C1115" s="186"/>
      <c r="D1115" s="186"/>
      <c r="E1115" s="186"/>
      <c r="F1115" s="234"/>
      <c r="G1115" s="495"/>
      <c r="H1115" s="495"/>
    </row>
    <row r="1116" spans="2:8" ht="13.5" customHeight="1" x14ac:dyDescent="0.3">
      <c r="B1116" s="225"/>
      <c r="C1116" s="186"/>
      <c r="D1116" s="186"/>
      <c r="E1116" s="186"/>
      <c r="F1116" s="234"/>
      <c r="G1116" s="495"/>
      <c r="H1116" s="495"/>
    </row>
    <row r="1117" spans="2:8" ht="13.5" customHeight="1" x14ac:dyDescent="0.3">
      <c r="B1117" s="225"/>
      <c r="C1117" s="186"/>
      <c r="D1117" s="186"/>
      <c r="E1117" s="186"/>
      <c r="F1117" s="234"/>
      <c r="G1117" s="495"/>
      <c r="H1117" s="495"/>
    </row>
    <row r="1118" spans="2:8" ht="13.5" customHeight="1" x14ac:dyDescent="0.3">
      <c r="B1118" s="225"/>
      <c r="C1118" s="186"/>
      <c r="D1118" s="186"/>
      <c r="E1118" s="186"/>
      <c r="F1118" s="234"/>
      <c r="G1118" s="495"/>
      <c r="H1118" s="495"/>
    </row>
    <row r="1119" spans="2:8" ht="13.5" customHeight="1" x14ac:dyDescent="0.3">
      <c r="B1119" s="225"/>
      <c r="C1119" s="186"/>
      <c r="D1119" s="186"/>
      <c r="E1119" s="186"/>
      <c r="F1119" s="234"/>
      <c r="G1119" s="495"/>
      <c r="H1119" s="495"/>
    </row>
    <row r="1120" spans="2:8" ht="13.5" customHeight="1" x14ac:dyDescent="0.3">
      <c r="B1120" s="225"/>
      <c r="C1120" s="186"/>
      <c r="D1120" s="186"/>
      <c r="E1120" s="186"/>
      <c r="F1120" s="234"/>
      <c r="G1120" s="495"/>
      <c r="H1120" s="495"/>
    </row>
    <row r="1121" spans="2:8" ht="13.5" customHeight="1" x14ac:dyDescent="0.3">
      <c r="B1121" s="225"/>
      <c r="C1121" s="186"/>
      <c r="D1121" s="186"/>
      <c r="E1121" s="186"/>
      <c r="F1121" s="234"/>
      <c r="G1121" s="495"/>
      <c r="H1121" s="495"/>
    </row>
    <row r="1122" spans="2:8" ht="13.5" customHeight="1" x14ac:dyDescent="0.3">
      <c r="B1122" s="225"/>
      <c r="C1122" s="186"/>
      <c r="D1122" s="186"/>
      <c r="E1122" s="186"/>
      <c r="F1122" s="234"/>
      <c r="G1122" s="495"/>
      <c r="H1122" s="495"/>
    </row>
    <row r="1123" spans="2:8" ht="13.5" customHeight="1" x14ac:dyDescent="0.3">
      <c r="B1123" s="225"/>
      <c r="C1123" s="186"/>
      <c r="D1123" s="186"/>
      <c r="E1123" s="186"/>
      <c r="F1123" s="234"/>
      <c r="G1123" s="495"/>
      <c r="H1123" s="495"/>
    </row>
    <row r="1124" spans="2:8" ht="13.5" customHeight="1" x14ac:dyDescent="0.3">
      <c r="B1124" s="225"/>
      <c r="C1124" s="186"/>
      <c r="D1124" s="186"/>
      <c r="E1124" s="186"/>
      <c r="F1124" s="234"/>
      <c r="G1124" s="495"/>
      <c r="H1124" s="495"/>
    </row>
    <row r="1125" spans="2:8" ht="13.5" customHeight="1" x14ac:dyDescent="0.3">
      <c r="B1125" s="225"/>
      <c r="C1125" s="186"/>
      <c r="D1125" s="186"/>
      <c r="E1125" s="186"/>
      <c r="F1125" s="234"/>
      <c r="G1125" s="495"/>
      <c r="H1125" s="495"/>
    </row>
    <row r="1126" spans="2:8" ht="13.5" customHeight="1" x14ac:dyDescent="0.3">
      <c r="B1126" s="225"/>
      <c r="C1126" s="186"/>
      <c r="D1126" s="186"/>
      <c r="E1126" s="186"/>
      <c r="F1126" s="234"/>
      <c r="G1126" s="495"/>
      <c r="H1126" s="495"/>
    </row>
    <row r="1127" spans="2:8" ht="13.5" customHeight="1" x14ac:dyDescent="0.3">
      <c r="B1127" s="225"/>
      <c r="C1127" s="186"/>
      <c r="D1127" s="186"/>
      <c r="E1127" s="186"/>
      <c r="F1127" s="234"/>
      <c r="G1127" s="495"/>
      <c r="H1127" s="495"/>
    </row>
    <row r="1128" spans="2:8" ht="13.5" customHeight="1" x14ac:dyDescent="0.3">
      <c r="B1128" s="225"/>
      <c r="C1128" s="186"/>
      <c r="D1128" s="186"/>
      <c r="E1128" s="186"/>
      <c r="F1128" s="234"/>
      <c r="G1128" s="495"/>
      <c r="H1128" s="495"/>
    </row>
    <row r="1129" spans="2:8" ht="13.5" customHeight="1" x14ac:dyDescent="0.3">
      <c r="B1129" s="225"/>
      <c r="C1129" s="186"/>
      <c r="D1129" s="186"/>
      <c r="E1129" s="186"/>
      <c r="F1129" s="234"/>
      <c r="G1129" s="495"/>
      <c r="H1129" s="495"/>
    </row>
    <row r="1130" spans="2:8" ht="13.5" customHeight="1" x14ac:dyDescent="0.3">
      <c r="B1130" s="225"/>
      <c r="C1130" s="186"/>
      <c r="D1130" s="186"/>
      <c r="E1130" s="186"/>
      <c r="F1130" s="234"/>
      <c r="G1130" s="495"/>
      <c r="H1130" s="495"/>
    </row>
    <row r="1131" spans="2:8" ht="13.5" customHeight="1" x14ac:dyDescent="0.3">
      <c r="B1131" s="225"/>
      <c r="C1131" s="186"/>
      <c r="D1131" s="186"/>
      <c r="E1131" s="186"/>
      <c r="F1131" s="234"/>
      <c r="G1131" s="495"/>
      <c r="H1131" s="495"/>
    </row>
    <row r="1132" spans="2:8" ht="13.5" customHeight="1" x14ac:dyDescent="0.3">
      <c r="B1132" s="225"/>
      <c r="C1132" s="186"/>
      <c r="D1132" s="186"/>
      <c r="E1132" s="186"/>
      <c r="F1132" s="234"/>
      <c r="G1132" s="495"/>
      <c r="H1132" s="495"/>
    </row>
    <row r="1133" spans="2:8" ht="13.5" customHeight="1" x14ac:dyDescent="0.3">
      <c r="B1133" s="225"/>
      <c r="C1133" s="186"/>
      <c r="D1133" s="186"/>
      <c r="E1133" s="186"/>
      <c r="F1133" s="234"/>
      <c r="G1133" s="495"/>
      <c r="H1133" s="495"/>
    </row>
    <row r="1134" spans="2:8" ht="13.5" customHeight="1" x14ac:dyDescent="0.3">
      <c r="B1134" s="225"/>
      <c r="C1134" s="186"/>
      <c r="D1134" s="186"/>
      <c r="E1134" s="186"/>
      <c r="F1134" s="234"/>
      <c r="G1134" s="495"/>
      <c r="H1134" s="495"/>
    </row>
    <row r="1135" spans="2:8" ht="13.5" customHeight="1" x14ac:dyDescent="0.3">
      <c r="B1135" s="225"/>
      <c r="C1135" s="186"/>
      <c r="D1135" s="186"/>
      <c r="E1135" s="186"/>
      <c r="F1135" s="234"/>
      <c r="G1135" s="495"/>
      <c r="H1135" s="495"/>
    </row>
    <row r="1136" spans="2:8" ht="13.5" customHeight="1" x14ac:dyDescent="0.3">
      <c r="B1136" s="225"/>
      <c r="C1136" s="186"/>
      <c r="D1136" s="186"/>
      <c r="E1136" s="186"/>
      <c r="F1136" s="234"/>
      <c r="G1136" s="495"/>
      <c r="H1136" s="495"/>
    </row>
    <row r="1137" spans="2:8" ht="13.5" customHeight="1" x14ac:dyDescent="0.3">
      <c r="B1137" s="225"/>
      <c r="C1137" s="186"/>
      <c r="D1137" s="186"/>
      <c r="E1137" s="186"/>
      <c r="F1137" s="234"/>
      <c r="G1137" s="495"/>
      <c r="H1137" s="495"/>
    </row>
    <row r="1138" spans="2:8" ht="13.5" customHeight="1" x14ac:dyDescent="0.3">
      <c r="B1138" s="225"/>
      <c r="C1138" s="186"/>
      <c r="D1138" s="186"/>
      <c r="E1138" s="186"/>
      <c r="F1138" s="234"/>
      <c r="G1138" s="495"/>
      <c r="H1138" s="495"/>
    </row>
    <row r="1139" spans="2:8" ht="13.5" customHeight="1" x14ac:dyDescent="0.3">
      <c r="B1139" s="225"/>
      <c r="C1139" s="186"/>
      <c r="D1139" s="186"/>
      <c r="E1139" s="186"/>
      <c r="F1139" s="234"/>
      <c r="G1139" s="495"/>
      <c r="H1139" s="495"/>
    </row>
    <row r="1140" spans="2:8" ht="13.5" customHeight="1" x14ac:dyDescent="0.3">
      <c r="B1140" s="225"/>
      <c r="C1140" s="186"/>
      <c r="D1140" s="186"/>
      <c r="E1140" s="186"/>
      <c r="F1140" s="234"/>
      <c r="G1140" s="495"/>
      <c r="H1140" s="495"/>
    </row>
    <row r="1141" spans="2:8" ht="13.5" customHeight="1" x14ac:dyDescent="0.3">
      <c r="B1141" s="225"/>
      <c r="C1141" s="186"/>
      <c r="D1141" s="186"/>
      <c r="E1141" s="186"/>
      <c r="F1141" s="234"/>
      <c r="G1141" s="495"/>
      <c r="H1141" s="495"/>
    </row>
    <row r="1142" spans="2:8" ht="13.5" customHeight="1" x14ac:dyDescent="0.3">
      <c r="B1142" s="225"/>
      <c r="C1142" s="186"/>
      <c r="D1142" s="186"/>
      <c r="E1142" s="186"/>
      <c r="F1142" s="234"/>
      <c r="G1142" s="495"/>
      <c r="H1142" s="495"/>
    </row>
    <row r="1143" spans="2:8" ht="13.5" customHeight="1" x14ac:dyDescent="0.3">
      <c r="B1143" s="225"/>
      <c r="C1143" s="186"/>
      <c r="D1143" s="186"/>
      <c r="E1143" s="186"/>
      <c r="F1143" s="234"/>
      <c r="G1143" s="495"/>
      <c r="H1143" s="495"/>
    </row>
    <row r="1144" spans="2:8" ht="13.5" customHeight="1" x14ac:dyDescent="0.3">
      <c r="B1144" s="225"/>
      <c r="C1144" s="186"/>
      <c r="D1144" s="186"/>
      <c r="E1144" s="186"/>
      <c r="F1144" s="234"/>
      <c r="G1144" s="495"/>
      <c r="H1144" s="495"/>
    </row>
    <row r="1145" spans="2:8" ht="13.5" customHeight="1" x14ac:dyDescent="0.3">
      <c r="B1145" s="225"/>
      <c r="C1145" s="186"/>
      <c r="D1145" s="186"/>
      <c r="E1145" s="186"/>
      <c r="F1145" s="234"/>
      <c r="G1145" s="495"/>
      <c r="H1145" s="495"/>
    </row>
    <row r="1146" spans="2:8" ht="13.5" customHeight="1" x14ac:dyDescent="0.3">
      <c r="B1146" s="225"/>
      <c r="C1146" s="186"/>
      <c r="D1146" s="186"/>
      <c r="E1146" s="186"/>
      <c r="F1146" s="234"/>
      <c r="G1146" s="495"/>
      <c r="H1146" s="495"/>
    </row>
    <row r="1147" spans="2:8" ht="13.5" customHeight="1" x14ac:dyDescent="0.3">
      <c r="B1147" s="225"/>
      <c r="C1147" s="186"/>
      <c r="D1147" s="186"/>
      <c r="E1147" s="186"/>
      <c r="F1147" s="234"/>
      <c r="G1147" s="495"/>
      <c r="H1147" s="495"/>
    </row>
    <row r="1148" spans="2:8" ht="13.5" customHeight="1" x14ac:dyDescent="0.3">
      <c r="B1148" s="225"/>
      <c r="C1148" s="186"/>
      <c r="D1148" s="186"/>
      <c r="E1148" s="186"/>
      <c r="F1148" s="234"/>
      <c r="G1148" s="495"/>
      <c r="H1148" s="495"/>
    </row>
    <row r="1149" spans="2:8" ht="13.5" customHeight="1" x14ac:dyDescent="0.3">
      <c r="B1149" s="225"/>
      <c r="C1149" s="186"/>
      <c r="D1149" s="186"/>
      <c r="E1149" s="186"/>
      <c r="F1149" s="234"/>
      <c r="G1149" s="495"/>
      <c r="H1149" s="495"/>
    </row>
    <row r="1150" spans="2:8" ht="13.5" customHeight="1" x14ac:dyDescent="0.3">
      <c r="B1150" s="225"/>
      <c r="C1150" s="186"/>
      <c r="D1150" s="186"/>
      <c r="E1150" s="186"/>
      <c r="F1150" s="234"/>
      <c r="G1150" s="495"/>
      <c r="H1150" s="495"/>
    </row>
    <row r="1151" spans="2:8" ht="13.5" customHeight="1" x14ac:dyDescent="0.3">
      <c r="B1151" s="225"/>
      <c r="C1151" s="186"/>
      <c r="D1151" s="186"/>
      <c r="E1151" s="186"/>
      <c r="F1151" s="234"/>
      <c r="G1151" s="495"/>
      <c r="H1151" s="495"/>
    </row>
    <row r="1152" spans="2:8" ht="13.5" customHeight="1" x14ac:dyDescent="0.3">
      <c r="B1152" s="225"/>
      <c r="C1152" s="186"/>
      <c r="D1152" s="186"/>
      <c r="E1152" s="186"/>
      <c r="F1152" s="234"/>
      <c r="G1152" s="495"/>
      <c r="H1152" s="495"/>
    </row>
    <row r="1153" spans="2:8" ht="13.5" customHeight="1" x14ac:dyDescent="0.3">
      <c r="B1153" s="225"/>
      <c r="C1153" s="186"/>
      <c r="D1153" s="186"/>
      <c r="E1153" s="186"/>
      <c r="F1153" s="234"/>
      <c r="G1153" s="495"/>
      <c r="H1153" s="495"/>
    </row>
    <row r="1154" spans="2:8" ht="13.5" customHeight="1" x14ac:dyDescent="0.3">
      <c r="B1154" s="225"/>
      <c r="C1154" s="186"/>
      <c r="D1154" s="186"/>
      <c r="E1154" s="186"/>
      <c r="F1154" s="234"/>
      <c r="G1154" s="495"/>
      <c r="H1154" s="495"/>
    </row>
    <row r="1155" spans="2:8" ht="13.5" customHeight="1" x14ac:dyDescent="0.3">
      <c r="B1155" s="225"/>
      <c r="C1155" s="186"/>
      <c r="D1155" s="186"/>
      <c r="E1155" s="186"/>
      <c r="F1155" s="234"/>
      <c r="G1155" s="495"/>
      <c r="H1155" s="495"/>
    </row>
    <row r="1156" spans="2:8" ht="13.5" customHeight="1" x14ac:dyDescent="0.3">
      <c r="B1156" s="225"/>
      <c r="C1156" s="186"/>
      <c r="D1156" s="186"/>
      <c r="E1156" s="186"/>
      <c r="F1156" s="234"/>
      <c r="G1156" s="495"/>
      <c r="H1156" s="495"/>
    </row>
    <row r="1157" spans="2:8" ht="13.5" customHeight="1" x14ac:dyDescent="0.3">
      <c r="B1157" s="225"/>
      <c r="C1157" s="186"/>
      <c r="D1157" s="186"/>
      <c r="E1157" s="186"/>
      <c r="F1157" s="234"/>
      <c r="G1157" s="495"/>
      <c r="H1157" s="495"/>
    </row>
    <row r="1158" spans="2:8" ht="13.5" customHeight="1" x14ac:dyDescent="0.3">
      <c r="B1158" s="225"/>
      <c r="C1158" s="186"/>
      <c r="D1158" s="186"/>
      <c r="E1158" s="186"/>
      <c r="F1158" s="234"/>
      <c r="G1158" s="495"/>
      <c r="H1158" s="495"/>
    </row>
    <row r="1159" spans="2:8" ht="13.5" customHeight="1" x14ac:dyDescent="0.3">
      <c r="B1159" s="225"/>
      <c r="C1159" s="186"/>
      <c r="D1159" s="186"/>
      <c r="E1159" s="186"/>
      <c r="F1159" s="234"/>
      <c r="G1159" s="495"/>
      <c r="H1159" s="495"/>
    </row>
    <row r="1160" spans="2:8" ht="13.5" customHeight="1" x14ac:dyDescent="0.3">
      <c r="B1160" s="225"/>
      <c r="C1160" s="186"/>
      <c r="D1160" s="186"/>
      <c r="E1160" s="186"/>
      <c r="F1160" s="234"/>
      <c r="G1160" s="495"/>
      <c r="H1160" s="495"/>
    </row>
    <row r="1161" spans="2:8" ht="13.5" customHeight="1" x14ac:dyDescent="0.3">
      <c r="B1161" s="225"/>
      <c r="C1161" s="186"/>
      <c r="D1161" s="186"/>
      <c r="E1161" s="186"/>
      <c r="F1161" s="234"/>
      <c r="G1161" s="495"/>
      <c r="H1161" s="495"/>
    </row>
    <row r="1162" spans="2:8" ht="13.5" customHeight="1" x14ac:dyDescent="0.3">
      <c r="B1162" s="225"/>
      <c r="C1162" s="186"/>
      <c r="D1162" s="186"/>
      <c r="E1162" s="186"/>
      <c r="F1162" s="234"/>
      <c r="G1162" s="495"/>
      <c r="H1162" s="495"/>
    </row>
    <row r="1163" spans="2:8" ht="13.5" customHeight="1" x14ac:dyDescent="0.3">
      <c r="B1163" s="225"/>
      <c r="C1163" s="186"/>
      <c r="D1163" s="186"/>
      <c r="E1163" s="186"/>
      <c r="F1163" s="234"/>
      <c r="G1163" s="495"/>
      <c r="H1163" s="495"/>
    </row>
    <row r="1164" spans="2:8" ht="13.5" customHeight="1" x14ac:dyDescent="0.3">
      <c r="B1164" s="225"/>
      <c r="C1164" s="186"/>
      <c r="D1164" s="186"/>
      <c r="E1164" s="186"/>
      <c r="F1164" s="234"/>
      <c r="G1164" s="495"/>
      <c r="H1164" s="495"/>
    </row>
    <row r="1165" spans="2:8" ht="13.5" customHeight="1" x14ac:dyDescent="0.3">
      <c r="B1165" s="225"/>
      <c r="C1165" s="186"/>
      <c r="D1165" s="186"/>
      <c r="E1165" s="186"/>
      <c r="F1165" s="234"/>
      <c r="G1165" s="495"/>
      <c r="H1165" s="495"/>
    </row>
    <row r="1166" spans="2:8" ht="13.5" customHeight="1" x14ac:dyDescent="0.3">
      <c r="B1166" s="225"/>
      <c r="C1166" s="186"/>
      <c r="D1166" s="186"/>
      <c r="E1166" s="186"/>
      <c r="F1166" s="234"/>
      <c r="G1166" s="495"/>
      <c r="H1166" s="495"/>
    </row>
    <row r="1167" spans="2:8" ht="13.5" customHeight="1" x14ac:dyDescent="0.3">
      <c r="B1167" s="225"/>
      <c r="C1167" s="186"/>
      <c r="D1167" s="186"/>
      <c r="E1167" s="186"/>
      <c r="F1167" s="234"/>
      <c r="G1167" s="495"/>
      <c r="H1167" s="495"/>
    </row>
    <row r="1168" spans="2:8" ht="13.5" customHeight="1" x14ac:dyDescent="0.3">
      <c r="B1168" s="225"/>
      <c r="C1168" s="186"/>
      <c r="D1168" s="186"/>
      <c r="E1168" s="186"/>
      <c r="F1168" s="234"/>
      <c r="G1168" s="495"/>
      <c r="H1168" s="495"/>
    </row>
    <row r="1169" spans="2:8" ht="13.5" customHeight="1" x14ac:dyDescent="0.3">
      <c r="B1169" s="225"/>
      <c r="C1169" s="186"/>
      <c r="D1169" s="186"/>
      <c r="E1169" s="186"/>
      <c r="F1169" s="234"/>
      <c r="G1169" s="495"/>
      <c r="H1169" s="495"/>
    </row>
    <row r="1170" spans="2:8" ht="13.5" customHeight="1" x14ac:dyDescent="0.3">
      <c r="B1170" s="225"/>
      <c r="C1170" s="186"/>
      <c r="D1170" s="186"/>
      <c r="E1170" s="186"/>
      <c r="F1170" s="234"/>
      <c r="G1170" s="495"/>
      <c r="H1170" s="495"/>
    </row>
    <row r="1171" spans="2:8" ht="13.5" customHeight="1" x14ac:dyDescent="0.3">
      <c r="B1171" s="225"/>
      <c r="C1171" s="186"/>
      <c r="D1171" s="186"/>
      <c r="E1171" s="186"/>
      <c r="F1171" s="234"/>
      <c r="G1171" s="495"/>
      <c r="H1171" s="495"/>
    </row>
    <row r="1172" spans="2:8" ht="13.5" customHeight="1" x14ac:dyDescent="0.3">
      <c r="B1172" s="225"/>
      <c r="C1172" s="186"/>
      <c r="D1172" s="186"/>
      <c r="E1172" s="186"/>
      <c r="F1172" s="234"/>
      <c r="G1172" s="495"/>
      <c r="H1172" s="495"/>
    </row>
    <row r="1173" spans="2:8" ht="13.5" customHeight="1" x14ac:dyDescent="0.3">
      <c r="B1173" s="225"/>
      <c r="C1173" s="186"/>
      <c r="D1173" s="186"/>
      <c r="E1173" s="186"/>
      <c r="F1173" s="234"/>
      <c r="G1173" s="495"/>
      <c r="H1173" s="495"/>
    </row>
    <row r="1174" spans="2:8" ht="13.5" customHeight="1" x14ac:dyDescent="0.3">
      <c r="B1174" s="225"/>
      <c r="C1174" s="186"/>
      <c r="D1174" s="186"/>
      <c r="E1174" s="186"/>
      <c r="F1174" s="234"/>
      <c r="G1174" s="495"/>
      <c r="H1174" s="495"/>
    </row>
    <row r="1175" spans="2:8" ht="13.5" customHeight="1" x14ac:dyDescent="0.3">
      <c r="B1175" s="225"/>
      <c r="C1175" s="186"/>
      <c r="D1175" s="186"/>
      <c r="E1175" s="186"/>
      <c r="F1175" s="234"/>
      <c r="G1175" s="495"/>
      <c r="H1175" s="495"/>
    </row>
    <row r="1176" spans="2:8" ht="13.5" customHeight="1" x14ac:dyDescent="0.3">
      <c r="B1176" s="225"/>
      <c r="C1176" s="186"/>
      <c r="D1176" s="186"/>
      <c r="E1176" s="186"/>
      <c r="F1176" s="234"/>
      <c r="G1176" s="495"/>
      <c r="H1176" s="495"/>
    </row>
    <row r="1177" spans="2:8" ht="13.5" customHeight="1" x14ac:dyDescent="0.3">
      <c r="B1177" s="225"/>
      <c r="C1177" s="186"/>
      <c r="D1177" s="186"/>
      <c r="E1177" s="186"/>
      <c r="F1177" s="234"/>
      <c r="G1177" s="495"/>
      <c r="H1177" s="495"/>
    </row>
    <row r="1178" spans="2:8" ht="13.5" customHeight="1" x14ac:dyDescent="0.3">
      <c r="B1178" s="225"/>
      <c r="C1178" s="186"/>
      <c r="D1178" s="186"/>
      <c r="E1178" s="186"/>
      <c r="F1178" s="234"/>
      <c r="G1178" s="495"/>
      <c r="H1178" s="495"/>
    </row>
    <row r="1179" spans="2:8" ht="13.5" customHeight="1" x14ac:dyDescent="0.3">
      <c r="B1179" s="225"/>
      <c r="C1179" s="186"/>
      <c r="D1179" s="186"/>
      <c r="E1179" s="186"/>
      <c r="F1179" s="234"/>
      <c r="G1179" s="495"/>
      <c r="H1179" s="495"/>
    </row>
    <row r="1180" spans="2:8" ht="13.5" customHeight="1" x14ac:dyDescent="0.3">
      <c r="B1180" s="225"/>
      <c r="C1180" s="186"/>
      <c r="D1180" s="186"/>
      <c r="E1180" s="186"/>
      <c r="F1180" s="234"/>
      <c r="G1180" s="495"/>
      <c r="H1180" s="495"/>
    </row>
    <row r="1181" spans="2:8" ht="13.5" customHeight="1" x14ac:dyDescent="0.3">
      <c r="B1181" s="225"/>
      <c r="C1181" s="186"/>
      <c r="D1181" s="186"/>
      <c r="E1181" s="186"/>
      <c r="F1181" s="234"/>
      <c r="G1181" s="495"/>
      <c r="H1181" s="495"/>
    </row>
    <row r="1182" spans="2:8" ht="13.5" customHeight="1" x14ac:dyDescent="0.3">
      <c r="B1182" s="225"/>
      <c r="C1182" s="186"/>
      <c r="D1182" s="186"/>
      <c r="E1182" s="186"/>
      <c r="F1182" s="234"/>
      <c r="G1182" s="495"/>
      <c r="H1182" s="495"/>
    </row>
    <row r="1183" spans="2:8" ht="13.5" customHeight="1" x14ac:dyDescent="0.3">
      <c r="B1183" s="225"/>
      <c r="C1183" s="186"/>
      <c r="D1183" s="186"/>
      <c r="E1183" s="186"/>
      <c r="F1183" s="234"/>
      <c r="G1183" s="495"/>
      <c r="H1183" s="495"/>
    </row>
    <row r="1184" spans="2:8" ht="13.5" customHeight="1" x14ac:dyDescent="0.3">
      <c r="B1184" s="225"/>
      <c r="C1184" s="186"/>
      <c r="D1184" s="186"/>
      <c r="E1184" s="186"/>
      <c r="F1184" s="234"/>
      <c r="G1184" s="495"/>
      <c r="H1184" s="495"/>
    </row>
    <row r="1185" spans="2:8" ht="13.5" customHeight="1" x14ac:dyDescent="0.3">
      <c r="B1185" s="225"/>
      <c r="C1185" s="186"/>
      <c r="D1185" s="186"/>
      <c r="E1185" s="186"/>
      <c r="F1185" s="234"/>
      <c r="G1185" s="495"/>
      <c r="H1185" s="495"/>
    </row>
    <row r="1186" spans="2:8" ht="13.5" customHeight="1" x14ac:dyDescent="0.3">
      <c r="B1186" s="225"/>
      <c r="C1186" s="186"/>
      <c r="D1186" s="186"/>
      <c r="E1186" s="186"/>
      <c r="F1186" s="234"/>
      <c r="G1186" s="495"/>
      <c r="H1186" s="495"/>
    </row>
    <row r="1187" spans="2:8" ht="13.5" customHeight="1" x14ac:dyDescent="0.3">
      <c r="B1187" s="225"/>
      <c r="C1187" s="186"/>
      <c r="D1187" s="186"/>
      <c r="E1187" s="186"/>
      <c r="F1187" s="234"/>
      <c r="G1187" s="495"/>
      <c r="H1187" s="495"/>
    </row>
    <row r="1188" spans="2:8" ht="13.5" customHeight="1" x14ac:dyDescent="0.3">
      <c r="B1188" s="225"/>
      <c r="C1188" s="186"/>
      <c r="D1188" s="186"/>
      <c r="E1188" s="186"/>
      <c r="F1188" s="234"/>
      <c r="G1188" s="495"/>
      <c r="H1188" s="495"/>
    </row>
    <row r="1189" spans="2:8" ht="13.5" customHeight="1" x14ac:dyDescent="0.3">
      <c r="B1189" s="225"/>
      <c r="C1189" s="186"/>
      <c r="D1189" s="186"/>
      <c r="E1189" s="186"/>
      <c r="F1189" s="234"/>
      <c r="G1189" s="495"/>
      <c r="H1189" s="495"/>
    </row>
    <row r="1190" spans="2:8" ht="13.5" customHeight="1" x14ac:dyDescent="0.3">
      <c r="B1190" s="225"/>
      <c r="C1190" s="186"/>
      <c r="D1190" s="186"/>
      <c r="E1190" s="186"/>
      <c r="F1190" s="234"/>
      <c r="G1190" s="495"/>
      <c r="H1190" s="495"/>
    </row>
    <row r="1191" spans="2:8" ht="13.5" customHeight="1" x14ac:dyDescent="0.3">
      <c r="B1191" s="225"/>
      <c r="C1191" s="186"/>
      <c r="D1191" s="186"/>
      <c r="E1191" s="186"/>
      <c r="F1191" s="234"/>
      <c r="G1191" s="495"/>
      <c r="H1191" s="495"/>
    </row>
    <row r="1192" spans="2:8" ht="13.5" customHeight="1" x14ac:dyDescent="0.3">
      <c r="B1192" s="225"/>
      <c r="C1192" s="186"/>
      <c r="D1192" s="186"/>
      <c r="E1192" s="186"/>
      <c r="F1192" s="234"/>
      <c r="G1192" s="495"/>
      <c r="H1192" s="495"/>
    </row>
    <row r="1193" spans="2:8" ht="13.5" customHeight="1" x14ac:dyDescent="0.3">
      <c r="B1193" s="225"/>
      <c r="C1193" s="186"/>
      <c r="D1193" s="186"/>
      <c r="E1193" s="186"/>
      <c r="F1193" s="234"/>
      <c r="G1193" s="495"/>
      <c r="H1193" s="495"/>
    </row>
    <row r="1194" spans="2:8" ht="13.5" customHeight="1" x14ac:dyDescent="0.3">
      <c r="B1194" s="225"/>
      <c r="C1194" s="186"/>
      <c r="D1194" s="186"/>
      <c r="E1194" s="186"/>
      <c r="F1194" s="234"/>
      <c r="G1194" s="495"/>
      <c r="H1194" s="495"/>
    </row>
    <row r="1195" spans="2:8" ht="13.5" customHeight="1" x14ac:dyDescent="0.3">
      <c r="B1195" s="225"/>
      <c r="C1195" s="186"/>
      <c r="D1195" s="186"/>
      <c r="E1195" s="186"/>
      <c r="F1195" s="234"/>
      <c r="G1195" s="495"/>
      <c r="H1195" s="495"/>
    </row>
    <row r="1196" spans="2:8" ht="13.5" customHeight="1" x14ac:dyDescent="0.3">
      <c r="B1196" s="225"/>
      <c r="C1196" s="186"/>
      <c r="D1196" s="186"/>
      <c r="E1196" s="186"/>
      <c r="F1196" s="234"/>
      <c r="G1196" s="495"/>
      <c r="H1196" s="495"/>
    </row>
    <row r="1197" spans="2:8" ht="13.5" customHeight="1" x14ac:dyDescent="0.3">
      <c r="B1197" s="225"/>
      <c r="C1197" s="186"/>
      <c r="D1197" s="186"/>
      <c r="E1197" s="186"/>
      <c r="F1197" s="234"/>
      <c r="G1197" s="495"/>
      <c r="H1197" s="495"/>
    </row>
    <row r="1198" spans="2:8" ht="13.5" customHeight="1" x14ac:dyDescent="0.3">
      <c r="B1198" s="225"/>
      <c r="C1198" s="186"/>
      <c r="D1198" s="186"/>
      <c r="E1198" s="186"/>
      <c r="F1198" s="234"/>
      <c r="G1198" s="495"/>
      <c r="H1198" s="495"/>
    </row>
    <row r="1199" spans="2:8" ht="13.5" customHeight="1" x14ac:dyDescent="0.3">
      <c r="B1199" s="225"/>
      <c r="C1199" s="186"/>
      <c r="D1199" s="186"/>
      <c r="E1199" s="186"/>
      <c r="F1199" s="234"/>
      <c r="G1199" s="495"/>
      <c r="H1199" s="495"/>
    </row>
    <row r="1200" spans="2:8" ht="13.5" customHeight="1" x14ac:dyDescent="0.3">
      <c r="B1200" s="225"/>
      <c r="C1200" s="186"/>
      <c r="D1200" s="186"/>
      <c r="E1200" s="186"/>
      <c r="F1200" s="234"/>
      <c r="G1200" s="495"/>
      <c r="H1200" s="495"/>
    </row>
    <row r="1201" spans="2:8" ht="13.5" customHeight="1" x14ac:dyDescent="0.3">
      <c r="B1201" s="225"/>
      <c r="C1201" s="186"/>
      <c r="D1201" s="186"/>
      <c r="E1201" s="186"/>
      <c r="F1201" s="234"/>
      <c r="G1201" s="495"/>
      <c r="H1201" s="495"/>
    </row>
    <row r="1202" spans="2:8" ht="13.5" customHeight="1" x14ac:dyDescent="0.3">
      <c r="B1202" s="225"/>
      <c r="C1202" s="186"/>
      <c r="D1202" s="186"/>
      <c r="E1202" s="186"/>
      <c r="F1202" s="234"/>
      <c r="G1202" s="495"/>
      <c r="H1202" s="495"/>
    </row>
    <row r="1203" spans="2:8" ht="13.5" customHeight="1" x14ac:dyDescent="0.3">
      <c r="B1203" s="225"/>
      <c r="C1203" s="186"/>
      <c r="D1203" s="186"/>
      <c r="E1203" s="186"/>
      <c r="F1203" s="234"/>
      <c r="G1203" s="495"/>
      <c r="H1203" s="495"/>
    </row>
    <row r="1204" spans="2:8" ht="13.5" customHeight="1" x14ac:dyDescent="0.3">
      <c r="B1204" s="225"/>
      <c r="C1204" s="186"/>
      <c r="D1204" s="186"/>
      <c r="E1204" s="186"/>
      <c r="F1204" s="234"/>
      <c r="G1204" s="495"/>
      <c r="H1204" s="495"/>
    </row>
    <row r="1205" spans="2:8" ht="13.5" customHeight="1" x14ac:dyDescent="0.3">
      <c r="B1205" s="225"/>
      <c r="C1205" s="186"/>
      <c r="D1205" s="186"/>
      <c r="E1205" s="186"/>
      <c r="F1205" s="234"/>
      <c r="G1205" s="495"/>
      <c r="H1205" s="495"/>
    </row>
    <row r="1206" spans="2:8" ht="13.5" customHeight="1" x14ac:dyDescent="0.3">
      <c r="B1206" s="225"/>
      <c r="C1206" s="186"/>
      <c r="D1206" s="186"/>
      <c r="E1206" s="186"/>
      <c r="F1206" s="234"/>
      <c r="G1206" s="495"/>
      <c r="H1206" s="495"/>
    </row>
    <row r="1207" spans="2:8" ht="13.5" customHeight="1" x14ac:dyDescent="0.3">
      <c r="B1207" s="225"/>
      <c r="C1207" s="186"/>
      <c r="D1207" s="186"/>
      <c r="E1207" s="186"/>
      <c r="F1207" s="234"/>
      <c r="G1207" s="495"/>
      <c r="H1207" s="495"/>
    </row>
    <row r="1208" spans="2:8" ht="13.5" customHeight="1" x14ac:dyDescent="0.3">
      <c r="B1208" s="225"/>
      <c r="C1208" s="186"/>
      <c r="D1208" s="186"/>
      <c r="E1208" s="186"/>
      <c r="F1208" s="234"/>
      <c r="G1208" s="495"/>
      <c r="H1208" s="495"/>
    </row>
    <row r="1209" spans="2:8" ht="13.5" customHeight="1" x14ac:dyDescent="0.3">
      <c r="B1209" s="225"/>
      <c r="C1209" s="186"/>
      <c r="D1209" s="186"/>
      <c r="E1209" s="186"/>
      <c r="F1209" s="234"/>
      <c r="G1209" s="495"/>
      <c r="H1209" s="495"/>
    </row>
    <row r="1210" spans="2:8" ht="13.5" customHeight="1" x14ac:dyDescent="0.3">
      <c r="B1210" s="225"/>
      <c r="C1210" s="186"/>
      <c r="D1210" s="186"/>
      <c r="E1210" s="186"/>
      <c r="F1210" s="234"/>
      <c r="G1210" s="495"/>
      <c r="H1210" s="495"/>
    </row>
    <row r="1211" spans="2:8" ht="13.5" customHeight="1" x14ac:dyDescent="0.3">
      <c r="B1211" s="225"/>
      <c r="C1211" s="186"/>
      <c r="D1211" s="186"/>
      <c r="E1211" s="186"/>
      <c r="F1211" s="234"/>
      <c r="G1211" s="495"/>
      <c r="H1211" s="495"/>
    </row>
    <row r="1212" spans="2:8" ht="13.5" customHeight="1" x14ac:dyDescent="0.3">
      <c r="B1212" s="225"/>
      <c r="C1212" s="186"/>
      <c r="D1212" s="186"/>
      <c r="E1212" s="186"/>
      <c r="F1212" s="234"/>
      <c r="G1212" s="495"/>
      <c r="H1212" s="495"/>
    </row>
    <row r="1213" spans="2:8" ht="13.5" customHeight="1" x14ac:dyDescent="0.3">
      <c r="B1213" s="225"/>
      <c r="C1213" s="186"/>
      <c r="D1213" s="186"/>
      <c r="E1213" s="186"/>
      <c r="F1213" s="234"/>
      <c r="G1213" s="495"/>
      <c r="H1213" s="495"/>
    </row>
    <row r="1214" spans="2:8" ht="13.5" customHeight="1" x14ac:dyDescent="0.3">
      <c r="B1214" s="225"/>
      <c r="C1214" s="186"/>
      <c r="D1214" s="186"/>
      <c r="E1214" s="186"/>
      <c r="F1214" s="234"/>
      <c r="G1214" s="495"/>
      <c r="H1214" s="495"/>
    </row>
    <row r="1215" spans="2:8" ht="13.5" customHeight="1" x14ac:dyDescent="0.3">
      <c r="B1215" s="225"/>
      <c r="C1215" s="186"/>
      <c r="D1215" s="186"/>
      <c r="E1215" s="186"/>
      <c r="F1215" s="234"/>
      <c r="G1215" s="495"/>
      <c r="H1215" s="495"/>
    </row>
    <row r="1216" spans="2:8" ht="13.5" customHeight="1" x14ac:dyDescent="0.3">
      <c r="B1216" s="225"/>
      <c r="C1216" s="186"/>
      <c r="D1216" s="186"/>
      <c r="E1216" s="186"/>
      <c r="F1216" s="234"/>
      <c r="G1216" s="495"/>
      <c r="H1216" s="495"/>
    </row>
    <row r="1217" spans="2:8" ht="13.5" customHeight="1" x14ac:dyDescent="0.3">
      <c r="B1217" s="225"/>
      <c r="C1217" s="186"/>
      <c r="D1217" s="186"/>
      <c r="E1217" s="186"/>
      <c r="F1217" s="234"/>
      <c r="G1217" s="495"/>
      <c r="H1217" s="495"/>
    </row>
    <row r="1218" spans="2:8" ht="13.5" customHeight="1" x14ac:dyDescent="0.3">
      <c r="B1218" s="225"/>
      <c r="C1218" s="186"/>
      <c r="D1218" s="186"/>
      <c r="E1218" s="186"/>
      <c r="F1218" s="234"/>
      <c r="G1218" s="495"/>
      <c r="H1218" s="495"/>
    </row>
    <row r="1219" spans="2:8" ht="13.5" customHeight="1" x14ac:dyDescent="0.3">
      <c r="B1219" s="225"/>
      <c r="C1219" s="186"/>
      <c r="D1219" s="186"/>
      <c r="E1219" s="186"/>
      <c r="F1219" s="234"/>
      <c r="G1219" s="495"/>
      <c r="H1219" s="495"/>
    </row>
    <row r="1220" spans="2:8" ht="13.5" customHeight="1" x14ac:dyDescent="0.3">
      <c r="B1220" s="225"/>
      <c r="C1220" s="186"/>
      <c r="D1220" s="186"/>
      <c r="E1220" s="186"/>
      <c r="F1220" s="234"/>
      <c r="G1220" s="495"/>
      <c r="H1220" s="495"/>
    </row>
    <row r="1221" spans="2:8" ht="13.5" customHeight="1" x14ac:dyDescent="0.3">
      <c r="B1221" s="225"/>
      <c r="C1221" s="186"/>
      <c r="D1221" s="186"/>
      <c r="E1221" s="186"/>
      <c r="F1221" s="234"/>
      <c r="G1221" s="495"/>
      <c r="H1221" s="495"/>
    </row>
    <row r="1222" spans="2:8" ht="13.5" customHeight="1" x14ac:dyDescent="0.3">
      <c r="B1222" s="225"/>
      <c r="C1222" s="186"/>
      <c r="D1222" s="186"/>
      <c r="E1222" s="186"/>
      <c r="F1222" s="234"/>
      <c r="G1222" s="495"/>
      <c r="H1222" s="495"/>
    </row>
    <row r="1223" spans="2:8" ht="13.5" customHeight="1" x14ac:dyDescent="0.3">
      <c r="B1223" s="225"/>
      <c r="C1223" s="186"/>
      <c r="D1223" s="186"/>
      <c r="E1223" s="186"/>
      <c r="F1223" s="234"/>
      <c r="G1223" s="495"/>
      <c r="H1223" s="495"/>
    </row>
    <row r="1224" spans="2:8" x14ac:dyDescent="0.3">
      <c r="B1224" s="225"/>
      <c r="C1224" s="186"/>
      <c r="D1224" s="186"/>
      <c r="E1224" s="186"/>
      <c r="F1224" s="234"/>
      <c r="G1224" s="495"/>
      <c r="H1224" s="495"/>
    </row>
    <row r="1225" spans="2:8" x14ac:dyDescent="0.3">
      <c r="B1225" s="225"/>
      <c r="C1225" s="186"/>
      <c r="D1225" s="186"/>
      <c r="E1225" s="186"/>
      <c r="F1225" s="234"/>
      <c r="G1225" s="495"/>
      <c r="H1225" s="495"/>
    </row>
    <row r="1226" spans="2:8" x14ac:dyDescent="0.3">
      <c r="B1226" s="225"/>
      <c r="C1226" s="186"/>
      <c r="D1226" s="186"/>
      <c r="E1226" s="186"/>
      <c r="F1226" s="234"/>
      <c r="G1226" s="495"/>
      <c r="H1226" s="495"/>
    </row>
    <row r="1227" spans="2:8" x14ac:dyDescent="0.3">
      <c r="B1227" s="225"/>
      <c r="C1227" s="186"/>
      <c r="D1227" s="186"/>
      <c r="E1227" s="186"/>
      <c r="F1227" s="234"/>
      <c r="G1227" s="495"/>
      <c r="H1227" s="495"/>
    </row>
    <row r="1228" spans="2:8" x14ac:dyDescent="0.3">
      <c r="B1228" s="225"/>
      <c r="C1228" s="186"/>
      <c r="D1228" s="186"/>
      <c r="E1228" s="186"/>
      <c r="F1228" s="234"/>
      <c r="G1228" s="495"/>
      <c r="H1228" s="495"/>
    </row>
    <row r="1229" spans="2:8" x14ac:dyDescent="0.3">
      <c r="B1229" s="225"/>
      <c r="C1229" s="186"/>
      <c r="D1229" s="186"/>
      <c r="E1229" s="186"/>
      <c r="F1229" s="234"/>
      <c r="G1229" s="495"/>
      <c r="H1229" s="495"/>
    </row>
    <row r="1230" spans="2:8" x14ac:dyDescent="0.3">
      <c r="B1230" s="225"/>
      <c r="C1230" s="186"/>
      <c r="D1230" s="186"/>
      <c r="E1230" s="186"/>
      <c r="F1230" s="234"/>
      <c r="G1230" s="495"/>
      <c r="H1230" s="495"/>
    </row>
    <row r="1231" spans="2:8" x14ac:dyDescent="0.3">
      <c r="B1231" s="225"/>
      <c r="C1231" s="186"/>
      <c r="D1231" s="186"/>
      <c r="E1231" s="186"/>
      <c r="F1231" s="234"/>
      <c r="G1231" s="495"/>
      <c r="H1231" s="495"/>
    </row>
    <row r="1232" spans="2:8" x14ac:dyDescent="0.3">
      <c r="B1232" s="225"/>
      <c r="C1232" s="186"/>
      <c r="D1232" s="186"/>
      <c r="E1232" s="186"/>
      <c r="F1232" s="234"/>
      <c r="G1232" s="495"/>
      <c r="H1232" s="495"/>
    </row>
    <row r="1233" spans="2:8" x14ac:dyDescent="0.3">
      <c r="B1233" s="225"/>
      <c r="C1233" s="186"/>
      <c r="D1233" s="186"/>
      <c r="E1233" s="186"/>
      <c r="F1233" s="234"/>
      <c r="G1233" s="495"/>
      <c r="H1233" s="495"/>
    </row>
    <row r="1234" spans="2:8" x14ac:dyDescent="0.3">
      <c r="B1234" s="225"/>
      <c r="C1234" s="186"/>
      <c r="D1234" s="186"/>
      <c r="E1234" s="186"/>
      <c r="F1234" s="234"/>
      <c r="G1234" s="495"/>
      <c r="H1234" s="495"/>
    </row>
    <row r="1235" spans="2:8" x14ac:dyDescent="0.3">
      <c r="B1235" s="225"/>
      <c r="C1235" s="186"/>
      <c r="D1235" s="186"/>
      <c r="E1235" s="186"/>
      <c r="F1235" s="234"/>
      <c r="G1235" s="495"/>
      <c r="H1235" s="495"/>
    </row>
    <row r="1236" spans="2:8" x14ac:dyDescent="0.3">
      <c r="B1236" s="225"/>
      <c r="C1236" s="186"/>
      <c r="D1236" s="186"/>
      <c r="E1236" s="186"/>
      <c r="F1236" s="234"/>
      <c r="G1236" s="495"/>
      <c r="H1236" s="495"/>
    </row>
    <row r="1237" spans="2:8" x14ac:dyDescent="0.3">
      <c r="B1237" s="225"/>
      <c r="C1237" s="186"/>
      <c r="D1237" s="186"/>
      <c r="E1237" s="186"/>
      <c r="F1237" s="234"/>
      <c r="G1237" s="495"/>
      <c r="H1237" s="495"/>
    </row>
    <row r="1238" spans="2:8" x14ac:dyDescent="0.3">
      <c r="B1238" s="225"/>
      <c r="C1238" s="186"/>
      <c r="D1238" s="186"/>
      <c r="E1238" s="186"/>
      <c r="F1238" s="234"/>
      <c r="G1238" s="495"/>
      <c r="H1238" s="495"/>
    </row>
    <row r="1239" spans="2:8" x14ac:dyDescent="0.3">
      <c r="B1239" s="225"/>
      <c r="C1239" s="186"/>
      <c r="D1239" s="186"/>
      <c r="E1239" s="186"/>
      <c r="F1239" s="234"/>
      <c r="G1239" s="495"/>
      <c r="H1239" s="495"/>
    </row>
    <row r="1240" spans="2:8" x14ac:dyDescent="0.3">
      <c r="B1240" s="225"/>
      <c r="C1240" s="186"/>
      <c r="D1240" s="186"/>
      <c r="E1240" s="186"/>
      <c r="F1240" s="234"/>
      <c r="G1240" s="495"/>
      <c r="H1240" s="495"/>
    </row>
    <row r="1241" spans="2:8" x14ac:dyDescent="0.3">
      <c r="B1241" s="225"/>
      <c r="C1241" s="186"/>
      <c r="D1241" s="186"/>
      <c r="E1241" s="186"/>
      <c r="F1241" s="234"/>
      <c r="G1241" s="495"/>
      <c r="H1241" s="495"/>
    </row>
    <row r="1242" spans="2:8" x14ac:dyDescent="0.3">
      <c r="B1242" s="225"/>
      <c r="C1242" s="186"/>
      <c r="D1242" s="186"/>
      <c r="E1242" s="186"/>
      <c r="F1242" s="234"/>
      <c r="G1242" s="495"/>
      <c r="H1242" s="495"/>
    </row>
    <row r="1243" spans="2:8" x14ac:dyDescent="0.3">
      <c r="B1243" s="225"/>
      <c r="C1243" s="186"/>
      <c r="D1243" s="186"/>
      <c r="E1243" s="186"/>
      <c r="F1243" s="234"/>
      <c r="G1243" s="495"/>
      <c r="H1243" s="495"/>
    </row>
    <row r="1244" spans="2:8" x14ac:dyDescent="0.3">
      <c r="B1244" s="225"/>
      <c r="C1244" s="186"/>
      <c r="D1244" s="186"/>
      <c r="E1244" s="186"/>
      <c r="F1244" s="234"/>
      <c r="G1244" s="495"/>
      <c r="H1244" s="495"/>
    </row>
    <row r="1245" spans="2:8" x14ac:dyDescent="0.3">
      <c r="B1245" s="225"/>
      <c r="C1245" s="186"/>
      <c r="D1245" s="186"/>
      <c r="E1245" s="186"/>
      <c r="F1245" s="234"/>
      <c r="G1245" s="495"/>
      <c r="H1245" s="495"/>
    </row>
    <row r="1246" spans="2:8" x14ac:dyDescent="0.3">
      <c r="B1246" s="225"/>
      <c r="C1246" s="186"/>
      <c r="D1246" s="186"/>
      <c r="E1246" s="186"/>
      <c r="F1246" s="234"/>
      <c r="G1246" s="495"/>
      <c r="H1246" s="495"/>
    </row>
    <row r="1247" spans="2:8" x14ac:dyDescent="0.3">
      <c r="B1247" s="225"/>
      <c r="C1247" s="186"/>
      <c r="D1247" s="186"/>
      <c r="E1247" s="186"/>
      <c r="F1247" s="234"/>
      <c r="G1247" s="495"/>
      <c r="H1247" s="495"/>
    </row>
    <row r="1248" spans="2:8" x14ac:dyDescent="0.3">
      <c r="B1248" s="225"/>
      <c r="C1248" s="186"/>
      <c r="D1248" s="186"/>
      <c r="E1248" s="186"/>
      <c r="F1248" s="234"/>
      <c r="G1248" s="495"/>
      <c r="H1248" s="495"/>
    </row>
    <row r="1249" spans="2:8" x14ac:dyDescent="0.3">
      <c r="B1249" s="225"/>
      <c r="C1249" s="186"/>
      <c r="D1249" s="186"/>
      <c r="E1249" s="186"/>
      <c r="F1249" s="234"/>
      <c r="G1249" s="495"/>
      <c r="H1249" s="495"/>
    </row>
    <row r="1250" spans="2:8" x14ac:dyDescent="0.3">
      <c r="B1250" s="225"/>
      <c r="C1250" s="186"/>
      <c r="D1250" s="186"/>
      <c r="E1250" s="186"/>
      <c r="F1250" s="234"/>
      <c r="G1250" s="495"/>
      <c r="H1250" s="495"/>
    </row>
    <row r="1251" spans="2:8" x14ac:dyDescent="0.3">
      <c r="B1251" s="225"/>
      <c r="C1251" s="186"/>
      <c r="D1251" s="186"/>
      <c r="E1251" s="186"/>
      <c r="F1251" s="234"/>
      <c r="G1251" s="495"/>
      <c r="H1251" s="495"/>
    </row>
    <row r="1252" spans="2:8" x14ac:dyDescent="0.3">
      <c r="B1252" s="225"/>
      <c r="C1252" s="186"/>
      <c r="D1252" s="186"/>
      <c r="E1252" s="186"/>
      <c r="F1252" s="234"/>
      <c r="G1252" s="495"/>
      <c r="H1252" s="495"/>
    </row>
    <row r="1253" spans="2:8" x14ac:dyDescent="0.3">
      <c r="B1253" s="225"/>
      <c r="C1253" s="186"/>
      <c r="D1253" s="186"/>
      <c r="E1253" s="186"/>
      <c r="F1253" s="234"/>
      <c r="G1253" s="495"/>
      <c r="H1253" s="495"/>
    </row>
    <row r="1254" spans="2:8" x14ac:dyDescent="0.3">
      <c r="B1254" s="225"/>
      <c r="C1254" s="186"/>
      <c r="D1254" s="186"/>
      <c r="E1254" s="186"/>
      <c r="F1254" s="234"/>
      <c r="G1254" s="495"/>
      <c r="H1254" s="495"/>
    </row>
    <row r="1255" spans="2:8" x14ac:dyDescent="0.3">
      <c r="B1255" s="225"/>
      <c r="C1255" s="186"/>
      <c r="D1255" s="186"/>
      <c r="E1255" s="186"/>
      <c r="F1255" s="234"/>
      <c r="G1255" s="495"/>
      <c r="H1255" s="495"/>
    </row>
    <row r="1256" spans="2:8" x14ac:dyDescent="0.3">
      <c r="B1256" s="225"/>
      <c r="C1256" s="186"/>
      <c r="D1256" s="186"/>
      <c r="E1256" s="186"/>
      <c r="F1256" s="234"/>
      <c r="G1256" s="495"/>
      <c r="H1256" s="495"/>
    </row>
    <row r="1257" spans="2:8" x14ac:dyDescent="0.3">
      <c r="B1257" s="225"/>
      <c r="C1257" s="186"/>
      <c r="D1257" s="186"/>
      <c r="E1257" s="186"/>
      <c r="F1257" s="234"/>
      <c r="G1257" s="495"/>
      <c r="H1257" s="495"/>
    </row>
    <row r="1258" spans="2:8" x14ac:dyDescent="0.3">
      <c r="B1258" s="225"/>
      <c r="C1258" s="186"/>
      <c r="D1258" s="186"/>
      <c r="E1258" s="186"/>
      <c r="F1258" s="234"/>
      <c r="G1258" s="495"/>
      <c r="H1258" s="495"/>
    </row>
    <row r="1259" spans="2:8" x14ac:dyDescent="0.3">
      <c r="B1259" s="225"/>
      <c r="C1259" s="186"/>
      <c r="D1259" s="186"/>
      <c r="E1259" s="186"/>
      <c r="F1259" s="234"/>
      <c r="G1259" s="495"/>
      <c r="H1259" s="495"/>
    </row>
    <row r="1260" spans="2:8" x14ac:dyDescent="0.3">
      <c r="B1260" s="225"/>
      <c r="C1260" s="186"/>
      <c r="D1260" s="186"/>
      <c r="E1260" s="186"/>
      <c r="F1260" s="234"/>
      <c r="G1260" s="495"/>
      <c r="H1260" s="495"/>
    </row>
    <row r="1261" spans="2:8" x14ac:dyDescent="0.3">
      <c r="B1261" s="225"/>
      <c r="C1261" s="186"/>
      <c r="D1261" s="186"/>
      <c r="E1261" s="186"/>
      <c r="F1261" s="234"/>
      <c r="G1261" s="495"/>
      <c r="H1261" s="495"/>
    </row>
    <row r="1262" spans="2:8" x14ac:dyDescent="0.3">
      <c r="B1262" s="225"/>
      <c r="C1262" s="186"/>
      <c r="D1262" s="186"/>
      <c r="E1262" s="186"/>
      <c r="F1262" s="234"/>
      <c r="G1262" s="495"/>
      <c r="H1262" s="495"/>
    </row>
    <row r="1263" spans="2:8" x14ac:dyDescent="0.3">
      <c r="B1263" s="225"/>
      <c r="C1263" s="186"/>
      <c r="D1263" s="186"/>
      <c r="E1263" s="186"/>
      <c r="F1263" s="234"/>
      <c r="G1263" s="495"/>
      <c r="H1263" s="495"/>
    </row>
    <row r="1264" spans="2:8" x14ac:dyDescent="0.3">
      <c r="B1264" s="225"/>
      <c r="C1264" s="186"/>
      <c r="D1264" s="186"/>
      <c r="E1264" s="186"/>
      <c r="F1264" s="234"/>
      <c r="G1264" s="495"/>
      <c r="H1264" s="495"/>
    </row>
    <row r="1265" spans="2:8" x14ac:dyDescent="0.3">
      <c r="B1265" s="225"/>
      <c r="C1265" s="186"/>
      <c r="D1265" s="186"/>
      <c r="E1265" s="186"/>
      <c r="F1265" s="234"/>
      <c r="G1265" s="495"/>
      <c r="H1265" s="495"/>
    </row>
    <row r="1266" spans="2:8" x14ac:dyDescent="0.3">
      <c r="B1266" s="225"/>
      <c r="C1266" s="186"/>
      <c r="D1266" s="186"/>
      <c r="E1266" s="186"/>
      <c r="F1266" s="234"/>
      <c r="G1266" s="495"/>
      <c r="H1266" s="495"/>
    </row>
    <row r="1267" spans="2:8" x14ac:dyDescent="0.3">
      <c r="B1267" s="225"/>
      <c r="C1267" s="186"/>
      <c r="D1267" s="186"/>
      <c r="E1267" s="186"/>
      <c r="F1267" s="234"/>
      <c r="G1267" s="495"/>
      <c r="H1267" s="495"/>
    </row>
    <row r="1268" spans="2:8" x14ac:dyDescent="0.3">
      <c r="B1268" s="225"/>
      <c r="C1268" s="186"/>
      <c r="D1268" s="186"/>
      <c r="E1268" s="186"/>
      <c r="F1268" s="234"/>
      <c r="G1268" s="495"/>
      <c r="H1268" s="495"/>
    </row>
    <row r="1269" spans="2:8" x14ac:dyDescent="0.3">
      <c r="B1269" s="225"/>
      <c r="C1269" s="186"/>
      <c r="D1269" s="186"/>
      <c r="E1269" s="186"/>
      <c r="F1269" s="234"/>
      <c r="G1269" s="495"/>
      <c r="H1269" s="495"/>
    </row>
    <row r="1270" spans="2:8" x14ac:dyDescent="0.3">
      <c r="B1270" s="225"/>
      <c r="C1270" s="186"/>
      <c r="D1270" s="186"/>
      <c r="E1270" s="186"/>
      <c r="F1270" s="234"/>
      <c r="G1270" s="495"/>
      <c r="H1270" s="495"/>
    </row>
    <row r="1271" spans="2:8" x14ac:dyDescent="0.3">
      <c r="B1271" s="225"/>
      <c r="C1271" s="186"/>
      <c r="D1271" s="186"/>
      <c r="E1271" s="186"/>
      <c r="F1271" s="234"/>
      <c r="G1271" s="495"/>
      <c r="H1271" s="495"/>
    </row>
    <row r="1272" spans="2:8" x14ac:dyDescent="0.3">
      <c r="B1272" s="225"/>
      <c r="C1272" s="186"/>
      <c r="D1272" s="186"/>
      <c r="E1272" s="186"/>
      <c r="F1272" s="234"/>
      <c r="G1272" s="495"/>
      <c r="H1272" s="495"/>
    </row>
    <row r="1273" spans="2:8" x14ac:dyDescent="0.3">
      <c r="B1273" s="225"/>
      <c r="C1273" s="186"/>
      <c r="D1273" s="186"/>
      <c r="E1273" s="186"/>
      <c r="F1273" s="234"/>
      <c r="G1273" s="495"/>
      <c r="H1273" s="495"/>
    </row>
    <row r="1274" spans="2:8" x14ac:dyDescent="0.3">
      <c r="B1274" s="225"/>
      <c r="C1274" s="186"/>
      <c r="D1274" s="186"/>
      <c r="E1274" s="186"/>
      <c r="F1274" s="234"/>
      <c r="G1274" s="495"/>
      <c r="H1274" s="495"/>
    </row>
    <row r="1275" spans="2:8" x14ac:dyDescent="0.3">
      <c r="B1275" s="225"/>
      <c r="C1275" s="186"/>
      <c r="D1275" s="186"/>
      <c r="E1275" s="186"/>
      <c r="F1275" s="234"/>
      <c r="G1275" s="495"/>
      <c r="H1275" s="495"/>
    </row>
    <row r="1276" spans="2:8" x14ac:dyDescent="0.3">
      <c r="B1276" s="225"/>
      <c r="C1276" s="186"/>
      <c r="D1276" s="186"/>
      <c r="E1276" s="186"/>
      <c r="F1276" s="234"/>
      <c r="G1276" s="495"/>
      <c r="H1276" s="495"/>
    </row>
    <row r="1277" spans="2:8" x14ac:dyDescent="0.3">
      <c r="B1277" s="225"/>
      <c r="C1277" s="186"/>
      <c r="D1277" s="186"/>
      <c r="E1277" s="186"/>
      <c r="F1277" s="234"/>
      <c r="G1277" s="495"/>
      <c r="H1277" s="495"/>
    </row>
    <row r="1278" spans="2:8" x14ac:dyDescent="0.3">
      <c r="B1278" s="225"/>
      <c r="C1278" s="186"/>
      <c r="D1278" s="186"/>
      <c r="E1278" s="186"/>
      <c r="F1278" s="234"/>
      <c r="G1278" s="495"/>
      <c r="H1278" s="495"/>
    </row>
    <row r="1279" spans="2:8" x14ac:dyDescent="0.3">
      <c r="B1279" s="225"/>
      <c r="C1279" s="186"/>
      <c r="D1279" s="186"/>
      <c r="E1279" s="186"/>
      <c r="F1279" s="234"/>
      <c r="G1279" s="495"/>
      <c r="H1279" s="495"/>
    </row>
    <row r="1280" spans="2:8" x14ac:dyDescent="0.3">
      <c r="B1280" s="225"/>
      <c r="C1280" s="186"/>
      <c r="D1280" s="186"/>
      <c r="E1280" s="186"/>
      <c r="F1280" s="234"/>
      <c r="G1280" s="495"/>
      <c r="H1280" s="495"/>
    </row>
    <row r="1281" spans="2:8" x14ac:dyDescent="0.3">
      <c r="B1281" s="225"/>
      <c r="C1281" s="186"/>
      <c r="D1281" s="186"/>
      <c r="E1281" s="186"/>
      <c r="F1281" s="234"/>
      <c r="G1281" s="495"/>
      <c r="H1281" s="495"/>
    </row>
    <row r="1282" spans="2:8" x14ac:dyDescent="0.3">
      <c r="B1282" s="225"/>
      <c r="C1282" s="186"/>
      <c r="D1282" s="186"/>
      <c r="E1282" s="186"/>
      <c r="F1282" s="234"/>
      <c r="G1282" s="495"/>
      <c r="H1282" s="495"/>
    </row>
    <row r="1283" spans="2:8" x14ac:dyDescent="0.3">
      <c r="B1283" s="225"/>
      <c r="C1283" s="186"/>
      <c r="D1283" s="186"/>
      <c r="E1283" s="186"/>
      <c r="F1283" s="234"/>
      <c r="G1283" s="495"/>
      <c r="H1283" s="495"/>
    </row>
    <row r="1284" spans="2:8" x14ac:dyDescent="0.3">
      <c r="B1284" s="225"/>
      <c r="C1284" s="186"/>
      <c r="D1284" s="186"/>
      <c r="E1284" s="186"/>
      <c r="F1284" s="234"/>
      <c r="G1284" s="495"/>
      <c r="H1284" s="495"/>
    </row>
    <row r="1285" spans="2:8" x14ac:dyDescent="0.3">
      <c r="B1285" s="225"/>
      <c r="C1285" s="186"/>
      <c r="D1285" s="186"/>
      <c r="E1285" s="186"/>
      <c r="F1285" s="234"/>
      <c r="G1285" s="495"/>
      <c r="H1285" s="495"/>
    </row>
    <row r="1286" spans="2:8" x14ac:dyDescent="0.3">
      <c r="B1286" s="225"/>
      <c r="C1286" s="186"/>
      <c r="D1286" s="186"/>
      <c r="E1286" s="186"/>
      <c r="F1286" s="234"/>
      <c r="G1286" s="495"/>
      <c r="H1286" s="495"/>
    </row>
    <row r="1287" spans="2:8" x14ac:dyDescent="0.3">
      <c r="B1287" s="225"/>
      <c r="C1287" s="186"/>
      <c r="D1287" s="186"/>
      <c r="E1287" s="186"/>
      <c r="F1287" s="234"/>
      <c r="G1287" s="495"/>
      <c r="H1287" s="495"/>
    </row>
    <row r="1288" spans="2:8" x14ac:dyDescent="0.3">
      <c r="B1288" s="225"/>
      <c r="C1288" s="186"/>
      <c r="D1288" s="186"/>
      <c r="E1288" s="186"/>
      <c r="F1288" s="234"/>
      <c r="G1288" s="495"/>
      <c r="H1288" s="495"/>
    </row>
    <row r="1289" spans="2:8" x14ac:dyDescent="0.3">
      <c r="B1289" s="225"/>
      <c r="C1289" s="186"/>
      <c r="D1289" s="186"/>
      <c r="E1289" s="186"/>
      <c r="F1289" s="234"/>
      <c r="G1289" s="495"/>
      <c r="H1289" s="495"/>
    </row>
    <row r="1290" spans="2:8" x14ac:dyDescent="0.3">
      <c r="B1290" s="225"/>
      <c r="C1290" s="186"/>
      <c r="D1290" s="186"/>
      <c r="E1290" s="186"/>
      <c r="F1290" s="234"/>
      <c r="G1290" s="495"/>
      <c r="H1290" s="495"/>
    </row>
    <row r="1291" spans="2:8" x14ac:dyDescent="0.3">
      <c r="B1291" s="225"/>
      <c r="C1291" s="186"/>
      <c r="D1291" s="186"/>
      <c r="E1291" s="186"/>
      <c r="F1291" s="234"/>
      <c r="G1291" s="495"/>
      <c r="H1291" s="495"/>
    </row>
    <row r="1292" spans="2:8" x14ac:dyDescent="0.3">
      <c r="B1292" s="225"/>
      <c r="C1292" s="186"/>
      <c r="D1292" s="186"/>
      <c r="E1292" s="186"/>
      <c r="F1292" s="234"/>
      <c r="G1292" s="495"/>
      <c r="H1292" s="495"/>
    </row>
    <row r="1293" spans="2:8" x14ac:dyDescent="0.3">
      <c r="B1293" s="225"/>
      <c r="C1293" s="186"/>
      <c r="D1293" s="186"/>
      <c r="E1293" s="186"/>
      <c r="F1293" s="234"/>
      <c r="G1293" s="495"/>
      <c r="H1293" s="495"/>
    </row>
    <row r="1294" spans="2:8" x14ac:dyDescent="0.3">
      <c r="B1294" s="225"/>
      <c r="C1294" s="186"/>
      <c r="D1294" s="186"/>
      <c r="E1294" s="186"/>
      <c r="F1294" s="234"/>
      <c r="G1294" s="495"/>
      <c r="H1294" s="495"/>
    </row>
    <row r="1295" spans="2:8" x14ac:dyDescent="0.3">
      <c r="B1295" s="225"/>
      <c r="C1295" s="186"/>
      <c r="D1295" s="186"/>
      <c r="E1295" s="186"/>
      <c r="F1295" s="234"/>
      <c r="G1295" s="495"/>
      <c r="H1295" s="495"/>
    </row>
    <row r="1296" spans="2:8" x14ac:dyDescent="0.3">
      <c r="B1296" s="225"/>
      <c r="C1296" s="186"/>
      <c r="D1296" s="186"/>
      <c r="E1296" s="186"/>
      <c r="F1296" s="234"/>
      <c r="G1296" s="495"/>
      <c r="H1296" s="495"/>
    </row>
    <row r="1297" spans="2:8" x14ac:dyDescent="0.3">
      <c r="B1297" s="225"/>
      <c r="C1297" s="186"/>
      <c r="D1297" s="186"/>
      <c r="E1297" s="186"/>
      <c r="F1297" s="234"/>
      <c r="G1297" s="495"/>
      <c r="H1297" s="495"/>
    </row>
    <row r="1298" spans="2:8" x14ac:dyDescent="0.3">
      <c r="B1298" s="225"/>
      <c r="C1298" s="186"/>
      <c r="D1298" s="186"/>
      <c r="E1298" s="186"/>
      <c r="F1298" s="234"/>
      <c r="G1298" s="495"/>
      <c r="H1298" s="495"/>
    </row>
    <row r="1299" spans="2:8" x14ac:dyDescent="0.3">
      <c r="B1299" s="225"/>
      <c r="C1299" s="186"/>
      <c r="D1299" s="186"/>
      <c r="E1299" s="186"/>
      <c r="F1299" s="234"/>
      <c r="G1299" s="495"/>
      <c r="H1299" s="495"/>
    </row>
    <row r="1300" spans="2:8" x14ac:dyDescent="0.3">
      <c r="B1300" s="225"/>
      <c r="C1300" s="186"/>
      <c r="D1300" s="186"/>
      <c r="E1300" s="186"/>
      <c r="F1300" s="234"/>
      <c r="G1300" s="495"/>
      <c r="H1300" s="495"/>
    </row>
    <row r="1301" spans="2:8" x14ac:dyDescent="0.3">
      <c r="B1301" s="225"/>
      <c r="C1301" s="186"/>
      <c r="D1301" s="186"/>
      <c r="E1301" s="186"/>
      <c r="F1301" s="234"/>
      <c r="G1301" s="495"/>
      <c r="H1301" s="495"/>
    </row>
    <row r="1302" spans="2:8" x14ac:dyDescent="0.3">
      <c r="B1302" s="225"/>
      <c r="C1302" s="186"/>
      <c r="D1302" s="186"/>
      <c r="E1302" s="186"/>
      <c r="F1302" s="234"/>
      <c r="G1302" s="495"/>
      <c r="H1302" s="495"/>
    </row>
    <row r="1303" spans="2:8" x14ac:dyDescent="0.3">
      <c r="B1303" s="225"/>
      <c r="C1303" s="186"/>
      <c r="D1303" s="186"/>
      <c r="E1303" s="186"/>
      <c r="F1303" s="234"/>
      <c r="G1303" s="495"/>
      <c r="H1303" s="495"/>
    </row>
    <row r="1304" spans="2:8" x14ac:dyDescent="0.3">
      <c r="B1304" s="225"/>
      <c r="C1304" s="186"/>
      <c r="D1304" s="186"/>
      <c r="E1304" s="186"/>
      <c r="F1304" s="234"/>
      <c r="G1304" s="495"/>
      <c r="H1304" s="495"/>
    </row>
    <row r="1305" spans="2:8" x14ac:dyDescent="0.3">
      <c r="B1305" s="225"/>
      <c r="C1305" s="186"/>
      <c r="D1305" s="186"/>
      <c r="E1305" s="186"/>
      <c r="F1305" s="234"/>
      <c r="G1305" s="495"/>
      <c r="H1305" s="495"/>
    </row>
    <row r="1306" spans="2:8" x14ac:dyDescent="0.3">
      <c r="B1306" s="225"/>
      <c r="C1306" s="186"/>
      <c r="D1306" s="186"/>
      <c r="E1306" s="186"/>
      <c r="F1306" s="234"/>
      <c r="G1306" s="495"/>
      <c r="H1306" s="495"/>
    </row>
    <row r="1307" spans="2:8" x14ac:dyDescent="0.3">
      <c r="B1307" s="225"/>
      <c r="C1307" s="186"/>
      <c r="D1307" s="186"/>
      <c r="E1307" s="186"/>
      <c r="F1307" s="234"/>
      <c r="G1307" s="495"/>
      <c r="H1307" s="495"/>
    </row>
    <row r="1308" spans="2:8" x14ac:dyDescent="0.3">
      <c r="B1308" s="225"/>
      <c r="C1308" s="186"/>
      <c r="D1308" s="186"/>
      <c r="E1308" s="186"/>
      <c r="F1308" s="234"/>
      <c r="G1308" s="495"/>
      <c r="H1308" s="495"/>
    </row>
    <row r="1309" spans="2:8" x14ac:dyDescent="0.3">
      <c r="B1309" s="225"/>
      <c r="C1309" s="186"/>
      <c r="D1309" s="186"/>
      <c r="E1309" s="186"/>
      <c r="F1309" s="234"/>
      <c r="G1309" s="495"/>
      <c r="H1309" s="495"/>
    </row>
    <row r="1310" spans="2:8" x14ac:dyDescent="0.3">
      <c r="B1310" s="225"/>
      <c r="C1310" s="186"/>
      <c r="D1310" s="186"/>
      <c r="E1310" s="186"/>
      <c r="F1310" s="234"/>
      <c r="G1310" s="495"/>
      <c r="H1310" s="495"/>
    </row>
    <row r="1311" spans="2:8" x14ac:dyDescent="0.3">
      <c r="B1311" s="225"/>
      <c r="C1311" s="186"/>
      <c r="D1311" s="186"/>
      <c r="E1311" s="186"/>
      <c r="F1311" s="234"/>
      <c r="G1311" s="495"/>
      <c r="H1311" s="495"/>
    </row>
    <row r="1312" spans="2:8" x14ac:dyDescent="0.3">
      <c r="B1312" s="225"/>
      <c r="C1312" s="186"/>
      <c r="D1312" s="186"/>
      <c r="E1312" s="186"/>
      <c r="F1312" s="234"/>
      <c r="G1312" s="495"/>
      <c r="H1312" s="495"/>
    </row>
    <row r="1313" spans="2:8" x14ac:dyDescent="0.3">
      <c r="B1313" s="225"/>
      <c r="C1313" s="186"/>
      <c r="D1313" s="186"/>
      <c r="E1313" s="186"/>
      <c r="F1313" s="234"/>
      <c r="G1313" s="495"/>
      <c r="H1313" s="495"/>
    </row>
    <row r="1314" spans="2:8" x14ac:dyDescent="0.3">
      <c r="B1314" s="225"/>
      <c r="C1314" s="186"/>
      <c r="D1314" s="186"/>
      <c r="E1314" s="186"/>
      <c r="F1314" s="234"/>
      <c r="G1314" s="495"/>
      <c r="H1314" s="495"/>
    </row>
    <row r="1315" spans="2:8" x14ac:dyDescent="0.3">
      <c r="B1315" s="225"/>
      <c r="C1315" s="186"/>
      <c r="D1315" s="186"/>
      <c r="E1315" s="186"/>
      <c r="F1315" s="234"/>
      <c r="G1315" s="495"/>
      <c r="H1315" s="495"/>
    </row>
    <row r="1316" spans="2:8" x14ac:dyDescent="0.3">
      <c r="B1316" s="225"/>
      <c r="C1316" s="186"/>
      <c r="D1316" s="186"/>
      <c r="E1316" s="186"/>
      <c r="F1316" s="234"/>
      <c r="G1316" s="495"/>
      <c r="H1316" s="495"/>
    </row>
    <row r="1317" spans="2:8" x14ac:dyDescent="0.3">
      <c r="B1317" s="225"/>
      <c r="C1317" s="186"/>
      <c r="D1317" s="186"/>
      <c r="E1317" s="186"/>
      <c r="F1317" s="234"/>
      <c r="G1317" s="495"/>
      <c r="H1317" s="495"/>
    </row>
    <row r="1318" spans="2:8" x14ac:dyDescent="0.3">
      <c r="B1318" s="225"/>
      <c r="C1318" s="186"/>
      <c r="D1318" s="186"/>
      <c r="E1318" s="186"/>
      <c r="F1318" s="234"/>
      <c r="G1318" s="495"/>
      <c r="H1318" s="495"/>
    </row>
    <row r="1319" spans="2:8" x14ac:dyDescent="0.3">
      <c r="B1319" s="225"/>
      <c r="C1319" s="186"/>
      <c r="D1319" s="186"/>
      <c r="E1319" s="186"/>
      <c r="F1319" s="234"/>
      <c r="G1319" s="495"/>
      <c r="H1319" s="495"/>
    </row>
    <row r="1320" spans="2:8" x14ac:dyDescent="0.3">
      <c r="B1320" s="225"/>
      <c r="C1320" s="186"/>
      <c r="D1320" s="186"/>
      <c r="E1320" s="186"/>
      <c r="F1320" s="234"/>
      <c r="G1320" s="495"/>
      <c r="H1320" s="495"/>
    </row>
    <row r="1321" spans="2:8" x14ac:dyDescent="0.3">
      <c r="B1321" s="225"/>
      <c r="C1321" s="186"/>
      <c r="D1321" s="186"/>
      <c r="E1321" s="186"/>
      <c r="F1321" s="234"/>
      <c r="G1321" s="495"/>
      <c r="H1321" s="495"/>
    </row>
    <row r="1322" spans="2:8" x14ac:dyDescent="0.3">
      <c r="B1322" s="225"/>
      <c r="C1322" s="186"/>
      <c r="D1322" s="186"/>
      <c r="E1322" s="186"/>
      <c r="F1322" s="234"/>
      <c r="G1322" s="495"/>
      <c r="H1322" s="495"/>
    </row>
    <row r="1323" spans="2:8" x14ac:dyDescent="0.3">
      <c r="B1323" s="225"/>
      <c r="C1323" s="186"/>
      <c r="D1323" s="186"/>
      <c r="E1323" s="186"/>
      <c r="F1323" s="234"/>
      <c r="G1323" s="495"/>
      <c r="H1323" s="495"/>
    </row>
    <row r="1324" spans="2:8" x14ac:dyDescent="0.3">
      <c r="B1324" s="225"/>
      <c r="C1324" s="186"/>
      <c r="D1324" s="186"/>
      <c r="E1324" s="186"/>
      <c r="F1324" s="234"/>
      <c r="G1324" s="495"/>
      <c r="H1324" s="495"/>
    </row>
    <row r="1325" spans="2:8" x14ac:dyDescent="0.3">
      <c r="B1325" s="225"/>
      <c r="C1325" s="186"/>
      <c r="D1325" s="186"/>
      <c r="E1325" s="186"/>
      <c r="F1325" s="234"/>
      <c r="G1325" s="495"/>
      <c r="H1325" s="495"/>
    </row>
    <row r="1326" spans="2:8" x14ac:dyDescent="0.3">
      <c r="B1326" s="225"/>
      <c r="C1326" s="186"/>
      <c r="D1326" s="186"/>
      <c r="E1326" s="186"/>
      <c r="F1326" s="234"/>
      <c r="G1326" s="495"/>
      <c r="H1326" s="495"/>
    </row>
    <row r="1327" spans="2:8" x14ac:dyDescent="0.3">
      <c r="B1327" s="225"/>
      <c r="C1327" s="186"/>
      <c r="D1327" s="186"/>
      <c r="E1327" s="186"/>
      <c r="F1327" s="234"/>
      <c r="G1327" s="495"/>
      <c r="H1327" s="495"/>
    </row>
    <row r="1328" spans="2:8" x14ac:dyDescent="0.3">
      <c r="B1328" s="225"/>
      <c r="C1328" s="186"/>
      <c r="D1328" s="186"/>
      <c r="E1328" s="186"/>
      <c r="F1328" s="234"/>
      <c r="G1328" s="495"/>
      <c r="H1328" s="495"/>
    </row>
    <row r="1329" spans="2:8" x14ac:dyDescent="0.3">
      <c r="B1329" s="225"/>
      <c r="C1329" s="186"/>
      <c r="D1329" s="186"/>
      <c r="E1329" s="186"/>
      <c r="F1329" s="234"/>
      <c r="G1329" s="495"/>
      <c r="H1329" s="495"/>
    </row>
    <row r="1330" spans="2:8" x14ac:dyDescent="0.3">
      <c r="B1330" s="225"/>
      <c r="C1330" s="186"/>
      <c r="D1330" s="186"/>
      <c r="E1330" s="186"/>
      <c r="F1330" s="234"/>
      <c r="G1330" s="495"/>
      <c r="H1330" s="495"/>
    </row>
    <row r="1331" spans="2:8" x14ac:dyDescent="0.3">
      <c r="B1331" s="225"/>
      <c r="C1331" s="186"/>
      <c r="D1331" s="186"/>
      <c r="E1331" s="186"/>
      <c r="F1331" s="234"/>
      <c r="G1331" s="495"/>
      <c r="H1331" s="495"/>
    </row>
    <row r="1332" spans="2:8" x14ac:dyDescent="0.3">
      <c r="B1332" s="225"/>
      <c r="C1332" s="186"/>
      <c r="D1332" s="186"/>
      <c r="E1332" s="186"/>
      <c r="F1332" s="234"/>
      <c r="G1332" s="495"/>
      <c r="H1332" s="495"/>
    </row>
    <row r="1333" spans="2:8" x14ac:dyDescent="0.3">
      <c r="B1333" s="225"/>
      <c r="C1333" s="186"/>
      <c r="D1333" s="186"/>
      <c r="E1333" s="186"/>
      <c r="F1333" s="234"/>
      <c r="G1333" s="495"/>
      <c r="H1333" s="495"/>
    </row>
    <row r="1334" spans="2:8" x14ac:dyDescent="0.3">
      <c r="B1334" s="225"/>
      <c r="C1334" s="186"/>
      <c r="D1334" s="186"/>
      <c r="E1334" s="186"/>
      <c r="F1334" s="234"/>
      <c r="G1334" s="495"/>
      <c r="H1334" s="495"/>
    </row>
    <row r="1335" spans="2:8" x14ac:dyDescent="0.3">
      <c r="B1335" s="225"/>
      <c r="C1335" s="186"/>
      <c r="D1335" s="186"/>
      <c r="E1335" s="186"/>
      <c r="F1335" s="234"/>
      <c r="G1335" s="495"/>
      <c r="H1335" s="495"/>
    </row>
    <row r="1336" spans="2:8" x14ac:dyDescent="0.3">
      <c r="B1336" s="225"/>
      <c r="C1336" s="186"/>
      <c r="D1336" s="186"/>
      <c r="E1336" s="186"/>
      <c r="F1336" s="234"/>
      <c r="G1336" s="495"/>
      <c r="H1336" s="495"/>
    </row>
    <row r="1337" spans="2:8" x14ac:dyDescent="0.3">
      <c r="B1337" s="225"/>
      <c r="C1337" s="186"/>
      <c r="D1337" s="186"/>
      <c r="E1337" s="186"/>
      <c r="F1337" s="234"/>
      <c r="G1337" s="495"/>
      <c r="H1337" s="495"/>
    </row>
    <row r="1338" spans="2:8" x14ac:dyDescent="0.3">
      <c r="B1338" s="225"/>
      <c r="C1338" s="186"/>
      <c r="D1338" s="186"/>
      <c r="E1338" s="186"/>
      <c r="F1338" s="234"/>
      <c r="G1338" s="495"/>
      <c r="H1338" s="495"/>
    </row>
    <row r="1339" spans="2:8" x14ac:dyDescent="0.3">
      <c r="B1339" s="225"/>
      <c r="C1339" s="186"/>
      <c r="D1339" s="186"/>
      <c r="E1339" s="186"/>
      <c r="F1339" s="234"/>
      <c r="G1339" s="495"/>
      <c r="H1339" s="495"/>
    </row>
    <row r="1340" spans="2:8" x14ac:dyDescent="0.3">
      <c r="B1340" s="225"/>
      <c r="C1340" s="186"/>
      <c r="D1340" s="186"/>
      <c r="E1340" s="186"/>
      <c r="F1340" s="234"/>
      <c r="G1340" s="495"/>
      <c r="H1340" s="495"/>
    </row>
    <row r="1341" spans="2:8" x14ac:dyDescent="0.3">
      <c r="B1341" s="225"/>
      <c r="C1341" s="186"/>
      <c r="D1341" s="186"/>
      <c r="E1341" s="186"/>
      <c r="F1341" s="234"/>
      <c r="G1341" s="495"/>
      <c r="H1341" s="495"/>
    </row>
    <row r="1342" spans="2:8" x14ac:dyDescent="0.3">
      <c r="B1342" s="225"/>
      <c r="C1342" s="186"/>
      <c r="D1342" s="186"/>
      <c r="E1342" s="186"/>
      <c r="F1342" s="234"/>
      <c r="G1342" s="495"/>
      <c r="H1342" s="495"/>
    </row>
    <row r="1343" spans="2:8" x14ac:dyDescent="0.3">
      <c r="B1343" s="225"/>
      <c r="C1343" s="186"/>
      <c r="D1343" s="186"/>
      <c r="E1343" s="186"/>
      <c r="F1343" s="234"/>
      <c r="G1343" s="495"/>
      <c r="H1343" s="495"/>
    </row>
    <row r="1344" spans="2:8" x14ac:dyDescent="0.3">
      <c r="B1344" s="225"/>
      <c r="C1344" s="186"/>
      <c r="D1344" s="186"/>
      <c r="E1344" s="186"/>
      <c r="F1344" s="234"/>
      <c r="G1344" s="495"/>
      <c r="H1344" s="495"/>
    </row>
    <row r="1345" spans="2:8" x14ac:dyDescent="0.3">
      <c r="B1345" s="225"/>
      <c r="C1345" s="186"/>
      <c r="D1345" s="186"/>
      <c r="E1345" s="186"/>
      <c r="F1345" s="234"/>
      <c r="G1345" s="495"/>
      <c r="H1345" s="495"/>
    </row>
    <row r="1346" spans="2:8" x14ac:dyDescent="0.3">
      <c r="B1346" s="225"/>
      <c r="C1346" s="186"/>
      <c r="D1346" s="186"/>
      <c r="E1346" s="186"/>
      <c r="F1346" s="234"/>
      <c r="G1346" s="495"/>
      <c r="H1346" s="495"/>
    </row>
    <row r="1347" spans="2:8" x14ac:dyDescent="0.3">
      <c r="B1347" s="225"/>
      <c r="C1347" s="186"/>
      <c r="D1347" s="186"/>
      <c r="E1347" s="186"/>
      <c r="F1347" s="234"/>
      <c r="G1347" s="495"/>
      <c r="H1347" s="495"/>
    </row>
    <row r="1348" spans="2:8" x14ac:dyDescent="0.3">
      <c r="B1348" s="225"/>
      <c r="C1348" s="186"/>
      <c r="D1348" s="186"/>
      <c r="E1348" s="186"/>
      <c r="F1348" s="234"/>
      <c r="G1348" s="495"/>
      <c r="H1348" s="495"/>
    </row>
    <row r="1349" spans="2:8" x14ac:dyDescent="0.3">
      <c r="B1349" s="225"/>
      <c r="C1349" s="186"/>
      <c r="D1349" s="186"/>
      <c r="E1349" s="186"/>
      <c r="F1349" s="234"/>
      <c r="G1349" s="495"/>
      <c r="H1349" s="495"/>
    </row>
    <row r="1350" spans="2:8" x14ac:dyDescent="0.3">
      <c r="B1350" s="225"/>
      <c r="C1350" s="186"/>
      <c r="D1350" s="186"/>
      <c r="E1350" s="186"/>
      <c r="F1350" s="234"/>
      <c r="G1350" s="495"/>
      <c r="H1350" s="495"/>
    </row>
    <row r="1351" spans="2:8" x14ac:dyDescent="0.3">
      <c r="B1351" s="225"/>
      <c r="C1351" s="186"/>
      <c r="D1351" s="186"/>
      <c r="E1351" s="186"/>
      <c r="F1351" s="234"/>
      <c r="G1351" s="495"/>
      <c r="H1351" s="495"/>
    </row>
    <row r="1352" spans="2:8" x14ac:dyDescent="0.3">
      <c r="B1352" s="225"/>
      <c r="C1352" s="186"/>
      <c r="D1352" s="186"/>
      <c r="E1352" s="186"/>
      <c r="F1352" s="234"/>
      <c r="G1352" s="495"/>
      <c r="H1352" s="495"/>
    </row>
    <row r="1353" spans="2:8" x14ac:dyDescent="0.3">
      <c r="B1353" s="225"/>
      <c r="C1353" s="186"/>
      <c r="D1353" s="186"/>
      <c r="E1353" s="186"/>
      <c r="F1353" s="234"/>
      <c r="G1353" s="495"/>
      <c r="H1353" s="495"/>
    </row>
    <row r="1354" spans="2:8" x14ac:dyDescent="0.3">
      <c r="B1354" s="225"/>
      <c r="C1354" s="186"/>
      <c r="D1354" s="186"/>
      <c r="E1354" s="186"/>
      <c r="F1354" s="234"/>
      <c r="G1354" s="495"/>
      <c r="H1354" s="495"/>
    </row>
    <row r="1355" spans="2:8" x14ac:dyDescent="0.3">
      <c r="B1355" s="225"/>
      <c r="C1355" s="186"/>
      <c r="D1355" s="186"/>
      <c r="E1355" s="186"/>
      <c r="F1355" s="234"/>
      <c r="G1355" s="495"/>
      <c r="H1355" s="495"/>
    </row>
    <row r="1356" spans="2:8" x14ac:dyDescent="0.3">
      <c r="B1356" s="225"/>
      <c r="C1356" s="186"/>
      <c r="D1356" s="186"/>
      <c r="E1356" s="186"/>
      <c r="F1356" s="234"/>
      <c r="G1356" s="495"/>
      <c r="H1356" s="495"/>
    </row>
    <row r="1357" spans="2:8" x14ac:dyDescent="0.3">
      <c r="B1357" s="225"/>
      <c r="C1357" s="186"/>
      <c r="D1357" s="186"/>
      <c r="E1357" s="186"/>
      <c r="F1357" s="234"/>
      <c r="G1357" s="495"/>
      <c r="H1357" s="495"/>
    </row>
    <row r="1358" spans="2:8" x14ac:dyDescent="0.3">
      <c r="B1358" s="225"/>
      <c r="C1358" s="186"/>
      <c r="D1358" s="186"/>
      <c r="E1358" s="186"/>
      <c r="F1358" s="234"/>
      <c r="G1358" s="495"/>
      <c r="H1358" s="495"/>
    </row>
    <row r="1359" spans="2:8" x14ac:dyDescent="0.3">
      <c r="B1359" s="225"/>
      <c r="C1359" s="186"/>
      <c r="D1359" s="186"/>
      <c r="E1359" s="186"/>
      <c r="F1359" s="234"/>
      <c r="G1359" s="495"/>
      <c r="H1359" s="495"/>
    </row>
    <row r="1360" spans="2:8" x14ac:dyDescent="0.3">
      <c r="B1360" s="225"/>
      <c r="C1360" s="186"/>
      <c r="D1360" s="186"/>
      <c r="E1360" s="186"/>
      <c r="F1360" s="234"/>
      <c r="G1360" s="495"/>
      <c r="H1360" s="495"/>
    </row>
    <row r="1361" spans="2:8" x14ac:dyDescent="0.3">
      <c r="B1361" s="225"/>
      <c r="C1361" s="186"/>
      <c r="D1361" s="186"/>
      <c r="E1361" s="186"/>
      <c r="F1361" s="234"/>
      <c r="G1361" s="495"/>
      <c r="H1361" s="495"/>
    </row>
    <row r="1362" spans="2:8" x14ac:dyDescent="0.3">
      <c r="B1362" s="225"/>
      <c r="C1362" s="186"/>
      <c r="D1362" s="186"/>
      <c r="E1362" s="186"/>
      <c r="F1362" s="234"/>
      <c r="G1362" s="495"/>
      <c r="H1362" s="495"/>
    </row>
    <row r="1363" spans="2:8" x14ac:dyDescent="0.3">
      <c r="B1363" s="225"/>
      <c r="C1363" s="186"/>
      <c r="D1363" s="186"/>
      <c r="E1363" s="186"/>
      <c r="F1363" s="234"/>
      <c r="G1363" s="495"/>
      <c r="H1363" s="495"/>
    </row>
    <row r="1364" spans="2:8" x14ac:dyDescent="0.3">
      <c r="B1364" s="225"/>
      <c r="C1364" s="186"/>
      <c r="D1364" s="186"/>
      <c r="E1364" s="186"/>
      <c r="F1364" s="234"/>
      <c r="G1364" s="495"/>
      <c r="H1364" s="495"/>
    </row>
    <row r="1365" spans="2:8" x14ac:dyDescent="0.3">
      <c r="B1365" s="225"/>
      <c r="C1365" s="186"/>
      <c r="D1365" s="186"/>
      <c r="E1365" s="186"/>
      <c r="F1365" s="234"/>
      <c r="G1365" s="495"/>
      <c r="H1365" s="495"/>
    </row>
    <row r="1366" spans="2:8" x14ac:dyDescent="0.3">
      <c r="B1366" s="225"/>
      <c r="C1366" s="186"/>
      <c r="D1366" s="186"/>
      <c r="E1366" s="186"/>
      <c r="F1366" s="234"/>
      <c r="G1366" s="495"/>
      <c r="H1366" s="495"/>
    </row>
    <row r="1367" spans="2:8" x14ac:dyDescent="0.3">
      <c r="B1367" s="225"/>
      <c r="C1367" s="186"/>
      <c r="D1367" s="186"/>
      <c r="E1367" s="186"/>
      <c r="F1367" s="234"/>
      <c r="G1367" s="495"/>
      <c r="H1367" s="495"/>
    </row>
    <row r="1368" spans="2:8" x14ac:dyDescent="0.3">
      <c r="B1368" s="225"/>
      <c r="C1368" s="186"/>
      <c r="D1368" s="186"/>
      <c r="E1368" s="186"/>
      <c r="F1368" s="234"/>
      <c r="G1368" s="495"/>
      <c r="H1368" s="495"/>
    </row>
    <row r="1369" spans="2:8" x14ac:dyDescent="0.3">
      <c r="B1369" s="225"/>
      <c r="C1369" s="186"/>
      <c r="D1369" s="186"/>
      <c r="E1369" s="186"/>
      <c r="F1369" s="234"/>
      <c r="G1369" s="495"/>
      <c r="H1369" s="495"/>
    </row>
    <row r="1370" spans="2:8" x14ac:dyDescent="0.3">
      <c r="B1370" s="225"/>
      <c r="C1370" s="186"/>
      <c r="D1370" s="186"/>
      <c r="E1370" s="186"/>
      <c r="F1370" s="234"/>
      <c r="G1370" s="495"/>
      <c r="H1370" s="495"/>
    </row>
    <row r="1371" spans="2:8" x14ac:dyDescent="0.3">
      <c r="B1371" s="225"/>
      <c r="C1371" s="186"/>
      <c r="D1371" s="186"/>
      <c r="E1371" s="186"/>
      <c r="F1371" s="234"/>
      <c r="G1371" s="495"/>
      <c r="H1371" s="495"/>
    </row>
    <row r="1372" spans="2:8" x14ac:dyDescent="0.3">
      <c r="B1372" s="225"/>
      <c r="C1372" s="186"/>
      <c r="D1372" s="186"/>
      <c r="E1372" s="186"/>
      <c r="F1372" s="234"/>
      <c r="G1372" s="495"/>
      <c r="H1372" s="495"/>
    </row>
    <row r="1373" spans="2:8" x14ac:dyDescent="0.3">
      <c r="B1373" s="225"/>
      <c r="C1373" s="186"/>
      <c r="D1373" s="186"/>
      <c r="E1373" s="186"/>
      <c r="F1373" s="234"/>
      <c r="G1373" s="495"/>
      <c r="H1373" s="495"/>
    </row>
    <row r="1374" spans="2:8" x14ac:dyDescent="0.3">
      <c r="B1374" s="225"/>
      <c r="C1374" s="186"/>
      <c r="D1374" s="186"/>
      <c r="E1374" s="186"/>
      <c r="F1374" s="234"/>
      <c r="G1374" s="495"/>
      <c r="H1374" s="495"/>
    </row>
    <row r="1375" spans="2:8" x14ac:dyDescent="0.3">
      <c r="B1375" s="225"/>
      <c r="C1375" s="186"/>
      <c r="D1375" s="186"/>
      <c r="E1375" s="186"/>
      <c r="F1375" s="234"/>
      <c r="G1375" s="495"/>
      <c r="H1375" s="495"/>
    </row>
    <row r="1376" spans="2:8" x14ac:dyDescent="0.3">
      <c r="B1376" s="225"/>
      <c r="C1376" s="186"/>
      <c r="D1376" s="186"/>
      <c r="E1376" s="186"/>
      <c r="F1376" s="234"/>
      <c r="G1376" s="495"/>
      <c r="H1376" s="495"/>
    </row>
    <row r="1377" spans="2:8" x14ac:dyDescent="0.3">
      <c r="B1377" s="225"/>
      <c r="C1377" s="186"/>
      <c r="D1377" s="186"/>
      <c r="E1377" s="186"/>
      <c r="F1377" s="234"/>
      <c r="G1377" s="495"/>
      <c r="H1377" s="495"/>
    </row>
    <row r="1378" spans="2:8" x14ac:dyDescent="0.3">
      <c r="B1378" s="225"/>
      <c r="C1378" s="186"/>
      <c r="D1378" s="186"/>
      <c r="E1378" s="186"/>
      <c r="F1378" s="234"/>
      <c r="G1378" s="495"/>
      <c r="H1378" s="495"/>
    </row>
    <row r="1379" spans="2:8" x14ac:dyDescent="0.3">
      <c r="B1379" s="225"/>
      <c r="C1379" s="186"/>
      <c r="D1379" s="186"/>
      <c r="E1379" s="186"/>
      <c r="F1379" s="234"/>
      <c r="G1379" s="495"/>
      <c r="H1379" s="495"/>
    </row>
    <row r="1380" spans="2:8" x14ac:dyDescent="0.3">
      <c r="B1380" s="225"/>
      <c r="C1380" s="186"/>
      <c r="D1380" s="186"/>
      <c r="E1380" s="186"/>
      <c r="F1380" s="234"/>
      <c r="G1380" s="495"/>
      <c r="H1380" s="495"/>
    </row>
    <row r="1381" spans="2:8" x14ac:dyDescent="0.3">
      <c r="B1381" s="225"/>
      <c r="C1381" s="186"/>
      <c r="D1381" s="186"/>
      <c r="E1381" s="186"/>
      <c r="F1381" s="234"/>
      <c r="G1381" s="495"/>
      <c r="H1381" s="495"/>
    </row>
    <row r="1382" spans="2:8" x14ac:dyDescent="0.3">
      <c r="B1382" s="225"/>
      <c r="C1382" s="186"/>
      <c r="D1382" s="186"/>
      <c r="E1382" s="186"/>
      <c r="F1382" s="234"/>
      <c r="G1382" s="495"/>
      <c r="H1382" s="495"/>
    </row>
    <row r="1383" spans="2:8" x14ac:dyDescent="0.3">
      <c r="B1383" s="225"/>
      <c r="C1383" s="186"/>
      <c r="D1383" s="186"/>
      <c r="E1383" s="186"/>
      <c r="F1383" s="234"/>
      <c r="G1383" s="495"/>
      <c r="H1383" s="495"/>
    </row>
    <row r="1384" spans="2:8" x14ac:dyDescent="0.3">
      <c r="B1384" s="225"/>
      <c r="C1384" s="186"/>
      <c r="D1384" s="186"/>
      <c r="E1384" s="186"/>
      <c r="F1384" s="234"/>
      <c r="G1384" s="495"/>
      <c r="H1384" s="495"/>
    </row>
    <row r="1385" spans="2:8" x14ac:dyDescent="0.3">
      <c r="B1385" s="225"/>
      <c r="C1385" s="186"/>
      <c r="D1385" s="186"/>
      <c r="E1385" s="186"/>
      <c r="F1385" s="234"/>
      <c r="G1385" s="495"/>
      <c r="H1385" s="495"/>
    </row>
    <row r="1386" spans="2:8" x14ac:dyDescent="0.3">
      <c r="B1386" s="225"/>
      <c r="C1386" s="186"/>
      <c r="D1386" s="186"/>
      <c r="E1386" s="186"/>
      <c r="F1386" s="234"/>
      <c r="G1386" s="495"/>
      <c r="H1386" s="495"/>
    </row>
    <row r="1387" spans="2:8" x14ac:dyDescent="0.3">
      <c r="B1387" s="225"/>
      <c r="C1387" s="186"/>
      <c r="D1387" s="186"/>
      <c r="E1387" s="186"/>
      <c r="F1387" s="234"/>
      <c r="G1387" s="495"/>
      <c r="H1387" s="495"/>
    </row>
    <row r="1388" spans="2:8" x14ac:dyDescent="0.3">
      <c r="B1388" s="225"/>
      <c r="C1388" s="186"/>
      <c r="D1388" s="186"/>
      <c r="E1388" s="186"/>
      <c r="F1388" s="234"/>
      <c r="G1388" s="495"/>
      <c r="H1388" s="495"/>
    </row>
    <row r="1389" spans="2:8" x14ac:dyDescent="0.3">
      <c r="B1389" s="225"/>
      <c r="C1389" s="186"/>
      <c r="D1389" s="186"/>
      <c r="E1389" s="186"/>
      <c r="F1389" s="234"/>
      <c r="G1389" s="495"/>
      <c r="H1389" s="495"/>
    </row>
    <row r="1390" spans="2:8" x14ac:dyDescent="0.3">
      <c r="B1390" s="225"/>
      <c r="C1390" s="186"/>
      <c r="D1390" s="186"/>
      <c r="E1390" s="186"/>
      <c r="F1390" s="234"/>
      <c r="G1390" s="495"/>
      <c r="H1390" s="495"/>
    </row>
    <row r="1391" spans="2:8" x14ac:dyDescent="0.3">
      <c r="B1391" s="225"/>
      <c r="C1391" s="186"/>
      <c r="D1391" s="186"/>
      <c r="E1391" s="186"/>
      <c r="F1391" s="234"/>
      <c r="G1391" s="495"/>
      <c r="H1391" s="495"/>
    </row>
    <row r="1392" spans="2:8" x14ac:dyDescent="0.3">
      <c r="B1392" s="225"/>
      <c r="C1392" s="186"/>
      <c r="D1392" s="186"/>
      <c r="E1392" s="186"/>
      <c r="F1392" s="234"/>
      <c r="G1392" s="495"/>
      <c r="H1392" s="495"/>
    </row>
    <row r="1393" spans="2:8" x14ac:dyDescent="0.3">
      <c r="B1393" s="225"/>
      <c r="C1393" s="186"/>
      <c r="D1393" s="186"/>
      <c r="E1393" s="186"/>
      <c r="F1393" s="234"/>
      <c r="G1393" s="495"/>
      <c r="H1393" s="495"/>
    </row>
    <row r="1394" spans="2:8" x14ac:dyDescent="0.3">
      <c r="B1394" s="225"/>
      <c r="C1394" s="186"/>
      <c r="D1394" s="186"/>
      <c r="E1394" s="186"/>
      <c r="F1394" s="234"/>
      <c r="G1394" s="495"/>
      <c r="H1394" s="495"/>
    </row>
    <row r="1395" spans="2:8" x14ac:dyDescent="0.3">
      <c r="B1395" s="225"/>
      <c r="C1395" s="186"/>
      <c r="D1395" s="186"/>
      <c r="E1395" s="186"/>
      <c r="F1395" s="234"/>
      <c r="G1395" s="495"/>
      <c r="H1395" s="495"/>
    </row>
    <row r="1396" spans="2:8" x14ac:dyDescent="0.3">
      <c r="B1396" s="225"/>
      <c r="C1396" s="186"/>
      <c r="D1396" s="186"/>
      <c r="E1396" s="186"/>
      <c r="F1396" s="234"/>
      <c r="G1396" s="495"/>
      <c r="H1396" s="495"/>
    </row>
    <row r="1397" spans="2:8" x14ac:dyDescent="0.3">
      <c r="B1397" s="225"/>
      <c r="C1397" s="186"/>
      <c r="D1397" s="186"/>
      <c r="E1397" s="186"/>
      <c r="F1397" s="234"/>
      <c r="G1397" s="495"/>
      <c r="H1397" s="495"/>
    </row>
    <row r="1398" spans="2:8" x14ac:dyDescent="0.3">
      <c r="B1398" s="225"/>
      <c r="C1398" s="186"/>
      <c r="D1398" s="186"/>
      <c r="E1398" s="186"/>
      <c r="F1398" s="234"/>
      <c r="G1398" s="495"/>
      <c r="H1398" s="495"/>
    </row>
    <row r="1399" spans="2:8" x14ac:dyDescent="0.3">
      <c r="B1399" s="225"/>
      <c r="C1399" s="186"/>
      <c r="D1399" s="186"/>
      <c r="E1399" s="186"/>
      <c r="F1399" s="234"/>
      <c r="G1399" s="495"/>
      <c r="H1399" s="495"/>
    </row>
    <row r="1400" spans="2:8" x14ac:dyDescent="0.3">
      <c r="B1400" s="225"/>
      <c r="C1400" s="186"/>
      <c r="D1400" s="186"/>
      <c r="E1400" s="186"/>
      <c r="F1400" s="234"/>
      <c r="G1400" s="495"/>
      <c r="H1400" s="495"/>
    </row>
    <row r="1401" spans="2:8" x14ac:dyDescent="0.3">
      <c r="B1401" s="225"/>
      <c r="C1401" s="186"/>
      <c r="D1401" s="186"/>
      <c r="E1401" s="186"/>
      <c r="F1401" s="234"/>
      <c r="G1401" s="495"/>
      <c r="H1401" s="495"/>
    </row>
    <row r="1402" spans="2:8" x14ac:dyDescent="0.3">
      <c r="B1402" s="225"/>
      <c r="C1402" s="186"/>
      <c r="D1402" s="186"/>
      <c r="E1402" s="186"/>
      <c r="F1402" s="234"/>
      <c r="G1402" s="495"/>
      <c r="H1402" s="495"/>
    </row>
    <row r="1403" spans="2:8" x14ac:dyDescent="0.3">
      <c r="B1403" s="225"/>
      <c r="C1403" s="186"/>
      <c r="D1403" s="186"/>
      <c r="E1403" s="186"/>
      <c r="F1403" s="234"/>
      <c r="G1403" s="495"/>
      <c r="H1403" s="495"/>
    </row>
    <row r="1404" spans="2:8" x14ac:dyDescent="0.3">
      <c r="B1404" s="225"/>
      <c r="C1404" s="186"/>
      <c r="D1404" s="186"/>
      <c r="E1404" s="186"/>
      <c r="F1404" s="234"/>
      <c r="G1404" s="495"/>
      <c r="H1404" s="495"/>
    </row>
    <row r="1405" spans="2:8" x14ac:dyDescent="0.3">
      <c r="B1405" s="225"/>
      <c r="C1405" s="186"/>
      <c r="D1405" s="186"/>
      <c r="E1405" s="186"/>
      <c r="F1405" s="234"/>
      <c r="G1405" s="495"/>
      <c r="H1405" s="495"/>
    </row>
    <row r="1406" spans="2:8" x14ac:dyDescent="0.3">
      <c r="B1406" s="225"/>
      <c r="C1406" s="186"/>
      <c r="D1406" s="186"/>
      <c r="E1406" s="186"/>
      <c r="F1406" s="234"/>
      <c r="G1406" s="495"/>
      <c r="H1406" s="495"/>
    </row>
    <row r="1407" spans="2:8" x14ac:dyDescent="0.3">
      <c r="B1407" s="225"/>
      <c r="C1407" s="186"/>
      <c r="D1407" s="186"/>
      <c r="E1407" s="186"/>
      <c r="F1407" s="234"/>
      <c r="G1407" s="495"/>
      <c r="H1407" s="495"/>
    </row>
    <row r="1408" spans="2:8" x14ac:dyDescent="0.3">
      <c r="B1408" s="225"/>
      <c r="C1408" s="186"/>
      <c r="D1408" s="186"/>
      <c r="E1408" s="186"/>
      <c r="F1408" s="234"/>
      <c r="G1408" s="495"/>
      <c r="H1408" s="495"/>
    </row>
    <row r="1409" spans="2:8" x14ac:dyDescent="0.3">
      <c r="B1409" s="225"/>
      <c r="C1409" s="186"/>
      <c r="D1409" s="186"/>
      <c r="E1409" s="186"/>
      <c r="F1409" s="234"/>
      <c r="G1409" s="495"/>
      <c r="H1409" s="495"/>
    </row>
    <row r="1410" spans="2:8" x14ac:dyDescent="0.3">
      <c r="B1410" s="225"/>
      <c r="C1410" s="186"/>
      <c r="D1410" s="186"/>
      <c r="E1410" s="186"/>
      <c r="F1410" s="234"/>
      <c r="G1410" s="495"/>
      <c r="H1410" s="495"/>
    </row>
    <row r="1411" spans="2:8" x14ac:dyDescent="0.3">
      <c r="B1411" s="225"/>
      <c r="C1411" s="186"/>
      <c r="D1411" s="186"/>
      <c r="E1411" s="186"/>
      <c r="F1411" s="234"/>
      <c r="G1411" s="495"/>
      <c r="H1411" s="495"/>
    </row>
    <row r="1412" spans="2:8" x14ac:dyDescent="0.3">
      <c r="B1412" s="225"/>
      <c r="C1412" s="186"/>
      <c r="D1412" s="186"/>
      <c r="E1412" s="186"/>
      <c r="F1412" s="234"/>
      <c r="G1412" s="495"/>
      <c r="H1412" s="495"/>
    </row>
    <row r="1413" spans="2:8" x14ac:dyDescent="0.3">
      <c r="B1413" s="225"/>
      <c r="C1413" s="186"/>
      <c r="D1413" s="186"/>
      <c r="E1413" s="186"/>
      <c r="F1413" s="234"/>
      <c r="G1413" s="495"/>
      <c r="H1413" s="495"/>
    </row>
    <row r="1414" spans="2:8" x14ac:dyDescent="0.3">
      <c r="B1414" s="225"/>
      <c r="C1414" s="186"/>
      <c r="D1414" s="186"/>
      <c r="E1414" s="186"/>
      <c r="F1414" s="234"/>
      <c r="G1414" s="495"/>
      <c r="H1414" s="495"/>
    </row>
    <row r="1415" spans="2:8" x14ac:dyDescent="0.3">
      <c r="B1415" s="225"/>
      <c r="C1415" s="186"/>
      <c r="D1415" s="186"/>
      <c r="E1415" s="186"/>
      <c r="F1415" s="234"/>
      <c r="G1415" s="495"/>
      <c r="H1415" s="495"/>
    </row>
    <row r="1416" spans="2:8" x14ac:dyDescent="0.3">
      <c r="B1416" s="225"/>
      <c r="C1416" s="186"/>
      <c r="D1416" s="186"/>
      <c r="E1416" s="186"/>
      <c r="F1416" s="234"/>
      <c r="G1416" s="495"/>
      <c r="H1416" s="495"/>
    </row>
    <row r="1417" spans="2:8" x14ac:dyDescent="0.3">
      <c r="B1417" s="225"/>
      <c r="C1417" s="186"/>
      <c r="D1417" s="186"/>
      <c r="E1417" s="186"/>
      <c r="F1417" s="234"/>
      <c r="G1417" s="495"/>
      <c r="H1417" s="495"/>
    </row>
    <row r="1418" spans="2:8" x14ac:dyDescent="0.3">
      <c r="B1418" s="225"/>
      <c r="C1418" s="186"/>
      <c r="D1418" s="186"/>
      <c r="E1418" s="186"/>
      <c r="F1418" s="234"/>
      <c r="G1418" s="495"/>
      <c r="H1418" s="495"/>
    </row>
    <row r="1419" spans="2:8" x14ac:dyDescent="0.3">
      <c r="B1419" s="225"/>
      <c r="C1419" s="186"/>
      <c r="D1419" s="186"/>
      <c r="E1419" s="186"/>
      <c r="F1419" s="234"/>
      <c r="G1419" s="495"/>
      <c r="H1419" s="495"/>
    </row>
    <row r="1420" spans="2:8" x14ac:dyDescent="0.3">
      <c r="B1420" s="225"/>
      <c r="C1420" s="186"/>
      <c r="D1420" s="186"/>
      <c r="E1420" s="186"/>
      <c r="F1420" s="234"/>
      <c r="G1420" s="495"/>
      <c r="H1420" s="495"/>
    </row>
    <row r="1421" spans="2:8" x14ac:dyDescent="0.3">
      <c r="B1421" s="225"/>
      <c r="C1421" s="186"/>
      <c r="D1421" s="186"/>
      <c r="E1421" s="186"/>
      <c r="F1421" s="234"/>
      <c r="G1421" s="495"/>
      <c r="H1421" s="495"/>
    </row>
    <row r="1422" spans="2:8" x14ac:dyDescent="0.3">
      <c r="C1422" s="186"/>
      <c r="D1422" s="186"/>
      <c r="E1422" s="186"/>
      <c r="F1422" s="234"/>
      <c r="G1422" s="495"/>
      <c r="H1422" s="495"/>
    </row>
  </sheetData>
  <sheetProtection algorithmName="SHA-512" hashValue="Vo3j7CrnMuw8BO53XZNJppQMI/EPhXllzaqVDT4IVbDEuoxSH83aZvjr+TbABru+LZHD2A8fSK91YCXmd2ZTlA==" saltValue="dzsDNs508IMC4hEMJMgDSg==" spinCount="100000" sheet="1" objects="1" scenarios="1" selectLockedCells="1"/>
  <mergeCells count="107">
    <mergeCell ref="C79:D79"/>
    <mergeCell ref="C80:D80"/>
    <mergeCell ref="C81:D81"/>
    <mergeCell ref="C82:D82"/>
    <mergeCell ref="C88:D88"/>
    <mergeCell ref="C215:D215"/>
    <mergeCell ref="C216:D216"/>
    <mergeCell ref="C219:D219"/>
    <mergeCell ref="C220:D220"/>
    <mergeCell ref="C116:D116"/>
    <mergeCell ref="C117:D117"/>
    <mergeCell ref="C118:D118"/>
    <mergeCell ref="C119:D119"/>
    <mergeCell ref="C120:D120"/>
    <mergeCell ref="C130:D130"/>
    <mergeCell ref="C144:D144"/>
    <mergeCell ref="C145:D145"/>
    <mergeCell ref="C146:D146"/>
    <mergeCell ref="C147:D147"/>
    <mergeCell ref="C148:D148"/>
    <mergeCell ref="C131:D131"/>
    <mergeCell ref="C140:D140"/>
    <mergeCell ref="C141:D141"/>
    <mergeCell ref="C142:D142"/>
    <mergeCell ref="A2:F2"/>
    <mergeCell ref="C73:D73"/>
    <mergeCell ref="C74:D74"/>
    <mergeCell ref="C75:D75"/>
    <mergeCell ref="C76:D76"/>
    <mergeCell ref="C77:D77"/>
    <mergeCell ref="C69:D69"/>
    <mergeCell ref="C70:D70"/>
    <mergeCell ref="C71:D71"/>
    <mergeCell ref="C72:D72"/>
    <mergeCell ref="C90:D90"/>
    <mergeCell ref="C91:D91"/>
    <mergeCell ref="C92:D92"/>
    <mergeCell ref="C20:D20"/>
    <mergeCell ref="C21:D21"/>
    <mergeCell ref="C22:D22"/>
    <mergeCell ref="C23:D23"/>
    <mergeCell ref="C24:D24"/>
    <mergeCell ref="C25:D25"/>
    <mergeCell ref="C26:D26"/>
    <mergeCell ref="C27:D27"/>
    <mergeCell ref="C28:D28"/>
    <mergeCell ref="C29:D29"/>
    <mergeCell ref="C30:D30"/>
    <mergeCell ref="C31:D31"/>
    <mergeCell ref="C63:D63"/>
    <mergeCell ref="C89:D89"/>
    <mergeCell ref="B68:C68"/>
    <mergeCell ref="C83:D83"/>
    <mergeCell ref="C84:D84"/>
    <mergeCell ref="C85:D85"/>
    <mergeCell ref="C86:D86"/>
    <mergeCell ref="C87:D87"/>
    <mergeCell ref="C78:D78"/>
    <mergeCell ref="C93:D93"/>
    <mergeCell ref="C94:D94"/>
    <mergeCell ref="C95:D95"/>
    <mergeCell ref="C96:D96"/>
    <mergeCell ref="C97:D97"/>
    <mergeCell ref="C103:D103"/>
    <mergeCell ref="C104:D104"/>
    <mergeCell ref="C105:D105"/>
    <mergeCell ref="C106:D106"/>
    <mergeCell ref="C124:D124"/>
    <mergeCell ref="C125:D125"/>
    <mergeCell ref="C126:D126"/>
    <mergeCell ref="C127:D127"/>
    <mergeCell ref="C98:D98"/>
    <mergeCell ref="C99:D99"/>
    <mergeCell ref="C100:D100"/>
    <mergeCell ref="C101:D101"/>
    <mergeCell ref="C102:D102"/>
    <mergeCell ref="C107:D107"/>
    <mergeCell ref="C108:D108"/>
    <mergeCell ref="C112:D112"/>
    <mergeCell ref="C113:D113"/>
    <mergeCell ref="C114:D114"/>
    <mergeCell ref="B111:C111"/>
    <mergeCell ref="C115:D115"/>
    <mergeCell ref="B139:C139"/>
    <mergeCell ref="C223:D223"/>
    <mergeCell ref="A3:F3"/>
    <mergeCell ref="C132:D132"/>
    <mergeCell ref="C133:D133"/>
    <mergeCell ref="C143:D143"/>
    <mergeCell ref="C160:D160"/>
    <mergeCell ref="C161:D161"/>
    <mergeCell ref="C159:D159"/>
    <mergeCell ref="C154:D154"/>
    <mergeCell ref="C155:D155"/>
    <mergeCell ref="C156:D156"/>
    <mergeCell ref="C157:D157"/>
    <mergeCell ref="C158:D158"/>
    <mergeCell ref="C149:D149"/>
    <mergeCell ref="C150:D150"/>
    <mergeCell ref="C151:D151"/>
    <mergeCell ref="C152:D152"/>
    <mergeCell ref="C153:D153"/>
    <mergeCell ref="C128:D128"/>
    <mergeCell ref="C129:D129"/>
    <mergeCell ref="C121:D121"/>
    <mergeCell ref="C122:D122"/>
    <mergeCell ref="C123:D123"/>
  </mergeCells>
  <pageMargins left="0.25" right="0.25" top="0.25" bottom="0.25" header="0.3" footer="0.3"/>
  <pageSetup paperSize="5" scale="67" fitToHeight="0" orientation="portrait" r:id="rId1"/>
  <rowBreaks count="1" manualBreakCount="1">
    <brk id="67" max="16383" man="1"/>
  </rowBreaks>
  <ignoredErrors>
    <ignoredError sqref="A59" 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M221"/>
  <sheetViews>
    <sheetView showGridLines="0" showRowColHeaders="0" showRuler="0" view="pageLayout" zoomScale="90" zoomScaleNormal="100" zoomScalePageLayoutView="90" workbookViewId="0">
      <selection activeCell="C28" sqref="C28:D28"/>
    </sheetView>
  </sheetViews>
  <sheetFormatPr defaultColWidth="9.109375" defaultRowHeight="14.4" x14ac:dyDescent="0.3"/>
  <cols>
    <col min="1" max="1" width="4.88671875" style="15" customWidth="1"/>
    <col min="2" max="2" width="1.33203125" style="15" customWidth="1"/>
    <col min="3" max="3" width="10.5546875" customWidth="1"/>
    <col min="4" max="4" width="11.88671875" customWidth="1"/>
    <col min="5" max="5" width="0.6640625" customWidth="1"/>
    <col min="6" max="6" width="25.6640625" customWidth="1"/>
    <col min="7" max="7" width="15.77734375" customWidth="1"/>
    <col min="8" max="8" width="8.6640625" customWidth="1"/>
    <col min="9" max="9" width="1.33203125" customWidth="1"/>
    <col min="10" max="10" width="8.109375" customWidth="1"/>
    <col min="11" max="11" width="9.109375" customWidth="1"/>
    <col min="12" max="12" width="1.33203125" customWidth="1"/>
    <col min="13" max="13" width="4" customWidth="1"/>
  </cols>
  <sheetData>
    <row r="1" spans="1:13" x14ac:dyDescent="0.3">
      <c r="K1" s="1245"/>
      <c r="L1" s="1245"/>
      <c r="M1" s="1245"/>
    </row>
    <row r="2" spans="1:13" ht="36" customHeight="1" x14ac:dyDescent="0.5">
      <c r="A2" s="1321" t="s">
        <v>76</v>
      </c>
      <c r="B2" s="1321"/>
      <c r="C2" s="1321"/>
      <c r="D2" s="1321"/>
      <c r="E2" s="1321"/>
      <c r="F2" s="1321"/>
      <c r="G2" s="1321"/>
      <c r="H2" s="1321"/>
      <c r="I2" s="1321"/>
      <c r="J2" s="1321"/>
      <c r="K2" s="1321"/>
      <c r="L2" s="1321"/>
      <c r="M2" s="1321"/>
    </row>
    <row r="3" spans="1:13" ht="15" customHeight="1" x14ac:dyDescent="0.45">
      <c r="A3" s="1409"/>
      <c r="B3" s="1409"/>
      <c r="C3" s="1409"/>
      <c r="D3" s="1409"/>
      <c r="E3" s="1409"/>
      <c r="F3" s="1409"/>
      <c r="G3" s="1409"/>
      <c r="H3" s="1409"/>
      <c r="I3" s="1409"/>
      <c r="J3" s="1409"/>
      <c r="K3" s="1409"/>
      <c r="L3" s="1409"/>
      <c r="M3" s="1409"/>
    </row>
    <row r="4" spans="1:13" ht="15.6" x14ac:dyDescent="0.3">
      <c r="A4" s="243" t="str">
        <f>IFERROR(INDEX(MID(Sheets,FIND("]",Sheets)+1,255),ROW(A1),1),"")</f>
        <v/>
      </c>
      <c r="B4" s="1407" t="s">
        <v>15</v>
      </c>
      <c r="C4" s="1407"/>
      <c r="D4" s="1412" t="str">
        <f>IF('I&amp;D Worksheet'!D5:G5="","",'I&amp;D Worksheet'!D5:G5)</f>
        <v/>
      </c>
      <c r="E4" s="1412"/>
      <c r="F4" s="1412"/>
      <c r="G4" s="1413" t="s">
        <v>109</v>
      </c>
      <c r="H4" s="1413"/>
      <c r="I4" s="1413"/>
      <c r="J4" s="1410" t="str">
        <f>IF('I&amp;D Worksheet'!L6="","",'I&amp;D Worksheet'!L6)</f>
        <v/>
      </c>
      <c r="K4" s="1410"/>
      <c r="L4" s="5"/>
      <c r="M4" s="2"/>
    </row>
    <row r="5" spans="1:13" ht="11.25" customHeight="1" x14ac:dyDescent="0.3">
      <c r="A5" s="4"/>
      <c r="B5" s="4"/>
      <c r="C5" s="4"/>
      <c r="D5" s="10"/>
      <c r="E5" s="10"/>
      <c r="F5" s="10"/>
      <c r="G5" s="10"/>
      <c r="H5" s="3"/>
      <c r="I5" s="2"/>
      <c r="J5" s="69"/>
      <c r="K5" s="70"/>
      <c r="L5" s="133"/>
      <c r="M5" s="2"/>
    </row>
    <row r="6" spans="1:13" ht="15" customHeight="1" x14ac:dyDescent="0.3">
      <c r="A6" s="73"/>
      <c r="B6" s="1398" t="s">
        <v>123</v>
      </c>
      <c r="C6" s="1398"/>
      <c r="D6" s="1398"/>
      <c r="E6" s="1398"/>
      <c r="F6" s="1398"/>
      <c r="G6" s="1398"/>
      <c r="H6" s="29"/>
      <c r="J6" s="74"/>
      <c r="K6" s="74"/>
      <c r="L6" s="75"/>
      <c r="M6" s="75"/>
    </row>
    <row r="7" spans="1:13" ht="11.25" customHeight="1" x14ac:dyDescent="0.3">
      <c r="A7" s="73"/>
      <c r="B7" s="90"/>
      <c r="C7" s="1408" t="s">
        <v>130</v>
      </c>
      <c r="D7" s="1408"/>
      <c r="E7" s="240"/>
      <c r="F7" s="1408" t="s">
        <v>443</v>
      </c>
      <c r="G7" s="1408"/>
      <c r="H7" s="29"/>
      <c r="J7" s="74"/>
      <c r="K7" s="74"/>
      <c r="L7" s="75"/>
      <c r="M7" s="75"/>
    </row>
    <row r="8" spans="1:13" ht="12.6" customHeight="1" x14ac:dyDescent="0.3">
      <c r="B8" s="84"/>
      <c r="C8" s="1401" t="str">
        <f ca="1">'Income Data; Do not delete'!C5</f>
        <v/>
      </c>
      <c r="D8" s="1401"/>
      <c r="E8" s="135"/>
      <c r="F8" s="1400" t="str">
        <f ca="1">'Income Data; Do not delete'!D5</f>
        <v/>
      </c>
      <c r="G8" s="1400"/>
      <c r="H8" s="33"/>
      <c r="J8" s="1391">
        <f ca="1">'Income Data; Do not delete'!F5</f>
        <v>0</v>
      </c>
      <c r="K8" s="1391"/>
      <c r="L8" s="76"/>
      <c r="M8" s="76"/>
    </row>
    <row r="9" spans="1:13" ht="3" customHeight="1" x14ac:dyDescent="0.3">
      <c r="B9" s="84"/>
      <c r="C9" s="85"/>
      <c r="D9" s="85"/>
      <c r="E9" s="85"/>
      <c r="F9" s="85"/>
      <c r="G9" s="85"/>
      <c r="H9" s="33"/>
      <c r="J9" s="93"/>
      <c r="K9" s="93"/>
      <c r="L9" s="76"/>
      <c r="M9" s="76"/>
    </row>
    <row r="10" spans="1:13" ht="12.6" customHeight="1" x14ac:dyDescent="0.3">
      <c r="B10" s="84"/>
      <c r="C10" s="1400" t="str">
        <f ca="1">'Income Data; Do not delete'!C6</f>
        <v/>
      </c>
      <c r="D10" s="1400"/>
      <c r="E10" s="135"/>
      <c r="F10" s="1400" t="str">
        <f ca="1">'Income Data; Do not delete'!D6</f>
        <v/>
      </c>
      <c r="G10" s="1400"/>
      <c r="H10" s="33"/>
      <c r="J10" s="1411">
        <f ca="1">'Income Data; Do not delete'!F6</f>
        <v>0</v>
      </c>
      <c r="K10" s="1411"/>
      <c r="L10" s="76"/>
      <c r="M10" s="76"/>
    </row>
    <row r="11" spans="1:13" ht="3" customHeight="1" x14ac:dyDescent="0.3">
      <c r="B11" s="84"/>
      <c r="C11" s="85"/>
      <c r="D11" s="85"/>
      <c r="E11" s="85"/>
      <c r="F11" s="85" t="s">
        <v>28</v>
      </c>
      <c r="G11" s="85"/>
      <c r="H11" s="33"/>
      <c r="J11" s="93"/>
      <c r="K11" s="93"/>
      <c r="L11" s="76"/>
      <c r="M11" s="76"/>
    </row>
    <row r="12" spans="1:13" ht="12.6" customHeight="1" x14ac:dyDescent="0.3">
      <c r="B12" s="84"/>
      <c r="C12" s="1393" t="str">
        <f ca="1">IF('Income Data; Do not delete'!C7=0,"",'Income Data; Do not delete'!C7)</f>
        <v/>
      </c>
      <c r="D12" s="1393"/>
      <c r="E12" s="135"/>
      <c r="F12" s="1393" t="str">
        <f ca="1">IF('Income Data; Do not delete'!D7=0,"",'Income Data; Do not delete'!D7)</f>
        <v/>
      </c>
      <c r="G12" s="1393"/>
      <c r="H12" s="33"/>
      <c r="J12" s="1394">
        <f ca="1">'Income Data; Do not delete'!F7</f>
        <v>0</v>
      </c>
      <c r="K12" s="1394"/>
      <c r="L12" s="76"/>
      <c r="M12" s="76"/>
    </row>
    <row r="13" spans="1:13" ht="3" customHeight="1" x14ac:dyDescent="0.3">
      <c r="B13" s="84"/>
      <c r="C13" s="1402"/>
      <c r="D13" s="1402"/>
      <c r="E13" s="1402"/>
      <c r="F13" s="1402"/>
      <c r="G13" s="85"/>
      <c r="H13" s="33"/>
      <c r="J13" s="93"/>
      <c r="K13" s="93"/>
      <c r="L13" s="76"/>
      <c r="M13" s="76"/>
    </row>
    <row r="14" spans="1:13" ht="12.6" customHeight="1" x14ac:dyDescent="0.3">
      <c r="B14" s="84"/>
      <c r="C14" s="1393" t="str">
        <f ca="1">IF('Income Data; Do not delete'!C8=0,"",'Income Data; Do not delete'!C8)</f>
        <v/>
      </c>
      <c r="D14" s="1393"/>
      <c r="E14" s="135"/>
      <c r="F14" s="1393" t="str">
        <f ca="1">IF('Income Data; Do not delete'!D8=0,"",'Income Data; Do not delete'!D8)</f>
        <v/>
      </c>
      <c r="G14" s="1393"/>
      <c r="H14" s="29"/>
      <c r="J14" s="1394">
        <f ca="1">'Income Data; Do not delete'!F8</f>
        <v>0</v>
      </c>
      <c r="K14" s="1394"/>
      <c r="L14" s="76"/>
      <c r="M14" s="76"/>
    </row>
    <row r="15" spans="1:13" ht="3" customHeight="1" x14ac:dyDescent="0.3">
      <c r="B15" s="84"/>
      <c r="C15" s="1392"/>
      <c r="D15" s="1392"/>
      <c r="E15" s="1392"/>
      <c r="F15" s="1392"/>
      <c r="G15" s="1392"/>
      <c r="H15" s="33"/>
      <c r="J15" s="94"/>
      <c r="K15" s="94"/>
      <c r="L15" s="76"/>
      <c r="M15" s="76"/>
    </row>
    <row r="16" spans="1:13" ht="12.6" customHeight="1" x14ac:dyDescent="0.3">
      <c r="B16" s="84"/>
      <c r="C16" s="1401" t="str">
        <f ca="1">'Income Data; Do not delete'!C9</f>
        <v/>
      </c>
      <c r="D16" s="1401"/>
      <c r="E16" s="135"/>
      <c r="F16" s="1400" t="str">
        <f ca="1">'Income Data; Do not delete'!D9</f>
        <v/>
      </c>
      <c r="G16" s="1400"/>
      <c r="H16" s="33"/>
      <c r="J16" s="1394">
        <f ca="1">'Income Data; Do not delete'!F9</f>
        <v>0</v>
      </c>
      <c r="K16" s="1394"/>
    </row>
    <row r="17" spans="1:13" ht="3" customHeight="1" x14ac:dyDescent="0.3">
      <c r="B17" s="86"/>
      <c r="C17" s="29"/>
      <c r="D17" s="29"/>
      <c r="E17" s="29"/>
      <c r="F17" s="29"/>
      <c r="G17" s="29"/>
      <c r="H17" s="33"/>
      <c r="J17" s="95"/>
      <c r="K17" s="95"/>
    </row>
    <row r="18" spans="1:13" ht="12.6" customHeight="1" x14ac:dyDescent="0.3">
      <c r="B18" s="84"/>
      <c r="C18" s="1401" t="str">
        <f ca="1">'Income Data; Do not delete'!C10</f>
        <v/>
      </c>
      <c r="D18" s="1401"/>
      <c r="E18" s="135"/>
      <c r="F18" s="1400" t="str">
        <f ca="1">'Income Data; Do not delete'!D10</f>
        <v/>
      </c>
      <c r="G18" s="1400"/>
      <c r="H18" s="29"/>
      <c r="J18" s="1394">
        <f ca="1">'Income Data; Do not delete'!F10</f>
        <v>0</v>
      </c>
      <c r="K18" s="1394"/>
      <c r="L18" s="76"/>
      <c r="M18" s="76"/>
    </row>
    <row r="19" spans="1:13" ht="3" customHeight="1" x14ac:dyDescent="0.3">
      <c r="B19" s="84"/>
      <c r="C19" s="1402"/>
      <c r="D19" s="1402"/>
      <c r="E19" s="1402"/>
      <c r="F19" s="1402"/>
      <c r="G19" s="85"/>
      <c r="H19" s="33"/>
      <c r="J19" s="93"/>
      <c r="K19" s="93"/>
      <c r="L19" s="76"/>
      <c r="M19" s="76"/>
    </row>
    <row r="20" spans="1:13" ht="12.6" customHeight="1" x14ac:dyDescent="0.3">
      <c r="B20" s="84"/>
      <c r="C20" s="1393" t="str">
        <f ca="1">IF('Income Data; Do not delete'!C11=0,"",'Income Data; Do not delete'!C11)</f>
        <v/>
      </c>
      <c r="D20" s="1393"/>
      <c r="E20" s="135"/>
      <c r="F20" s="1393" t="str">
        <f ca="1">IF('Income Data; Do not delete'!D11=0,"",'Income Data; Do not delete'!D11)</f>
        <v/>
      </c>
      <c r="G20" s="1393"/>
      <c r="H20" s="29"/>
      <c r="J20" s="1394">
        <f ca="1">'Income Data; Do not delete'!F11</f>
        <v>0</v>
      </c>
      <c r="K20" s="1394"/>
      <c r="L20" s="76"/>
      <c r="M20" s="76"/>
    </row>
    <row r="21" spans="1:13" ht="3" customHeight="1" x14ac:dyDescent="0.3">
      <c r="B21" s="84"/>
      <c r="C21" s="1402"/>
      <c r="D21" s="1402"/>
      <c r="E21" s="1402"/>
      <c r="F21" s="1402"/>
      <c r="G21" s="85"/>
      <c r="H21" s="33"/>
      <c r="J21" s="93"/>
      <c r="K21" s="93"/>
      <c r="L21" s="76"/>
      <c r="M21" s="76"/>
    </row>
    <row r="22" spans="1:13" ht="12.6" customHeight="1" x14ac:dyDescent="0.3">
      <c r="B22" s="84"/>
      <c r="C22" s="1393" t="str">
        <f ca="1">IF('Income Data; Do not delete'!C12=0,"",'Income Data; Do not delete'!C12)</f>
        <v/>
      </c>
      <c r="D22" s="1393"/>
      <c r="E22" s="135"/>
      <c r="F22" s="1393" t="str">
        <f ca="1">IF('Income Data; Do not delete'!D12=0,"",'Income Data; Do not delete'!D12)</f>
        <v/>
      </c>
      <c r="G22" s="1393"/>
      <c r="H22" s="29"/>
      <c r="J22" s="1394">
        <f ca="1">'Income Data; Do not delete'!F12</f>
        <v>0</v>
      </c>
      <c r="K22" s="1394"/>
      <c r="L22" s="76"/>
      <c r="M22" s="76"/>
    </row>
    <row r="23" spans="1:13" ht="3" customHeight="1" x14ac:dyDescent="0.3">
      <c r="B23" s="84"/>
      <c r="C23" s="1402"/>
      <c r="D23" s="1402"/>
      <c r="E23" s="1402"/>
      <c r="F23" s="1402"/>
      <c r="G23" s="85"/>
      <c r="H23" s="33"/>
      <c r="J23" s="93"/>
      <c r="K23" s="93"/>
      <c r="L23" s="76"/>
      <c r="M23" s="76"/>
    </row>
    <row r="24" spans="1:13" ht="12.6" customHeight="1" x14ac:dyDescent="0.3">
      <c r="B24" s="84"/>
      <c r="C24" s="1393" t="str">
        <f ca="1">IF('Income Data; Do not delete'!C15=0,"",'Income Data; Do not delete'!C15)</f>
        <v/>
      </c>
      <c r="D24" s="1393"/>
      <c r="E24" s="135"/>
      <c r="F24" s="1393" t="str">
        <f ca="1">IF('Income Data; Do not delete'!D15=0,"",'Income Data; Do not delete'!D15)</f>
        <v/>
      </c>
      <c r="G24" s="1393"/>
      <c r="H24" s="29"/>
      <c r="J24" s="1394">
        <f ca="1">'Income Data; Do not delete'!F15</f>
        <v>0</v>
      </c>
      <c r="K24" s="1394"/>
      <c r="L24" s="76"/>
      <c r="M24" s="76"/>
    </row>
    <row r="25" spans="1:13" ht="3" customHeight="1" x14ac:dyDescent="0.3">
      <c r="B25" s="84"/>
      <c r="C25" s="1402"/>
      <c r="D25" s="1402"/>
      <c r="E25" s="1402"/>
      <c r="F25" s="1402"/>
      <c r="G25" s="85"/>
      <c r="H25" s="33"/>
      <c r="J25" s="93"/>
      <c r="K25" s="93"/>
      <c r="L25" s="76"/>
      <c r="M25" s="76"/>
    </row>
    <row r="26" spans="1:13" ht="12.6" customHeight="1" x14ac:dyDescent="0.3">
      <c r="B26" s="84"/>
      <c r="C26" s="1393" t="str">
        <f ca="1">IF('Income Data; Do not delete'!C16=0,"",'Income Data; Do not delete'!C16)</f>
        <v/>
      </c>
      <c r="D26" s="1393"/>
      <c r="E26" s="135"/>
      <c r="F26" s="1393" t="str">
        <f ca="1">IF('Income Data; Do not delete'!D16=0,"",'Income Data; Do not delete'!D16)</f>
        <v/>
      </c>
      <c r="G26" s="1393"/>
      <c r="H26" s="29"/>
      <c r="J26" s="1394">
        <f ca="1">'Income Data; Do not delete'!F16</f>
        <v>0</v>
      </c>
      <c r="K26" s="1394"/>
      <c r="L26" s="76"/>
      <c r="M26" s="76"/>
    </row>
    <row r="27" spans="1:13" ht="3" customHeight="1" x14ac:dyDescent="0.3">
      <c r="B27" s="84"/>
      <c r="C27" s="85"/>
      <c r="D27" s="85"/>
      <c r="E27" s="85"/>
      <c r="F27" s="85"/>
      <c r="G27" s="85"/>
      <c r="H27" s="33"/>
      <c r="J27" s="93"/>
      <c r="K27" s="93"/>
      <c r="L27" s="76"/>
      <c r="M27" s="76"/>
    </row>
    <row r="28" spans="1:13" ht="11.4" customHeight="1" x14ac:dyDescent="0.3">
      <c r="B28" s="84"/>
      <c r="C28" s="1395"/>
      <c r="D28" s="1395"/>
      <c r="E28" s="135"/>
      <c r="F28" s="1396"/>
      <c r="G28" s="1396"/>
      <c r="H28" s="29"/>
      <c r="J28" s="1397"/>
      <c r="K28" s="1397"/>
      <c r="L28" s="76"/>
      <c r="M28" s="76"/>
    </row>
    <row r="29" spans="1:13" ht="3" customHeight="1" x14ac:dyDescent="0.3">
      <c r="B29" s="84"/>
      <c r="C29" s="1392"/>
      <c r="D29" s="1392"/>
      <c r="E29" s="1392"/>
      <c r="F29" s="1392"/>
      <c r="G29" s="1392"/>
      <c r="H29" s="33"/>
      <c r="J29" s="94"/>
      <c r="K29" s="94"/>
      <c r="L29" s="76"/>
      <c r="M29" s="76"/>
    </row>
    <row r="30" spans="1:13" ht="11.4" customHeight="1" x14ac:dyDescent="0.3">
      <c r="A30" s="73"/>
      <c r="B30" s="84"/>
      <c r="C30" s="1395"/>
      <c r="D30" s="1395"/>
      <c r="E30" s="135"/>
      <c r="F30" s="1396"/>
      <c r="G30" s="1396"/>
      <c r="H30" s="29"/>
      <c r="J30" s="1397"/>
      <c r="K30" s="1397"/>
      <c r="L30" s="44"/>
      <c r="M30" s="44"/>
    </row>
    <row r="31" spans="1:13" ht="4.5" customHeight="1" x14ac:dyDescent="0.3">
      <c r="A31" s="73"/>
      <c r="B31" s="86"/>
      <c r="C31" s="1392"/>
      <c r="D31" s="1392"/>
      <c r="E31" s="1392"/>
      <c r="F31" s="1392"/>
      <c r="G31" s="1392"/>
      <c r="H31" s="33"/>
      <c r="J31" s="77"/>
      <c r="K31" s="77"/>
      <c r="L31" s="78"/>
      <c r="M31" s="78"/>
    </row>
    <row r="32" spans="1:13" ht="21" customHeight="1" thickBot="1" x14ac:dyDescent="0.35">
      <c r="A32" s="73"/>
      <c r="B32" s="86"/>
      <c r="C32" s="1292" t="s">
        <v>126</v>
      </c>
      <c r="D32" s="1292"/>
      <c r="E32" s="1292"/>
      <c r="F32" s="1292"/>
      <c r="G32" s="241"/>
      <c r="H32" s="227">
        <f ca="1">J32</f>
        <v>0</v>
      </c>
      <c r="I32" s="74"/>
      <c r="J32" s="1406">
        <f ca="1">J8+J10+J12+J14+J16+J18+J20+J22+J24+J26+J28+J30</f>
        <v>0</v>
      </c>
      <c r="K32" s="1406"/>
      <c r="M32" s="79"/>
    </row>
    <row r="33" spans="1:13" ht="13.5" hidden="1" customHeight="1" thickTop="1" x14ac:dyDescent="0.3">
      <c r="B33" s="29"/>
      <c r="C33" s="29"/>
      <c r="D33" s="29"/>
      <c r="E33" s="29"/>
      <c r="F33" s="29"/>
      <c r="G33" s="256"/>
      <c r="H33" s="29"/>
    </row>
    <row r="34" spans="1:13" ht="15" hidden="1" customHeight="1" x14ac:dyDescent="0.3">
      <c r="B34" s="1398"/>
      <c r="C34" s="1398"/>
      <c r="D34" s="1398"/>
      <c r="E34" s="1398"/>
      <c r="F34" s="1398"/>
      <c r="G34" s="1398"/>
      <c r="H34" s="29"/>
    </row>
    <row r="35" spans="1:13" ht="3" hidden="1" customHeight="1" x14ac:dyDescent="0.3">
      <c r="B35" s="29"/>
      <c r="C35" s="29"/>
      <c r="D35" s="29"/>
      <c r="E35" s="29"/>
      <c r="F35" s="29"/>
      <c r="G35" s="29"/>
      <c r="H35" s="29"/>
    </row>
    <row r="36" spans="1:13" ht="12.6" hidden="1" customHeight="1" x14ac:dyDescent="0.3">
      <c r="B36" s="84"/>
      <c r="C36" s="1423"/>
      <c r="D36" s="1423"/>
      <c r="E36" s="1423"/>
      <c r="F36" s="1423"/>
      <c r="G36" s="1423"/>
      <c r="H36" s="33"/>
      <c r="J36" s="1422"/>
      <c r="K36" s="1422"/>
      <c r="L36" s="76"/>
      <c r="M36" s="76"/>
    </row>
    <row r="37" spans="1:13" ht="3" hidden="1" customHeight="1" x14ac:dyDescent="0.3">
      <c r="B37" s="84"/>
      <c r="C37" s="1402"/>
      <c r="D37" s="1402"/>
      <c r="E37" s="1402"/>
      <c r="F37" s="1402"/>
      <c r="G37" s="85"/>
      <c r="H37" s="33"/>
      <c r="J37" s="1134"/>
      <c r="K37" s="1134"/>
      <c r="L37" s="76"/>
      <c r="M37" s="76"/>
    </row>
    <row r="38" spans="1:13" ht="11.4" hidden="1" customHeight="1" x14ac:dyDescent="0.3">
      <c r="B38" s="84"/>
      <c r="C38" s="1420"/>
      <c r="D38" s="1420"/>
      <c r="E38" s="1420"/>
      <c r="F38" s="1420"/>
      <c r="G38" s="1420"/>
      <c r="H38" s="33"/>
      <c r="J38" s="1421"/>
      <c r="K38" s="1421"/>
      <c r="L38" s="76"/>
      <c r="M38" s="76"/>
    </row>
    <row r="39" spans="1:13" ht="3" customHeight="1" thickTop="1" x14ac:dyDescent="0.3">
      <c r="B39" s="84"/>
      <c r="C39" s="85"/>
      <c r="D39" s="85"/>
      <c r="E39" s="85"/>
      <c r="F39" s="85"/>
      <c r="G39" s="85"/>
      <c r="H39" s="33"/>
      <c r="J39" s="1134"/>
      <c r="K39" s="1134"/>
      <c r="L39" s="76"/>
      <c r="M39" s="76"/>
    </row>
    <row r="40" spans="1:13" ht="11.4" customHeight="1" x14ac:dyDescent="0.3">
      <c r="B40" s="84"/>
      <c r="C40" s="1402"/>
      <c r="D40" s="1402"/>
      <c r="E40" s="1402"/>
      <c r="F40" s="1402"/>
      <c r="G40" s="1402"/>
      <c r="H40" s="29"/>
      <c r="I40" s="3"/>
      <c r="J40" s="1424"/>
      <c r="K40" s="1424"/>
      <c r="L40" s="3"/>
      <c r="M40" s="76"/>
    </row>
    <row r="41" spans="1:13" ht="4.5" customHeight="1" x14ac:dyDescent="0.3">
      <c r="B41" s="84"/>
      <c r="C41" s="1392"/>
      <c r="D41" s="1392"/>
      <c r="E41" s="1392"/>
      <c r="F41" s="1392"/>
      <c r="G41" s="1392"/>
      <c r="H41" s="33"/>
      <c r="J41" s="94"/>
      <c r="K41" s="94"/>
      <c r="L41" s="76"/>
      <c r="M41" s="76"/>
    </row>
    <row r="42" spans="1:13" ht="21" customHeight="1" x14ac:dyDescent="0.3">
      <c r="A42" s="73"/>
      <c r="B42"/>
      <c r="C42" s="1415"/>
      <c r="D42" s="1415"/>
      <c r="E42" s="1415"/>
      <c r="F42" s="1415"/>
      <c r="G42" s="1415"/>
      <c r="H42" s="75"/>
      <c r="I42" s="74"/>
      <c r="J42" s="1425"/>
      <c r="K42" s="1425"/>
      <c r="M42" s="87"/>
    </row>
    <row r="43" spans="1:13" ht="13.5" customHeight="1" x14ac:dyDescent="0.3">
      <c r="A43" s="73"/>
      <c r="B43" s="239"/>
      <c r="C43" s="85"/>
      <c r="D43" s="85"/>
      <c r="E43" s="135"/>
      <c r="F43" s="135"/>
      <c r="G43" s="135"/>
      <c r="H43" s="87"/>
      <c r="I43" s="56"/>
      <c r="J43" s="82"/>
      <c r="K43" s="82"/>
      <c r="L43" s="80"/>
      <c r="M43" s="81"/>
    </row>
    <row r="44" spans="1:13" ht="15" customHeight="1" x14ac:dyDescent="0.3">
      <c r="A44" s="73"/>
      <c r="B44" s="1398" t="s">
        <v>129</v>
      </c>
      <c r="C44" s="1398"/>
      <c r="D44" s="1398"/>
      <c r="E44" s="1398"/>
      <c r="F44" s="1398"/>
      <c r="G44" s="1398"/>
      <c r="H44" s="255"/>
      <c r="J44" s="82"/>
      <c r="K44" s="82"/>
      <c r="L44" s="81"/>
    </row>
    <row r="45" spans="1:13" ht="3" customHeight="1" x14ac:dyDescent="0.3">
      <c r="A45" s="73"/>
      <c r="B45" s="239"/>
      <c r="C45" s="239"/>
      <c r="D45" s="239"/>
      <c r="E45" s="239"/>
      <c r="F45" s="239"/>
      <c r="G45" s="239"/>
      <c r="H45" s="33"/>
      <c r="J45" s="82"/>
      <c r="K45" s="82"/>
      <c r="L45" s="81"/>
    </row>
    <row r="46" spans="1:13" ht="12.6" customHeight="1" x14ac:dyDescent="0.3">
      <c r="B46" s="84"/>
      <c r="C46" s="1401" t="str">
        <f ca="1">'Income Data; Do not delete'!C38</f>
        <v/>
      </c>
      <c r="D46" s="1401"/>
      <c r="E46" s="135"/>
      <c r="F46" s="1400" t="str">
        <f ca="1">'Income Data; Do not delete'!D38</f>
        <v/>
      </c>
      <c r="G46" s="1400"/>
      <c r="H46" s="33"/>
      <c r="J46" s="1391">
        <f ca="1">'Income Data; Do not delete'!F38</f>
        <v>0</v>
      </c>
      <c r="K46" s="1391"/>
    </row>
    <row r="47" spans="1:13" ht="3" customHeight="1" x14ac:dyDescent="0.3">
      <c r="B47" s="86"/>
      <c r="C47" s="29"/>
      <c r="D47" s="29"/>
      <c r="E47" s="29"/>
      <c r="F47" s="29"/>
      <c r="G47" s="29"/>
      <c r="H47" s="33"/>
      <c r="J47" s="95"/>
      <c r="K47" s="95"/>
    </row>
    <row r="48" spans="1:13" ht="12.6" customHeight="1" x14ac:dyDescent="0.3">
      <c r="B48" s="84"/>
      <c r="C48" s="1401" t="str">
        <f ca="1">'Income Data; Do not delete'!C39</f>
        <v/>
      </c>
      <c r="D48" s="1401"/>
      <c r="E48" s="135"/>
      <c r="F48" s="1400" t="str">
        <f ca="1">'Income Data; Do not delete'!D39</f>
        <v/>
      </c>
      <c r="G48" s="1400"/>
      <c r="H48" s="33"/>
      <c r="J48" s="1391">
        <f ca="1">'Income Data; Do not delete'!F39</f>
        <v>0</v>
      </c>
      <c r="K48" s="1391"/>
    </row>
    <row r="49" spans="2:13" ht="3" customHeight="1" x14ac:dyDescent="0.3">
      <c r="B49" s="86"/>
      <c r="C49" s="29"/>
      <c r="D49" s="29"/>
      <c r="E49" s="29"/>
      <c r="F49" s="29"/>
      <c r="G49" s="29"/>
      <c r="H49" s="33"/>
      <c r="J49" s="95"/>
      <c r="K49" s="95"/>
    </row>
    <row r="50" spans="2:13" ht="12.6" customHeight="1" x14ac:dyDescent="0.3">
      <c r="B50" s="84"/>
      <c r="C50" s="1403" t="str">
        <f ca="1">IF('Income Data; Do not delete'!C40=0,"",'Income Data; Do not delete'!C40)</f>
        <v/>
      </c>
      <c r="D50" s="1403"/>
      <c r="E50" s="135"/>
      <c r="F50" s="1393" t="str">
        <f ca="1">IF('Income Data; Do not delete'!D40=0,"",'Income Data; Do not delete'!D40)</f>
        <v/>
      </c>
      <c r="G50" s="1393"/>
      <c r="H50" s="33"/>
      <c r="J50" s="1394">
        <f ca="1">'Income Data; Do not delete'!F40</f>
        <v>0</v>
      </c>
      <c r="K50" s="1394"/>
    </row>
    <row r="51" spans="2:13" ht="3" customHeight="1" x14ac:dyDescent="0.3">
      <c r="B51" s="86"/>
      <c r="C51" s="29"/>
      <c r="D51" s="29"/>
      <c r="E51" s="29"/>
      <c r="F51" s="29"/>
      <c r="G51" s="29"/>
      <c r="H51" s="33"/>
      <c r="J51" s="95"/>
      <c r="K51" s="95"/>
    </row>
    <row r="52" spans="2:13" ht="12.6" customHeight="1" x14ac:dyDescent="0.3">
      <c r="B52" s="84"/>
      <c r="C52" s="1403" t="str">
        <f ca="1">IF('Income Data; Do not delete'!C41=0,"",'Income Data; Do not delete'!C41)</f>
        <v/>
      </c>
      <c r="D52" s="1403"/>
      <c r="E52" s="135"/>
      <c r="F52" s="1393" t="str">
        <f ca="1">IF('Income Data; Do not delete'!D41=0,"",'Income Data; Do not delete'!D41)</f>
        <v/>
      </c>
      <c r="G52" s="1393"/>
      <c r="H52" s="33"/>
      <c r="J52" s="1394">
        <f ca="1">'Income Data; Do not delete'!F41</f>
        <v>0</v>
      </c>
      <c r="K52" s="1394"/>
      <c r="L52" s="76"/>
      <c r="M52" s="76"/>
    </row>
    <row r="53" spans="2:13" ht="3" customHeight="1" x14ac:dyDescent="0.3">
      <c r="B53" s="84"/>
      <c r="C53" s="1402"/>
      <c r="D53" s="1402"/>
      <c r="E53" s="1402"/>
      <c r="F53" s="1402"/>
      <c r="G53" s="85"/>
      <c r="H53" s="33"/>
      <c r="J53" s="93"/>
      <c r="K53" s="93"/>
      <c r="L53" s="76"/>
      <c r="M53" s="76"/>
    </row>
    <row r="54" spans="2:13" ht="12.6" customHeight="1" x14ac:dyDescent="0.3">
      <c r="B54" s="84"/>
      <c r="C54" s="1403" t="str">
        <f ca="1">IF('Income Data; Do not delete'!C42=0,"",'Income Data; Do not delete'!C42)</f>
        <v/>
      </c>
      <c r="D54" s="1403"/>
      <c r="E54" s="135"/>
      <c r="F54" s="1393" t="str">
        <f ca="1">IF('Income Data; Do not delete'!D42=0,"",'Income Data; Do not delete'!D42)</f>
        <v/>
      </c>
      <c r="G54" s="1393"/>
      <c r="H54" s="33"/>
      <c r="J54" s="1394">
        <f ca="1">'Income Data; Do not delete'!F42</f>
        <v>0</v>
      </c>
      <c r="K54" s="1394"/>
      <c r="L54" s="76"/>
      <c r="M54" s="76"/>
    </row>
    <row r="55" spans="2:13" ht="3" customHeight="1" x14ac:dyDescent="0.3">
      <c r="B55" s="84"/>
      <c r="C55" s="1392"/>
      <c r="D55" s="1392"/>
      <c r="E55" s="1392"/>
      <c r="F55" s="1392"/>
      <c r="G55" s="1392"/>
      <c r="H55" s="33"/>
      <c r="J55" s="94"/>
      <c r="K55" s="94"/>
      <c r="L55" s="76"/>
      <c r="M55" s="76"/>
    </row>
    <row r="56" spans="2:13" ht="12.6" customHeight="1" x14ac:dyDescent="0.3">
      <c r="B56" s="84"/>
      <c r="C56" s="1403" t="str">
        <f ca="1">IF('Income Data; Do not delete'!C43=0,"",'Income Data; Do not delete'!C43)</f>
        <v/>
      </c>
      <c r="D56" s="1403"/>
      <c r="E56" s="135"/>
      <c r="F56" s="1393" t="str">
        <f ca="1">IF('Income Data; Do not delete'!D43=0,"",'Income Data; Do not delete'!D43)</f>
        <v/>
      </c>
      <c r="G56" s="1393"/>
      <c r="H56" s="33"/>
      <c r="J56" s="1394">
        <f ca="1">'Income Data; Do not delete'!F43</f>
        <v>0</v>
      </c>
      <c r="K56" s="1394"/>
    </row>
    <row r="57" spans="2:13" ht="3" customHeight="1" x14ac:dyDescent="0.3">
      <c r="B57" s="86"/>
      <c r="C57" s="29"/>
      <c r="D57" s="29"/>
      <c r="E57" s="29"/>
      <c r="F57" s="29"/>
      <c r="G57" s="29"/>
      <c r="H57" s="33"/>
      <c r="J57" s="95"/>
      <c r="K57" s="95"/>
    </row>
    <row r="58" spans="2:13" ht="12.6" customHeight="1" x14ac:dyDescent="0.3">
      <c r="B58" s="84"/>
      <c r="C58" s="1403" t="str">
        <f ca="1">'Income Data; Do not delete'!C44</f>
        <v/>
      </c>
      <c r="D58" s="1403"/>
      <c r="E58" s="135"/>
      <c r="F58" s="1393" t="str">
        <f ca="1">'Income Data; Do not delete'!D44</f>
        <v/>
      </c>
      <c r="G58" s="1393"/>
      <c r="H58" s="33"/>
      <c r="J58" s="1394">
        <f ca="1">'Income Data; Do not delete'!F44</f>
        <v>0</v>
      </c>
      <c r="K58" s="1394"/>
    </row>
    <row r="59" spans="2:13" ht="3" customHeight="1" x14ac:dyDescent="0.3">
      <c r="B59" s="86"/>
      <c r="C59" s="29"/>
      <c r="D59" s="29"/>
      <c r="E59" s="29"/>
      <c r="F59" s="29"/>
      <c r="G59" s="29"/>
      <c r="H59" s="33"/>
      <c r="J59" s="95"/>
      <c r="K59" s="95"/>
    </row>
    <row r="60" spans="2:13" ht="12.6" customHeight="1" x14ac:dyDescent="0.3">
      <c r="B60" s="84"/>
      <c r="C60" s="1403" t="str">
        <f ca="1">IF('Income Data; Do not delete'!C45=0,"",'Income Data; Do not delete'!C45)</f>
        <v/>
      </c>
      <c r="D60" s="1403"/>
      <c r="E60" s="135"/>
      <c r="F60" s="1393" t="str">
        <f ca="1">IF('Income Data; Do not delete'!D45=0,"",'Income Data; Do not delete'!D45)</f>
        <v/>
      </c>
      <c r="G60" s="1393"/>
      <c r="H60" s="33"/>
      <c r="J60" s="1394">
        <f ca="1">'Income Data; Do not delete'!F45</f>
        <v>0</v>
      </c>
      <c r="K60" s="1394"/>
    </row>
    <row r="61" spans="2:13" ht="3" customHeight="1" x14ac:dyDescent="0.3">
      <c r="B61" s="86"/>
      <c r="C61" s="29"/>
      <c r="D61" s="29"/>
      <c r="E61" s="29"/>
      <c r="F61" s="29"/>
      <c r="G61" s="29"/>
      <c r="H61" s="33"/>
      <c r="J61" s="95"/>
      <c r="K61" s="95"/>
    </row>
    <row r="62" spans="2:13" ht="12.6" customHeight="1" x14ac:dyDescent="0.3">
      <c r="B62" s="84"/>
      <c r="C62" s="1403" t="str">
        <f ca="1">IF('Income Data; Do not delete'!C46=0,"",'Income Data; Do not delete'!C46)</f>
        <v/>
      </c>
      <c r="D62" s="1403"/>
      <c r="E62" s="135"/>
      <c r="F62" s="1393" t="str">
        <f ca="1">IF('Income Data; Do not delete'!D46=0,"",'Income Data; Do not delete'!D46)</f>
        <v/>
      </c>
      <c r="G62" s="1393"/>
      <c r="H62" s="33"/>
      <c r="J62" s="1394">
        <f ca="1">'Income Data; Do not delete'!F46</f>
        <v>0</v>
      </c>
      <c r="K62" s="1394"/>
    </row>
    <row r="63" spans="2:13" ht="3" customHeight="1" x14ac:dyDescent="0.3">
      <c r="B63" s="86"/>
      <c r="C63" s="29"/>
      <c r="D63" s="29"/>
      <c r="E63" s="29"/>
      <c r="F63" s="29"/>
      <c r="G63" s="29"/>
      <c r="H63" s="33"/>
      <c r="J63" s="95"/>
      <c r="K63" s="95"/>
    </row>
    <row r="64" spans="2:13" ht="12.6" customHeight="1" x14ac:dyDescent="0.3">
      <c r="B64" s="84"/>
      <c r="C64" s="1403" t="str">
        <f ca="1">IF('Income Data; Do not delete'!C47=0,"",'Income Data; Do not delete'!C47)</f>
        <v/>
      </c>
      <c r="D64" s="1403"/>
      <c r="E64" s="135"/>
      <c r="F64" s="1393" t="str">
        <f ca="1">IF('Income Data; Do not delete'!D47=0,"",'Income Data; Do not delete'!D47)</f>
        <v/>
      </c>
      <c r="G64" s="1393"/>
      <c r="H64" s="33"/>
      <c r="J64" s="1394">
        <f ca="1">'Income Data; Do not delete'!F47</f>
        <v>0</v>
      </c>
      <c r="K64" s="1394"/>
    </row>
    <row r="65" spans="2:11" ht="3" customHeight="1" x14ac:dyDescent="0.3">
      <c r="B65" s="86"/>
      <c r="C65" s="29"/>
      <c r="D65" s="29"/>
      <c r="E65" s="29"/>
      <c r="F65" s="29"/>
      <c r="G65" s="29"/>
      <c r="H65" s="33"/>
      <c r="J65" s="95"/>
      <c r="K65" s="95"/>
    </row>
    <row r="66" spans="2:11" ht="12.6" customHeight="1" x14ac:dyDescent="0.3">
      <c r="B66" s="84"/>
      <c r="C66" s="1403" t="str">
        <f ca="1">IF('Income Data; Do not delete'!C48=0,"",'Income Data; Do not delete'!C48)</f>
        <v/>
      </c>
      <c r="D66" s="1403"/>
      <c r="E66" s="135"/>
      <c r="F66" s="1393" t="str">
        <f ca="1">IF('Income Data; Do not delete'!D48=0,"",'Income Data; Do not delete'!D48)</f>
        <v/>
      </c>
      <c r="G66" s="1393"/>
      <c r="H66" s="33"/>
      <c r="J66" s="1394">
        <f ca="1">'Income Data; Do not delete'!F48</f>
        <v>0</v>
      </c>
      <c r="K66" s="1394"/>
    </row>
    <row r="67" spans="2:11" ht="3" customHeight="1" x14ac:dyDescent="0.3">
      <c r="B67" s="86"/>
      <c r="C67" s="29"/>
      <c r="D67" s="29"/>
      <c r="E67" s="29"/>
      <c r="F67" s="29"/>
      <c r="G67" s="29"/>
      <c r="H67" s="33"/>
      <c r="J67" s="95"/>
      <c r="K67" s="95"/>
    </row>
    <row r="68" spans="2:11" ht="12.6" customHeight="1" x14ac:dyDescent="0.3">
      <c r="B68" s="84"/>
      <c r="C68" s="1403" t="str">
        <f ca="1">IF('Income Data; Do not delete'!C49=0,"",'Income Data; Do not delete'!C49)</f>
        <v/>
      </c>
      <c r="D68" s="1403"/>
      <c r="E68" s="135"/>
      <c r="F68" s="1393" t="str">
        <f ca="1">IF('Income Data; Do not delete'!D49=0,"",'Income Data; Do not delete'!D49)</f>
        <v/>
      </c>
      <c r="G68" s="1393"/>
      <c r="H68" s="33"/>
      <c r="J68" s="1394">
        <f ca="1">'Income Data; Do not delete'!F49</f>
        <v>0</v>
      </c>
      <c r="K68" s="1394"/>
    </row>
    <row r="69" spans="2:11" ht="3" customHeight="1" x14ac:dyDescent="0.3">
      <c r="B69" s="86"/>
      <c r="C69" s="29"/>
      <c r="D69" s="29"/>
      <c r="E69" s="29"/>
      <c r="F69" s="29"/>
      <c r="G69" s="29"/>
      <c r="H69" s="33"/>
      <c r="J69" s="95"/>
      <c r="K69" s="95"/>
    </row>
    <row r="70" spans="2:11" ht="12.6" customHeight="1" x14ac:dyDescent="0.3">
      <c r="B70" s="84"/>
      <c r="C70" s="1403" t="str">
        <f ca="1">IF('Income Data; Do not delete'!C50=0,"",'Income Data; Do not delete'!C50)</f>
        <v/>
      </c>
      <c r="D70" s="1403"/>
      <c r="E70" s="135"/>
      <c r="F70" s="1393" t="str">
        <f ca="1">IF('Income Data; Do not delete'!D50=0,"",'Income Data; Do not delete'!D50)</f>
        <v/>
      </c>
      <c r="G70" s="1393"/>
      <c r="H70" s="33"/>
      <c r="J70" s="1394">
        <f ca="1">'Income Data; Do not delete'!F50</f>
        <v>0</v>
      </c>
      <c r="K70" s="1394"/>
    </row>
    <row r="71" spans="2:11" ht="3" customHeight="1" x14ac:dyDescent="0.3">
      <c r="B71" s="86"/>
      <c r="C71" s="29"/>
      <c r="D71" s="29"/>
      <c r="E71" s="29"/>
      <c r="F71" s="29"/>
      <c r="G71" s="29"/>
      <c r="H71" s="33"/>
      <c r="J71" s="95"/>
      <c r="K71" s="95"/>
    </row>
    <row r="72" spans="2:11" ht="12.6" customHeight="1" x14ac:dyDescent="0.3">
      <c r="B72" s="84"/>
      <c r="C72" s="1403" t="str">
        <f ca="1">IF('Income Data; Do not delete'!C51=0,"",'Income Data; Do not delete'!C51)</f>
        <v/>
      </c>
      <c r="D72" s="1403"/>
      <c r="E72" s="135"/>
      <c r="F72" s="1393" t="str">
        <f ca="1">IF('Income Data; Do not delete'!D51=0,"",'Income Data; Do not delete'!D51)</f>
        <v/>
      </c>
      <c r="G72" s="1393"/>
      <c r="H72" s="33"/>
      <c r="J72" s="1394">
        <f ca="1">'Income Data; Do not delete'!F51</f>
        <v>0</v>
      </c>
      <c r="K72" s="1394"/>
    </row>
    <row r="73" spans="2:11" ht="3" customHeight="1" x14ac:dyDescent="0.3">
      <c r="B73" s="86"/>
      <c r="C73" s="29"/>
      <c r="D73" s="29"/>
      <c r="E73" s="29"/>
      <c r="F73" s="29"/>
      <c r="G73" s="29"/>
      <c r="H73" s="33"/>
      <c r="J73" s="95"/>
      <c r="K73" s="95"/>
    </row>
    <row r="74" spans="2:11" ht="12.6" customHeight="1" x14ac:dyDescent="0.3">
      <c r="B74" s="84"/>
      <c r="C74" s="1403" t="str">
        <f ca="1">IF('Income Data; Do not delete'!C52=0,"",'Income Data; Do not delete'!C52)</f>
        <v/>
      </c>
      <c r="D74" s="1403"/>
      <c r="E74" s="135"/>
      <c r="F74" s="1393" t="str">
        <f ca="1">IF('Income Data; Do not delete'!D52=0,"",'Income Data; Do not delete'!D52)</f>
        <v/>
      </c>
      <c r="G74" s="1393"/>
      <c r="H74" s="33"/>
      <c r="J74" s="1394">
        <f ca="1">'Income Data; Do not delete'!F52</f>
        <v>0</v>
      </c>
      <c r="K74" s="1394"/>
    </row>
    <row r="75" spans="2:11" ht="3" customHeight="1" x14ac:dyDescent="0.3">
      <c r="B75" s="86"/>
      <c r="C75" s="29"/>
      <c r="D75" s="29"/>
      <c r="E75" s="29"/>
      <c r="F75" s="29"/>
      <c r="G75" s="29"/>
      <c r="H75" s="33"/>
      <c r="J75" s="95"/>
      <c r="K75" s="95"/>
    </row>
    <row r="76" spans="2:11" ht="12.6" customHeight="1" x14ac:dyDescent="0.3">
      <c r="B76" s="84"/>
      <c r="C76" s="1403" t="str">
        <f ca="1">IF('Income Data; Do not delete'!C53=0,"",'Income Data; Do not delete'!C53)</f>
        <v/>
      </c>
      <c r="D76" s="1403"/>
      <c r="E76" s="135"/>
      <c r="F76" s="1393" t="str">
        <f ca="1">IF('Income Data; Do not delete'!D53=0,"",'Income Data; Do not delete'!D53)</f>
        <v/>
      </c>
      <c r="G76" s="1393"/>
      <c r="H76" s="33"/>
      <c r="J76" s="1394">
        <f ca="1">'Income Data; Do not delete'!F53</f>
        <v>0</v>
      </c>
      <c r="K76" s="1394"/>
    </row>
    <row r="77" spans="2:11" ht="3" customHeight="1" x14ac:dyDescent="0.3">
      <c r="B77" s="86"/>
      <c r="C77" s="29"/>
      <c r="D77" s="29"/>
      <c r="E77" s="29"/>
      <c r="F77" s="29"/>
      <c r="G77" s="29"/>
      <c r="H77" s="33"/>
      <c r="J77" s="95"/>
      <c r="K77" s="95"/>
    </row>
    <row r="78" spans="2:11" ht="12.6" customHeight="1" x14ac:dyDescent="0.3">
      <c r="B78" s="84"/>
      <c r="C78" s="1403" t="str">
        <f ca="1">IF('Income Data; Do not delete'!C54=0,"",'Income Data; Do not delete'!C54)</f>
        <v/>
      </c>
      <c r="D78" s="1403"/>
      <c r="E78" s="135"/>
      <c r="F78" s="1393" t="str">
        <f ca="1">IF('Income Data; Do not delete'!D54=0,"",'Income Data; Do not delete'!D54)</f>
        <v/>
      </c>
      <c r="G78" s="1393"/>
      <c r="H78" s="33"/>
      <c r="J78" s="1394">
        <f ca="1">'Income Data; Do not delete'!F54</f>
        <v>0</v>
      </c>
      <c r="K78" s="1394"/>
    </row>
    <row r="79" spans="2:11" ht="3" customHeight="1" x14ac:dyDescent="0.3">
      <c r="B79" s="86"/>
      <c r="C79" s="29"/>
      <c r="D79" s="29"/>
      <c r="E79" s="29"/>
      <c r="F79" s="29"/>
      <c r="G79" s="29"/>
      <c r="H79" s="33"/>
      <c r="J79" s="95"/>
      <c r="K79" s="95"/>
    </row>
    <row r="80" spans="2:11" ht="12.6" customHeight="1" x14ac:dyDescent="0.3">
      <c r="B80" s="84"/>
      <c r="C80" s="1403" t="str">
        <f ca="1">IF('Income Data; Do not delete'!C55=0,"",'Income Data; Do not delete'!C55)</f>
        <v/>
      </c>
      <c r="D80" s="1403"/>
      <c r="E80" s="135"/>
      <c r="F80" s="1393" t="str">
        <f ca="1">IF('Income Data; Do not delete'!D55=0,"",'Income Data; Do not delete'!D55)</f>
        <v/>
      </c>
      <c r="G80" s="1393"/>
      <c r="H80" s="33"/>
      <c r="J80" s="1394">
        <f ca="1">'Income Data; Do not delete'!F55</f>
        <v>0</v>
      </c>
      <c r="K80" s="1394"/>
    </row>
    <row r="81" spans="2:13" ht="3" customHeight="1" x14ac:dyDescent="0.3">
      <c r="B81" s="86"/>
      <c r="C81" s="29"/>
      <c r="D81" s="29"/>
      <c r="E81" s="29"/>
      <c r="F81" s="29"/>
      <c r="G81" s="29"/>
      <c r="H81" s="33"/>
      <c r="J81" s="95"/>
      <c r="K81" s="95"/>
    </row>
    <row r="82" spans="2:13" ht="12.6" customHeight="1" x14ac:dyDescent="0.3">
      <c r="B82" s="84"/>
      <c r="C82" s="1403" t="str">
        <f ca="1">IF('Income Data; Do not delete'!C56=0,"",'Income Data; Do not delete'!C56)</f>
        <v/>
      </c>
      <c r="D82" s="1403"/>
      <c r="E82" s="135"/>
      <c r="F82" s="1393" t="str">
        <f ca="1">IF('Income Data; Do not delete'!D56=0,"",'Income Data; Do not delete'!D56)</f>
        <v/>
      </c>
      <c r="G82" s="1393"/>
      <c r="H82" s="33"/>
      <c r="J82" s="1394">
        <f ca="1">'Income Data; Do not delete'!F56</f>
        <v>0</v>
      </c>
      <c r="K82" s="1394"/>
    </row>
    <row r="83" spans="2:13" ht="3" customHeight="1" x14ac:dyDescent="0.3">
      <c r="B83" s="86"/>
      <c r="C83" s="29"/>
      <c r="D83" s="29"/>
      <c r="E83" s="29"/>
      <c r="F83" s="29"/>
      <c r="G83" s="29"/>
      <c r="H83" s="33"/>
      <c r="J83" s="95"/>
      <c r="K83" s="95"/>
    </row>
    <row r="84" spans="2:13" ht="12.6" customHeight="1" x14ac:dyDescent="0.3">
      <c r="B84" s="84"/>
      <c r="C84" s="1403" t="str">
        <f ca="1">IF('Income Data; Do not delete'!C57=0,"",'Income Data; Do not delete'!C57)</f>
        <v/>
      </c>
      <c r="D84" s="1403"/>
      <c r="E84" s="135"/>
      <c r="F84" s="1393" t="str">
        <f ca="1">IF('Income Data; Do not delete'!D57=0,"",'Income Data; Do not delete'!D57)</f>
        <v/>
      </c>
      <c r="G84" s="1393"/>
      <c r="H84" s="33"/>
      <c r="J84" s="1394">
        <f ca="1">'Income Data; Do not delete'!F57</f>
        <v>0</v>
      </c>
      <c r="K84" s="1394"/>
    </row>
    <row r="85" spans="2:13" ht="3" customHeight="1" x14ac:dyDescent="0.3">
      <c r="B85" s="86"/>
      <c r="C85" s="29"/>
      <c r="D85" s="29"/>
      <c r="E85" s="29"/>
      <c r="F85" s="29"/>
      <c r="G85" s="29"/>
      <c r="H85" s="33"/>
      <c r="J85" s="95"/>
      <c r="K85" s="95"/>
    </row>
    <row r="86" spans="2:13" ht="12.6" customHeight="1" x14ac:dyDescent="0.3">
      <c r="B86" s="84"/>
      <c r="C86" s="1403" t="str">
        <f ca="1">IF('Income Data; Do not delete'!C58=0,"",'Income Data; Do not delete'!C58)</f>
        <v/>
      </c>
      <c r="D86" s="1403"/>
      <c r="E86" s="135"/>
      <c r="F86" s="1393" t="str">
        <f ca="1">IF('Income Data; Do not delete'!D58=0,"",'Income Data; Do not delete'!D58)</f>
        <v/>
      </c>
      <c r="G86" s="1393"/>
      <c r="H86" s="33"/>
      <c r="J86" s="1394">
        <f ca="1">'Income Data; Do not delete'!F58</f>
        <v>0</v>
      </c>
      <c r="K86" s="1394"/>
    </row>
    <row r="87" spans="2:13" ht="3" customHeight="1" x14ac:dyDescent="0.3">
      <c r="B87" s="86"/>
      <c r="C87" s="29"/>
      <c r="D87" s="29"/>
      <c r="E87" s="29"/>
      <c r="F87" s="29"/>
      <c r="G87" s="29"/>
      <c r="H87" s="33"/>
      <c r="J87" s="95"/>
      <c r="K87" s="95"/>
    </row>
    <row r="88" spans="2:13" ht="12" customHeight="1" x14ac:dyDescent="0.3">
      <c r="B88" s="84"/>
      <c r="C88" s="1403" t="str">
        <f ca="1">IF('Income Data; Do not delete'!C59=0,"",'Income Data; Do not delete'!C59)</f>
        <v/>
      </c>
      <c r="D88" s="1403"/>
      <c r="E88" s="135"/>
      <c r="F88" s="1393" t="str">
        <f ca="1">IF('Income Data; Do not delete'!F59=0,"",'Income Data; Do not delete'!C59)</f>
        <v/>
      </c>
      <c r="G88" s="1393"/>
      <c r="H88" s="33"/>
      <c r="J88" s="1394">
        <f ca="1">'Income Data; Do not delete'!F59</f>
        <v>0</v>
      </c>
      <c r="K88" s="1394"/>
    </row>
    <row r="89" spans="2:13" ht="3" customHeight="1" x14ac:dyDescent="0.3">
      <c r="B89" s="84"/>
      <c r="C89" s="1402"/>
      <c r="D89" s="1402"/>
      <c r="E89" s="1402"/>
      <c r="F89" s="1402"/>
      <c r="G89" s="85"/>
      <c r="H89" s="33"/>
      <c r="J89" s="93"/>
      <c r="K89" s="93"/>
      <c r="L89" s="76"/>
      <c r="M89" s="76"/>
    </row>
    <row r="90" spans="2:13" ht="12.6" customHeight="1" x14ac:dyDescent="0.3">
      <c r="B90" s="84"/>
      <c r="C90" s="1403" t="str">
        <f ca="1">IF('Income Data; Do not delete'!C60=0,"",'Income Data; Do not delete'!C60)</f>
        <v/>
      </c>
      <c r="D90" s="1403"/>
      <c r="E90" s="85"/>
      <c r="F90" s="1393" t="str">
        <f ca="1">IF('Income Data; Do not delete'!F60=0,"",'Income Data; Do not delete'!C60)</f>
        <v/>
      </c>
      <c r="G90" s="1393"/>
      <c r="H90" s="33"/>
      <c r="J90" s="1394">
        <f ca="1">'Income Data; Do not delete'!F60</f>
        <v>0</v>
      </c>
      <c r="K90" s="1394"/>
      <c r="L90" s="76"/>
      <c r="M90" s="76"/>
    </row>
    <row r="91" spans="2:13" ht="3" customHeight="1" x14ac:dyDescent="0.3">
      <c r="B91" s="84"/>
      <c r="C91" s="85"/>
      <c r="D91" s="85"/>
      <c r="E91" s="85"/>
      <c r="F91" s="85"/>
      <c r="G91" s="85"/>
      <c r="H91" s="33"/>
      <c r="J91" s="93"/>
      <c r="K91" s="93"/>
      <c r="L91" s="76"/>
      <c r="M91" s="76"/>
    </row>
    <row r="92" spans="2:13" ht="12.6" customHeight="1" x14ac:dyDescent="0.3">
      <c r="B92" s="84"/>
      <c r="C92" s="1403" t="str">
        <f ca="1">IF('Income Data; Do not delete'!F63=0,"",'Income Data; Do not delete'!B63)</f>
        <v/>
      </c>
      <c r="D92" s="1403"/>
      <c r="E92" s="85"/>
      <c r="F92" s="1393" t="str">
        <f ca="1">IF('Income Data; Do not delete'!F63=0,"",'Income Data; Do not delete'!C63)</f>
        <v/>
      </c>
      <c r="G92" s="1393"/>
      <c r="H92" s="33"/>
      <c r="J92" s="1394">
        <f ca="1">'Income Data; Do not delete'!F63</f>
        <v>0</v>
      </c>
      <c r="K92" s="1394"/>
      <c r="L92" s="76"/>
      <c r="M92" s="76"/>
    </row>
    <row r="93" spans="2:13" ht="3" customHeight="1" x14ac:dyDescent="0.3">
      <c r="B93" s="86"/>
      <c r="C93" s="29"/>
      <c r="D93" s="29"/>
      <c r="E93" s="29"/>
      <c r="F93" s="29"/>
      <c r="G93" s="29"/>
      <c r="H93" s="33"/>
      <c r="J93" s="95"/>
      <c r="K93" s="95"/>
    </row>
    <row r="94" spans="2:13" ht="11.4" customHeight="1" x14ac:dyDescent="0.3">
      <c r="B94" s="84"/>
      <c r="C94" s="1395"/>
      <c r="D94" s="1395"/>
      <c r="E94" s="135"/>
      <c r="F94" s="1396"/>
      <c r="G94" s="1396"/>
      <c r="H94" s="33"/>
      <c r="J94" s="1397"/>
      <c r="K94" s="1397"/>
    </row>
    <row r="95" spans="2:13" ht="3" customHeight="1" x14ac:dyDescent="0.3">
      <c r="B95" s="86"/>
      <c r="C95" s="29"/>
      <c r="D95" s="29"/>
      <c r="E95" s="29"/>
      <c r="F95" s="29"/>
      <c r="G95" s="29"/>
      <c r="H95" s="33"/>
      <c r="J95" s="95"/>
      <c r="K95" s="95"/>
    </row>
    <row r="96" spans="2:13" ht="11.4" customHeight="1" x14ac:dyDescent="0.3">
      <c r="B96" s="84"/>
      <c r="C96" s="1395"/>
      <c r="D96" s="1395"/>
      <c r="E96" s="135"/>
      <c r="F96" s="1396"/>
      <c r="G96" s="1396"/>
      <c r="H96" s="33"/>
      <c r="J96" s="1397"/>
      <c r="K96" s="1397"/>
    </row>
    <row r="97" spans="1:13" ht="3" customHeight="1" x14ac:dyDescent="0.3">
      <c r="B97" s="86"/>
      <c r="C97" s="29"/>
      <c r="D97" s="29"/>
      <c r="E97" s="29"/>
      <c r="F97" s="29"/>
      <c r="G97" s="29"/>
      <c r="H97" s="33"/>
      <c r="J97" s="82"/>
      <c r="K97" s="82"/>
    </row>
    <row r="98" spans="1:13" ht="21" customHeight="1" thickBot="1" x14ac:dyDescent="0.35">
      <c r="B98" s="86"/>
      <c r="C98" s="1292" t="s">
        <v>127</v>
      </c>
      <c r="D98" s="1292"/>
      <c r="E98" s="1292"/>
      <c r="F98" s="1292"/>
      <c r="G98" s="226"/>
      <c r="H98" s="227">
        <f ca="1">J98</f>
        <v>0</v>
      </c>
      <c r="I98" s="74"/>
      <c r="J98" s="1406">
        <f ca="1">J46+J48+J50+J52+J54+J56+J58+J60+J62+J64+J66+J68+J70+J72+J74+J76+J78+J80+J82+J84+J86+J88+J90+J92+J94+J96</f>
        <v>0</v>
      </c>
      <c r="K98" s="1406"/>
    </row>
    <row r="99" spans="1:13" ht="29.4" customHeight="1" thickTop="1" x14ac:dyDescent="0.3">
      <c r="B99" s="86"/>
      <c r="C99" s="29"/>
      <c r="D99" s="29"/>
      <c r="E99" s="29"/>
      <c r="F99" s="29"/>
      <c r="G99" s="29"/>
      <c r="H99" s="88"/>
      <c r="J99" s="82"/>
      <c r="K99" s="82"/>
    </row>
    <row r="100" spans="1:13" ht="15" customHeight="1" x14ac:dyDescent="0.3">
      <c r="B100" s="1398" t="s">
        <v>1021</v>
      </c>
      <c r="C100" s="1398"/>
      <c r="D100" s="1398"/>
      <c r="E100" s="1398"/>
      <c r="F100" s="1398"/>
      <c r="G100" s="1398"/>
      <c r="H100" s="29"/>
    </row>
    <row r="101" spans="1:13" ht="3" customHeight="1" x14ac:dyDescent="0.3">
      <c r="B101" s="29"/>
      <c r="C101" s="29"/>
      <c r="D101" s="29"/>
      <c r="E101" s="29"/>
      <c r="F101" s="29"/>
      <c r="G101" s="29"/>
      <c r="H101" s="29"/>
    </row>
    <row r="102" spans="1:13" ht="12" customHeight="1" x14ac:dyDescent="0.3">
      <c r="B102" s="84"/>
      <c r="C102" s="1393" t="s">
        <v>410</v>
      </c>
      <c r="D102" s="1393"/>
      <c r="E102" s="1393"/>
      <c r="F102" s="1393"/>
      <c r="G102" s="1393"/>
      <c r="H102" s="33"/>
      <c r="J102" s="1399">
        <f ca="1">IF('I&amp;D Worksheet'!J8="VA",'Income Data; Do not delete'!E89,'Income Data; Do not delete'!F109)</f>
        <v>0</v>
      </c>
      <c r="K102" s="1399"/>
      <c r="L102" s="76"/>
      <c r="M102" s="76"/>
    </row>
    <row r="103" spans="1:13" ht="3" customHeight="1" x14ac:dyDescent="0.3">
      <c r="B103" s="84"/>
      <c r="C103" s="1402"/>
      <c r="D103" s="1402"/>
      <c r="E103" s="1402"/>
      <c r="F103" s="1402"/>
      <c r="G103" s="85"/>
      <c r="H103" s="33"/>
      <c r="J103" s="93"/>
      <c r="K103" s="93"/>
      <c r="L103" s="76"/>
      <c r="M103" s="76"/>
    </row>
    <row r="104" spans="1:13" ht="11.4" customHeight="1" x14ac:dyDescent="0.3">
      <c r="B104" s="84"/>
      <c r="C104" s="1395"/>
      <c r="D104" s="1395"/>
      <c r="E104" s="1395"/>
      <c r="F104" s="1395"/>
      <c r="G104" s="1395"/>
      <c r="H104" s="33"/>
      <c r="J104" s="1397"/>
      <c r="K104" s="1397"/>
      <c r="L104" s="76"/>
      <c r="M104" s="76"/>
    </row>
    <row r="105" spans="1:13" ht="3" customHeight="1" x14ac:dyDescent="0.3">
      <c r="B105" s="84"/>
      <c r="C105" s="85"/>
      <c r="D105" s="85"/>
      <c r="E105" s="85"/>
      <c r="F105" s="85"/>
      <c r="G105" s="85"/>
      <c r="H105" s="33"/>
      <c r="J105" s="93"/>
      <c r="K105" s="93"/>
      <c r="L105" s="76"/>
      <c r="M105" s="76"/>
    </row>
    <row r="106" spans="1:13" ht="11.4" customHeight="1" x14ac:dyDescent="0.3">
      <c r="B106" s="84"/>
      <c r="C106" s="1395"/>
      <c r="D106" s="1395"/>
      <c r="E106" s="1395"/>
      <c r="F106" s="1395"/>
      <c r="G106" s="1395"/>
      <c r="H106" s="29"/>
      <c r="I106" s="3"/>
      <c r="J106" s="1397"/>
      <c r="K106" s="1397"/>
      <c r="L106" s="3"/>
      <c r="M106" s="76"/>
    </row>
    <row r="107" spans="1:13" ht="3.75" customHeight="1" x14ac:dyDescent="0.3">
      <c r="B107" s="84"/>
      <c r="C107" s="1392"/>
      <c r="D107" s="1392"/>
      <c r="E107" s="1392"/>
      <c r="F107" s="1392"/>
      <c r="G107" s="1392"/>
      <c r="H107" s="33"/>
      <c r="J107" s="94"/>
      <c r="K107" s="94"/>
      <c r="L107" s="76"/>
      <c r="M107" s="76"/>
    </row>
    <row r="108" spans="1:13" ht="25.2" customHeight="1" thickBot="1" x14ac:dyDescent="0.35">
      <c r="B108"/>
      <c r="C108" s="1414" t="s">
        <v>1448</v>
      </c>
      <c r="D108" s="1415"/>
      <c r="E108" s="1415"/>
      <c r="F108" s="1415"/>
      <c r="G108" s="1415"/>
      <c r="H108" s="89">
        <f ca="1">J108</f>
        <v>0</v>
      </c>
      <c r="J108" s="1406">
        <f ca="1">J102+J104+J106</f>
        <v>0</v>
      </c>
      <c r="K108" s="1406"/>
      <c r="M108" s="36">
        <f ca="1">IF((J108*-1)&gt;J110,J110+J108,0)</f>
        <v>0</v>
      </c>
    </row>
    <row r="109" spans="1:13" ht="9" customHeight="1" thickTop="1" thickBot="1" x14ac:dyDescent="0.35">
      <c r="B109" s="86"/>
      <c r="C109" s="1416"/>
      <c r="D109" s="1416"/>
      <c r="E109" s="1416"/>
      <c r="F109" s="1416"/>
      <c r="G109" s="1416"/>
      <c r="H109" s="1416"/>
      <c r="J109" s="1200"/>
      <c r="K109" s="1200"/>
    </row>
    <row r="110" spans="1:13" ht="19.8" customHeight="1" thickTop="1" thickBot="1" x14ac:dyDescent="0.35">
      <c r="B110" s="1404" t="s">
        <v>584</v>
      </c>
      <c r="C110" s="1404"/>
      <c r="D110" s="1404"/>
      <c r="E110" s="1404"/>
      <c r="F110" s="1404"/>
      <c r="G110" s="1404"/>
      <c r="H110" s="222"/>
      <c r="J110" s="1405">
        <f ca="1">'Income Data; Do not delete'!F221</f>
        <v>0</v>
      </c>
      <c r="K110" s="1405"/>
      <c r="M110" s="36">
        <f ca="1">IF(AND(J110&gt;0,J108&lt;0,(J108*-1&lt;J110)),J110+J108,
IF(AND(J110&gt;0,J108&lt;0,(J108*-1&gt;=J110)),0,J110))</f>
        <v>0</v>
      </c>
    </row>
    <row r="111" spans="1:13" ht="21" customHeight="1" thickTop="1" thickBot="1" x14ac:dyDescent="0.35">
      <c r="B111" s="1404" t="s">
        <v>196</v>
      </c>
      <c r="C111" s="1404"/>
      <c r="D111" s="1404"/>
      <c r="E111" s="1404"/>
      <c r="F111" s="1404"/>
      <c r="G111" s="1404"/>
      <c r="H111" s="222"/>
      <c r="I111" s="74"/>
      <c r="J111" s="1405">
        <f>'I&amp;D Worksheet'!F13</f>
        <v>0</v>
      </c>
      <c r="K111" s="1405"/>
    </row>
    <row r="112" spans="1:13" ht="23.4" customHeight="1" thickTop="1" x14ac:dyDescent="0.3">
      <c r="A112" s="1228" t="s">
        <v>302</v>
      </c>
      <c r="B112" s="1228"/>
      <c r="C112" s="1228"/>
      <c r="D112" s="1228"/>
      <c r="E112" s="1228"/>
      <c r="F112" s="1228"/>
      <c r="G112" s="1228"/>
      <c r="H112" s="1228"/>
      <c r="I112" s="1228"/>
      <c r="J112" s="1228"/>
      <c r="K112" s="1228"/>
      <c r="L112" s="1228"/>
      <c r="M112" s="1228"/>
    </row>
    <row r="113" spans="1:13" ht="44.4" customHeight="1" x14ac:dyDescent="0.3">
      <c r="A113" s="1228" t="s">
        <v>303</v>
      </c>
      <c r="B113" s="1228"/>
      <c r="C113" s="1228"/>
      <c r="D113" s="1228"/>
      <c r="E113" s="1228"/>
      <c r="F113" s="1228"/>
      <c r="G113" s="1228"/>
      <c r="H113" s="1228"/>
      <c r="I113" s="1228"/>
      <c r="J113" s="1228"/>
      <c r="K113" s="1228"/>
      <c r="L113" s="1228"/>
      <c r="M113" s="1228"/>
    </row>
    <row r="114" spans="1:13" ht="14.25" customHeight="1" x14ac:dyDescent="0.3">
      <c r="B114" s="1398" t="s">
        <v>124</v>
      </c>
      <c r="C114" s="1398"/>
      <c r="D114" s="1398"/>
      <c r="E114" s="1398"/>
      <c r="F114" s="1398"/>
      <c r="G114" s="1398"/>
    </row>
    <row r="115" spans="1:13" x14ac:dyDescent="0.3">
      <c r="A115" s="73"/>
      <c r="B115" s="86"/>
      <c r="C115" s="1392" t="s">
        <v>1356</v>
      </c>
      <c r="D115" s="1392"/>
      <c r="E115" s="1392"/>
      <c r="F115" s="1392"/>
      <c r="G115" s="33"/>
      <c r="H115" s="33"/>
      <c r="J115" s="79"/>
      <c r="K115" s="82"/>
      <c r="L115" s="83"/>
    </row>
    <row r="116" spans="1:13" ht="12.6" customHeight="1" x14ac:dyDescent="0.3">
      <c r="B116" s="84"/>
      <c r="C116" s="1401" t="str">
        <f ca="1">'Income Data; Do not delete'!C166</f>
        <v/>
      </c>
      <c r="D116" s="1401"/>
      <c r="E116" s="135"/>
      <c r="F116" s="1400" t="str">
        <f ca="1">'Income Data; Do not delete'!D166</f>
        <v/>
      </c>
      <c r="G116" s="1400"/>
      <c r="H116" s="33"/>
      <c r="J116" s="1391">
        <f ca="1">'Income Data; Do not delete'!F166</f>
        <v>0</v>
      </c>
      <c r="K116" s="1391"/>
      <c r="L116" s="76"/>
      <c r="M116" s="81"/>
    </row>
    <row r="117" spans="1:13" ht="3" customHeight="1" x14ac:dyDescent="0.3">
      <c r="B117" s="86"/>
      <c r="C117" s="29"/>
      <c r="D117" s="29"/>
      <c r="E117" s="29"/>
      <c r="F117" s="29"/>
      <c r="G117" s="29"/>
      <c r="H117" s="33"/>
      <c r="J117" s="93"/>
      <c r="K117" s="93"/>
      <c r="L117" s="76"/>
      <c r="M117" s="47" t="b">
        <v>1</v>
      </c>
    </row>
    <row r="118" spans="1:13" ht="12.6" customHeight="1" x14ac:dyDescent="0.3">
      <c r="B118" s="84"/>
      <c r="C118" s="1393" t="str">
        <f ca="1">IF('Income Data; Do not delete'!C167=0,"",'Income Data; Do not delete'!C167)</f>
        <v/>
      </c>
      <c r="D118" s="1393"/>
      <c r="E118" s="135"/>
      <c r="F118" s="1393" t="str">
        <f ca="1">IF('Income Data; Do not delete'!D167=0,"",'Income Data; Do not delete'!D167)</f>
        <v/>
      </c>
      <c r="G118" s="1393"/>
      <c r="H118" s="29"/>
      <c r="J118" s="1394">
        <f ca="1">'Income Data; Do not delete'!F167</f>
        <v>0</v>
      </c>
      <c r="K118" s="1394"/>
      <c r="L118" s="76"/>
      <c r="M118" s="76"/>
    </row>
    <row r="119" spans="1:13" ht="3" customHeight="1" x14ac:dyDescent="0.3">
      <c r="B119" s="84"/>
      <c r="C119" s="1392"/>
      <c r="D119" s="1392"/>
      <c r="E119" s="1392"/>
      <c r="F119" s="1392"/>
      <c r="G119" s="1392"/>
      <c r="H119" s="33"/>
      <c r="J119" s="94"/>
      <c r="K119" s="94"/>
      <c r="L119" s="76"/>
      <c r="M119" s="76"/>
    </row>
    <row r="120" spans="1:13" ht="12.6" customHeight="1" x14ac:dyDescent="0.3">
      <c r="B120" s="84"/>
      <c r="C120" s="1393" t="str">
        <f ca="1">IF('Income Data; Do not delete'!C168=0,"",'Income Data; Do not delete'!C168)</f>
        <v/>
      </c>
      <c r="D120" s="1393"/>
      <c r="E120" s="135"/>
      <c r="F120" s="1393" t="str">
        <f ca="1">IF('Income Data; Do not delete'!D168=0,"",'Income Data; Do not delete'!D168)</f>
        <v/>
      </c>
      <c r="G120" s="1393"/>
      <c r="H120" s="29"/>
      <c r="J120" s="1394">
        <f ca="1">'Income Data; Do not delete'!F168</f>
        <v>0</v>
      </c>
      <c r="K120" s="1394"/>
      <c r="L120" s="76"/>
      <c r="M120" s="76"/>
    </row>
    <row r="121" spans="1:13" ht="3" customHeight="1" x14ac:dyDescent="0.3">
      <c r="B121" s="84"/>
      <c r="C121" s="1392"/>
      <c r="D121" s="1392"/>
      <c r="E121" s="1392"/>
      <c r="F121" s="1392"/>
      <c r="G121" s="1392"/>
      <c r="H121" s="33"/>
      <c r="J121" s="94"/>
      <c r="K121" s="94"/>
      <c r="L121" s="76"/>
      <c r="M121" s="76"/>
    </row>
    <row r="122" spans="1:13" ht="12.6" customHeight="1" x14ac:dyDescent="0.3">
      <c r="B122" s="84"/>
      <c r="C122" s="1393" t="str">
        <f ca="1">IF('Income Data; Do not delete'!C169=0,"",'Income Data; Do not delete'!C169)</f>
        <v/>
      </c>
      <c r="D122" s="1393"/>
      <c r="E122" s="135"/>
      <c r="F122" s="1393" t="str">
        <f ca="1">IF('Income Data; Do not delete'!D169=0,"",'Income Data; Do not delete'!D169)</f>
        <v/>
      </c>
      <c r="G122" s="1393"/>
      <c r="H122" s="33"/>
      <c r="J122" s="1394">
        <f ca="1">'Income Data; Do not delete'!F169</f>
        <v>0</v>
      </c>
      <c r="K122" s="1394"/>
      <c r="L122" s="76"/>
    </row>
    <row r="123" spans="1:13" ht="3" customHeight="1" x14ac:dyDescent="0.3">
      <c r="B123" s="86"/>
      <c r="C123" s="1392"/>
      <c r="D123" s="1392"/>
      <c r="E123" s="1392"/>
      <c r="F123" s="1392"/>
      <c r="G123" s="29"/>
      <c r="H123" s="33"/>
      <c r="J123" s="93"/>
      <c r="K123" s="93"/>
      <c r="L123" s="76"/>
      <c r="M123" s="47" t="b">
        <v>1</v>
      </c>
    </row>
    <row r="124" spans="1:13" ht="12.6" customHeight="1" x14ac:dyDescent="0.3">
      <c r="B124" s="84"/>
      <c r="C124" s="1403" t="str">
        <f>IF('Income Data; Do not delete'!C170=0,"",'Income Data; Do not delete'!C170)</f>
        <v/>
      </c>
      <c r="D124" s="1403"/>
      <c r="E124" s="135"/>
      <c r="F124" s="1393" t="str">
        <f>IF('Income Data; Do not delete'!D170=0,"",'Income Data; Do not delete'!D170)</f>
        <v/>
      </c>
      <c r="G124" s="1393"/>
      <c r="H124" s="33"/>
      <c r="J124" s="1394">
        <f ca="1">'Income Data; Do not delete'!F170</f>
        <v>0</v>
      </c>
      <c r="K124" s="1394"/>
      <c r="L124" s="76"/>
      <c r="M124" s="47"/>
    </row>
    <row r="125" spans="1:13" ht="3" customHeight="1" x14ac:dyDescent="0.3">
      <c r="B125" s="84"/>
      <c r="C125" s="1402"/>
      <c r="D125" s="1402"/>
      <c r="E125" s="1402"/>
      <c r="F125" s="1402"/>
      <c r="G125" s="85"/>
      <c r="H125" s="33"/>
      <c r="J125" s="93"/>
      <c r="K125" s="93"/>
      <c r="L125" s="76"/>
      <c r="M125" s="76"/>
    </row>
    <row r="126" spans="1:13" ht="12.6" customHeight="1" x14ac:dyDescent="0.3">
      <c r="B126" s="84"/>
      <c r="C126" s="1393" t="str">
        <f ca="1">IF('Income Data; Do not delete'!C171=0,"",'Income Data; Do not delete'!C171)</f>
        <v/>
      </c>
      <c r="D126" s="1393"/>
      <c r="E126" s="135"/>
      <c r="F126" s="1393" t="str">
        <f ca="1">IF('Income Data; Do not delete'!D171=0,"",'Income Data; Do not delete'!D171)</f>
        <v/>
      </c>
      <c r="G126" s="1393"/>
      <c r="H126" s="29"/>
      <c r="J126" s="1394">
        <f ca="1">'Income Data; Do not delete'!F171</f>
        <v>0</v>
      </c>
      <c r="K126" s="1394"/>
      <c r="L126" s="76"/>
      <c r="M126" s="76"/>
    </row>
    <row r="127" spans="1:13" ht="3" customHeight="1" x14ac:dyDescent="0.3">
      <c r="B127" s="84"/>
      <c r="C127" s="1392"/>
      <c r="D127" s="1392"/>
      <c r="E127" s="1392"/>
      <c r="F127" s="1392"/>
      <c r="G127" s="1392"/>
      <c r="H127" s="33"/>
      <c r="J127" s="94"/>
      <c r="K127" s="94"/>
      <c r="L127" s="76"/>
      <c r="M127" s="76"/>
    </row>
    <row r="128" spans="1:13" ht="12.6" customHeight="1" x14ac:dyDescent="0.3">
      <c r="B128" s="84"/>
      <c r="C128" s="1393" t="str">
        <f ca="1">IF('Income Data; Do not delete'!C172=0,"",'Income Data; Do not delete'!C172)</f>
        <v/>
      </c>
      <c r="D128" s="1393"/>
      <c r="E128" s="135"/>
      <c r="F128" s="1393" t="str">
        <f ca="1">IF('Income Data; Do not delete'!D172=0,"",'Income Data; Do not delete'!D172)</f>
        <v/>
      </c>
      <c r="G128" s="1393"/>
      <c r="H128" s="29"/>
      <c r="J128" s="1394">
        <f ca="1">'Income Data; Do not delete'!F172</f>
        <v>0</v>
      </c>
      <c r="K128" s="1394"/>
      <c r="L128" s="76"/>
      <c r="M128" s="76"/>
    </row>
    <row r="129" spans="1:13" ht="3" customHeight="1" x14ac:dyDescent="0.3">
      <c r="B129" s="84"/>
      <c r="C129" s="1392"/>
      <c r="D129" s="1392"/>
      <c r="E129" s="1392"/>
      <c r="F129" s="1392"/>
      <c r="G129" s="1392"/>
      <c r="H129" s="33"/>
      <c r="J129" s="94"/>
      <c r="K129" s="94"/>
      <c r="L129" s="76"/>
      <c r="M129" s="76"/>
    </row>
    <row r="130" spans="1:13" ht="12.6" customHeight="1" x14ac:dyDescent="0.3">
      <c r="B130" s="84"/>
      <c r="C130" s="1393" t="str">
        <f ca="1">IF('Income Data; Do not delete'!C173=0,"",'Income Data; Do not delete'!C173)</f>
        <v/>
      </c>
      <c r="D130" s="1393"/>
      <c r="E130" s="135"/>
      <c r="F130" s="1393" t="str">
        <f ca="1">IF('Income Data; Do not delete'!D173=0,"",'Income Data; Do not delete'!D173)</f>
        <v/>
      </c>
      <c r="G130" s="1393"/>
      <c r="H130" s="33"/>
      <c r="J130" s="1394">
        <f ca="1">'Income Data; Do not delete'!F173</f>
        <v>0</v>
      </c>
      <c r="K130" s="1394"/>
    </row>
    <row r="131" spans="1:13" ht="3" customHeight="1" x14ac:dyDescent="0.3">
      <c r="B131" s="86"/>
      <c r="C131" s="29"/>
      <c r="D131" s="29"/>
      <c r="E131" s="29"/>
      <c r="F131" s="29"/>
      <c r="G131" s="29"/>
      <c r="H131" s="33"/>
      <c r="J131" s="95"/>
      <c r="K131" s="95"/>
    </row>
    <row r="132" spans="1:13" ht="12" customHeight="1" x14ac:dyDescent="0.3">
      <c r="B132" s="84"/>
      <c r="C132" s="1395"/>
      <c r="D132" s="1395"/>
      <c r="E132" s="135"/>
      <c r="F132" s="1396"/>
      <c r="G132" s="1396"/>
      <c r="H132" s="29"/>
      <c r="J132" s="1397"/>
      <c r="K132" s="1397"/>
      <c r="L132" s="76"/>
      <c r="M132" s="76"/>
    </row>
    <row r="133" spans="1:13" ht="3" customHeight="1" x14ac:dyDescent="0.3">
      <c r="B133" s="86"/>
      <c r="C133" s="29"/>
      <c r="D133" s="29"/>
      <c r="E133" s="29"/>
      <c r="F133" s="29"/>
      <c r="G133" s="29"/>
      <c r="H133" s="33"/>
      <c r="J133" s="93"/>
      <c r="K133" s="93"/>
      <c r="L133" s="76"/>
      <c r="M133" s="47"/>
    </row>
    <row r="134" spans="1:13" ht="12" customHeight="1" x14ac:dyDescent="0.3">
      <c r="B134" s="84"/>
      <c r="C134" s="1395"/>
      <c r="D134" s="1395"/>
      <c r="E134" s="135"/>
      <c r="F134" s="1396"/>
      <c r="G134" s="1396"/>
      <c r="H134" s="33"/>
      <c r="J134" s="1397"/>
      <c r="K134" s="1397"/>
      <c r="L134" s="76"/>
    </row>
    <row r="135" spans="1:13" ht="3" customHeight="1" x14ac:dyDescent="0.3">
      <c r="A135"/>
      <c r="B135" s="29"/>
      <c r="C135" s="29"/>
      <c r="D135" s="29"/>
      <c r="E135" s="29"/>
      <c r="F135" s="29"/>
      <c r="G135" s="29"/>
      <c r="H135" s="29"/>
      <c r="J135" s="24"/>
      <c r="K135" s="24"/>
    </row>
    <row r="136" spans="1:13" x14ac:dyDescent="0.3">
      <c r="B136" s="86"/>
      <c r="C136" s="1392" t="s">
        <v>106</v>
      </c>
      <c r="D136" s="1392"/>
      <c r="E136" s="1392"/>
      <c r="F136" s="1392"/>
      <c r="G136" s="29"/>
      <c r="H136" s="29"/>
      <c r="J136" s="24"/>
      <c r="K136" s="24"/>
    </row>
    <row r="137" spans="1:13" ht="12.6" customHeight="1" x14ac:dyDescent="0.3">
      <c r="B137" s="84"/>
      <c r="C137" s="1401" t="str">
        <f ca="1">'Income Data; Do not delete'!C177</f>
        <v/>
      </c>
      <c r="D137" s="1401"/>
      <c r="E137" s="135"/>
      <c r="F137" s="1400" t="str">
        <f ca="1">'Income Data; Do not delete'!D177</f>
        <v/>
      </c>
      <c r="G137" s="1400"/>
      <c r="H137" s="33"/>
      <c r="J137" s="1391">
        <f ca="1">'Income Data; Do not delete'!F177</f>
        <v>0</v>
      </c>
      <c r="K137" s="1391"/>
      <c r="L137" s="76"/>
      <c r="M137" s="81"/>
    </row>
    <row r="138" spans="1:13" ht="3" customHeight="1" x14ac:dyDescent="0.3">
      <c r="B138" s="86"/>
      <c r="C138" s="29"/>
      <c r="D138" s="29"/>
      <c r="E138" s="29"/>
      <c r="F138" s="29"/>
      <c r="G138" s="29"/>
      <c r="H138" s="33"/>
      <c r="J138" s="93"/>
      <c r="K138" s="93"/>
      <c r="L138" s="76"/>
      <c r="M138" s="47" t="b">
        <v>1</v>
      </c>
    </row>
    <row r="139" spans="1:13" ht="12.6" customHeight="1" x14ac:dyDescent="0.3">
      <c r="B139" s="84"/>
      <c r="C139" s="1393" t="str">
        <f ca="1">IF('Income Data; Do not delete'!C178=0,"",'Income Data; Do not delete'!C178)</f>
        <v/>
      </c>
      <c r="D139" s="1393"/>
      <c r="E139" s="135"/>
      <c r="F139" s="1393" t="str">
        <f ca="1">IF('Income Data; Do not delete'!D178=0,"",'Income Data; Do not delete'!D178)</f>
        <v/>
      </c>
      <c r="G139" s="1393"/>
      <c r="H139" s="33"/>
      <c r="J139" s="1391">
        <f ca="1">'Income Data; Do not delete'!F178</f>
        <v>0</v>
      </c>
      <c r="K139" s="1391"/>
      <c r="L139" s="76"/>
    </row>
    <row r="140" spans="1:13" ht="3" customHeight="1" x14ac:dyDescent="0.3">
      <c r="B140" s="86"/>
      <c r="C140" s="29"/>
      <c r="D140" s="29"/>
      <c r="E140" s="29"/>
      <c r="F140" s="29"/>
      <c r="G140" s="29"/>
      <c r="H140" s="33"/>
      <c r="J140" s="93"/>
      <c r="K140" s="93"/>
      <c r="L140" s="76"/>
      <c r="M140" s="47" t="b">
        <v>1</v>
      </c>
    </row>
    <row r="141" spans="1:13" ht="12.6" customHeight="1" x14ac:dyDescent="0.3">
      <c r="B141" s="84"/>
      <c r="C141" s="1393" t="str">
        <f ca="1">IF('Income Data; Do not delete'!C179=0,"",'Income Data; Do not delete'!C179)</f>
        <v/>
      </c>
      <c r="D141" s="1393"/>
      <c r="E141" s="135"/>
      <c r="F141" s="1393" t="str">
        <f ca="1">IF('Income Data; Do not delete'!D179=0,"",'Income Data; Do not delete'!D179)</f>
        <v/>
      </c>
      <c r="G141" s="1393"/>
      <c r="H141" s="29"/>
      <c r="J141" s="1391">
        <f ca="1">'Income Data; Do not delete'!F179</f>
        <v>0</v>
      </c>
      <c r="K141" s="1391"/>
      <c r="L141" s="76"/>
      <c r="M141" s="76"/>
    </row>
    <row r="142" spans="1:13" ht="3" customHeight="1" x14ac:dyDescent="0.3">
      <c r="B142" s="84"/>
      <c r="C142" s="1402"/>
      <c r="D142" s="1402"/>
      <c r="E142" s="1402"/>
      <c r="F142" s="1402"/>
      <c r="G142" s="85"/>
      <c r="H142" s="33"/>
      <c r="J142" s="93"/>
      <c r="K142" s="93"/>
      <c r="L142" s="76"/>
      <c r="M142" s="76"/>
    </row>
    <row r="143" spans="1:13" ht="12.6" customHeight="1" x14ac:dyDescent="0.3">
      <c r="B143" s="84"/>
      <c r="C143" s="1393" t="str">
        <f ca="1">IF('Income Data; Do not delete'!C180=0,"",'Income Data; Do not delete'!C180)</f>
        <v/>
      </c>
      <c r="D143" s="1393"/>
      <c r="E143" s="135"/>
      <c r="F143" s="1393" t="str">
        <f ca="1">IF('Income Data; Do not delete'!D180=0,"",'Income Data; Do not delete'!D180)</f>
        <v/>
      </c>
      <c r="G143" s="1393"/>
      <c r="H143" s="29"/>
      <c r="J143" s="1391">
        <f ca="1">'Income Data; Do not delete'!F180</f>
        <v>0</v>
      </c>
      <c r="K143" s="1391"/>
      <c r="L143" s="76"/>
      <c r="M143" s="76"/>
    </row>
    <row r="144" spans="1:13" ht="3" customHeight="1" x14ac:dyDescent="0.3">
      <c r="B144" s="84"/>
      <c r="C144" s="1392"/>
      <c r="D144" s="1392"/>
      <c r="E144" s="1392"/>
      <c r="F144" s="1392"/>
      <c r="G144" s="1392"/>
      <c r="H144" s="33"/>
      <c r="J144" s="94"/>
      <c r="K144" s="94"/>
      <c r="L144" s="76"/>
      <c r="M144" s="76"/>
    </row>
    <row r="145" spans="1:13" ht="12.6" customHeight="1" x14ac:dyDescent="0.3">
      <c r="B145" s="84"/>
      <c r="C145" s="1393" t="str">
        <f ca="1">IF('Income Data; Do not delete'!C181=0,"",'Income Data; Do not delete'!C181)</f>
        <v/>
      </c>
      <c r="D145" s="1393"/>
      <c r="E145" s="135"/>
      <c r="F145" s="1393" t="str">
        <f ca="1">IF('Income Data; Do not delete'!D181=0,"",'Income Data; Do not delete'!D181)</f>
        <v/>
      </c>
      <c r="G145" s="1393"/>
      <c r="H145" s="29"/>
      <c r="J145" s="1391">
        <f ca="1">'Income Data; Do not delete'!F181</f>
        <v>0</v>
      </c>
      <c r="K145" s="1391"/>
      <c r="L145" s="76"/>
      <c r="M145" s="76"/>
    </row>
    <row r="146" spans="1:13" ht="3" customHeight="1" x14ac:dyDescent="0.3">
      <c r="B146" s="84"/>
      <c r="C146" s="1392"/>
      <c r="D146" s="1392"/>
      <c r="E146" s="1392"/>
      <c r="F146" s="1392"/>
      <c r="G146" s="1392"/>
      <c r="H146" s="33"/>
      <c r="J146" s="94"/>
      <c r="K146" s="94"/>
      <c r="L146" s="76"/>
      <c r="M146" s="76"/>
    </row>
    <row r="147" spans="1:13" ht="12.6" customHeight="1" x14ac:dyDescent="0.3">
      <c r="B147" s="84"/>
      <c r="C147" s="1393" t="str">
        <f ca="1">IF('Income Data; Do not delete'!C182=0,"",'Income Data; Do not delete'!C182)</f>
        <v/>
      </c>
      <c r="D147" s="1393"/>
      <c r="E147" s="135"/>
      <c r="F147" s="1393" t="str">
        <f ca="1">IF('Income Data; Do not delete'!D182=0,"",'Income Data; Do not delete'!D182)</f>
        <v/>
      </c>
      <c r="G147" s="1393"/>
      <c r="H147" s="33"/>
      <c r="J147" s="1391">
        <f ca="1">'Income Data; Do not delete'!F182</f>
        <v>0</v>
      </c>
      <c r="K147" s="1391"/>
    </row>
    <row r="148" spans="1:13" ht="3" customHeight="1" x14ac:dyDescent="0.3">
      <c r="B148" s="86"/>
      <c r="C148" s="29"/>
      <c r="D148" s="29"/>
      <c r="E148" s="29"/>
      <c r="F148" s="29"/>
      <c r="G148" s="29"/>
      <c r="H148" s="33"/>
      <c r="J148" s="95"/>
      <c r="K148" s="95"/>
    </row>
    <row r="149" spans="1:13" ht="12.6" customHeight="1" x14ac:dyDescent="0.3">
      <c r="B149" s="84"/>
      <c r="C149" s="1393" t="str">
        <f ca="1">IF('Income Data; Do not delete'!C183=0,"",'Income Data; Do not delete'!C183)</f>
        <v/>
      </c>
      <c r="D149" s="1393"/>
      <c r="E149" s="135"/>
      <c r="F149" s="1393" t="str">
        <f ca="1">IF('Income Data; Do not delete'!D183=0,"",'Income Data; Do not delete'!D183)</f>
        <v/>
      </c>
      <c r="G149" s="1393"/>
      <c r="H149" s="33"/>
      <c r="J149" s="1391">
        <f ca="1">'Income Data; Do not delete'!F183</f>
        <v>0</v>
      </c>
      <c r="K149" s="1391"/>
      <c r="L149" s="76"/>
    </row>
    <row r="150" spans="1:13" ht="3" customHeight="1" x14ac:dyDescent="0.3">
      <c r="B150" s="84"/>
      <c r="C150" s="85"/>
      <c r="D150" s="85"/>
      <c r="E150" s="135"/>
      <c r="F150" s="135"/>
      <c r="G150" s="135"/>
      <c r="H150" s="33"/>
      <c r="J150" s="95"/>
      <c r="K150" s="95"/>
      <c r="L150" s="76"/>
    </row>
    <row r="151" spans="1:13" ht="12.6" customHeight="1" x14ac:dyDescent="0.3">
      <c r="B151" s="84"/>
      <c r="C151" s="1393" t="str">
        <f ca="1">IF('Income Data; Do not delete'!C184=0,"",'Income Data; Do not delete'!C184)</f>
        <v/>
      </c>
      <c r="D151" s="1393"/>
      <c r="E151" s="135"/>
      <c r="F151" s="1393" t="str">
        <f ca="1">IF('Income Data; Do not delete'!D184=0,"",'Income Data; Do not delete'!D184)</f>
        <v/>
      </c>
      <c r="G151" s="1393"/>
      <c r="H151" s="33"/>
      <c r="J151" s="1391">
        <f ca="1">'Income Data; Do not delete'!F184</f>
        <v>0</v>
      </c>
      <c r="K151" s="1391"/>
      <c r="L151" s="76"/>
      <c r="M151" s="47"/>
    </row>
    <row r="152" spans="1:13" ht="3" customHeight="1" x14ac:dyDescent="0.3">
      <c r="B152" s="86"/>
      <c r="C152" s="29"/>
      <c r="D152" s="29"/>
      <c r="E152" s="29"/>
      <c r="F152" s="29"/>
      <c r="G152" s="29"/>
      <c r="H152" s="33"/>
      <c r="J152" s="93"/>
      <c r="K152" s="93"/>
      <c r="L152" s="76"/>
      <c r="M152" s="47"/>
    </row>
    <row r="153" spans="1:13" ht="12" customHeight="1" x14ac:dyDescent="0.3">
      <c r="B153" s="84"/>
      <c r="C153" s="1395"/>
      <c r="D153" s="1395"/>
      <c r="E153" s="135"/>
      <c r="F153" s="1396"/>
      <c r="G153" s="1396"/>
      <c r="H153" s="33"/>
      <c r="J153" s="1397"/>
      <c r="K153" s="1397"/>
      <c r="L153" s="76"/>
    </row>
    <row r="154" spans="1:13" ht="3" customHeight="1" x14ac:dyDescent="0.3">
      <c r="A154"/>
      <c r="B154" s="29"/>
      <c r="C154" s="29"/>
      <c r="D154" s="29"/>
      <c r="E154" s="29"/>
      <c r="F154" s="29"/>
      <c r="G154" s="29"/>
      <c r="H154" s="29"/>
      <c r="J154" s="24"/>
      <c r="K154" s="24"/>
    </row>
    <row r="155" spans="1:13" ht="12" customHeight="1" x14ac:dyDescent="0.3">
      <c r="B155" s="84"/>
      <c r="C155" s="1395"/>
      <c r="D155" s="1395"/>
      <c r="E155" s="135"/>
      <c r="F155" s="1396"/>
      <c r="G155" s="1396"/>
      <c r="H155" s="33"/>
      <c r="J155" s="1397"/>
      <c r="K155" s="1397"/>
      <c r="L155" s="76"/>
    </row>
    <row r="156" spans="1:13" ht="3" customHeight="1" x14ac:dyDescent="0.3">
      <c r="B156" s="86"/>
      <c r="C156" s="29"/>
      <c r="D156" s="29"/>
      <c r="E156" s="29"/>
      <c r="F156" s="29"/>
      <c r="G156" s="29"/>
      <c r="H156" s="33"/>
      <c r="J156" s="95"/>
      <c r="K156" s="95"/>
      <c r="L156" s="76"/>
    </row>
    <row r="157" spans="1:13" x14ac:dyDescent="0.3">
      <c r="B157" s="86"/>
      <c r="C157" s="1392" t="s">
        <v>107</v>
      </c>
      <c r="D157" s="1392"/>
      <c r="E157" s="1392"/>
      <c r="F157" s="1392"/>
      <c r="G157" s="29"/>
      <c r="H157" s="29"/>
      <c r="J157" s="24"/>
      <c r="K157" s="24"/>
    </row>
    <row r="158" spans="1:13" ht="12.6" customHeight="1" x14ac:dyDescent="0.3">
      <c r="B158" s="84"/>
      <c r="C158" s="1401" t="str">
        <f ca="1">'Income Data; Do not delete'!C188</f>
        <v/>
      </c>
      <c r="D158" s="1401"/>
      <c r="E158" s="135"/>
      <c r="F158" s="1400" t="str">
        <f ca="1">'Income Data; Do not delete'!D188</f>
        <v/>
      </c>
      <c r="G158" s="1400"/>
      <c r="H158" s="33"/>
      <c r="J158" s="1391">
        <f ca="1">'Income Data; Do not delete'!F188</f>
        <v>0</v>
      </c>
      <c r="K158" s="1391"/>
      <c r="L158" s="76"/>
      <c r="M158" s="81"/>
    </row>
    <row r="159" spans="1:13" ht="3" customHeight="1" x14ac:dyDescent="0.3">
      <c r="B159" s="86"/>
      <c r="C159" s="29"/>
      <c r="D159" s="29"/>
      <c r="E159" s="29"/>
      <c r="F159" s="29"/>
      <c r="G159" s="29"/>
      <c r="H159" s="33"/>
      <c r="J159" s="93"/>
      <c r="K159" s="93"/>
      <c r="L159" s="76"/>
      <c r="M159" s="47" t="b">
        <v>1</v>
      </c>
    </row>
    <row r="160" spans="1:13" ht="12.6" customHeight="1" x14ac:dyDescent="0.3">
      <c r="B160" s="84"/>
      <c r="C160" s="1393" t="str">
        <f ca="1">IF('Income Data; Do not delete'!C189=0,"",'Income Data; Do not delete'!C189)</f>
        <v/>
      </c>
      <c r="D160" s="1393"/>
      <c r="E160" s="135"/>
      <c r="F160" s="1393" t="str">
        <f ca="1">IF('Income Data; Do not delete'!D189=0,"",'Income Data; Do not delete'!D189)</f>
        <v/>
      </c>
      <c r="G160" s="1393"/>
      <c r="H160" s="33"/>
      <c r="J160" s="1391">
        <f ca="1">'Income Data; Do not delete'!F189</f>
        <v>0</v>
      </c>
      <c r="K160" s="1391"/>
      <c r="L160" s="76"/>
    </row>
    <row r="161" spans="1:13" ht="3" customHeight="1" x14ac:dyDescent="0.3">
      <c r="B161" s="86"/>
      <c r="C161" s="29"/>
      <c r="D161" s="29"/>
      <c r="E161" s="29"/>
      <c r="F161" s="29"/>
      <c r="G161" s="29"/>
      <c r="H161" s="33"/>
      <c r="J161" s="93"/>
      <c r="K161" s="93"/>
      <c r="L161" s="76"/>
      <c r="M161" s="47" t="b">
        <v>1</v>
      </c>
    </row>
    <row r="162" spans="1:13" ht="12.6" customHeight="1" x14ac:dyDescent="0.3">
      <c r="B162" s="84"/>
      <c r="C162" s="1393" t="str">
        <f ca="1">IF('Income Data; Do not delete'!C190=0,"",'Income Data; Do not delete'!C190)</f>
        <v/>
      </c>
      <c r="D162" s="1393"/>
      <c r="E162" s="135"/>
      <c r="F162" s="1393" t="str">
        <f ca="1">IF('Income Data; Do not delete'!D190=0,"",'Income Data; Do not delete'!D190)</f>
        <v/>
      </c>
      <c r="G162" s="1393"/>
      <c r="H162" s="29"/>
      <c r="J162" s="1391">
        <f ca="1">'Income Data; Do not delete'!F190</f>
        <v>0</v>
      </c>
      <c r="K162" s="1391"/>
      <c r="L162" s="76"/>
      <c r="M162" s="76"/>
    </row>
    <row r="163" spans="1:13" ht="3" customHeight="1" x14ac:dyDescent="0.3">
      <c r="B163" s="84"/>
      <c r="C163" s="1392"/>
      <c r="D163" s="1392"/>
      <c r="E163" s="1392"/>
      <c r="F163" s="1392"/>
      <c r="G163" s="1392"/>
      <c r="H163" s="33"/>
      <c r="J163" s="94"/>
      <c r="K163" s="94"/>
      <c r="L163" s="76"/>
      <c r="M163" s="76"/>
    </row>
    <row r="164" spans="1:13" ht="12.6" customHeight="1" x14ac:dyDescent="0.3">
      <c r="B164" s="84"/>
      <c r="C164" s="1393" t="str">
        <f ca="1">IF('Income Data; Do not delete'!C191=0,"",'Income Data; Do not delete'!C191)</f>
        <v/>
      </c>
      <c r="D164" s="1393"/>
      <c r="E164" s="135"/>
      <c r="F164" s="1393" t="str">
        <f ca="1">IF('Income Data; Do not delete'!D191=0,"",'Income Data; Do not delete'!D191)</f>
        <v/>
      </c>
      <c r="G164" s="1393"/>
      <c r="H164" s="29"/>
      <c r="J164" s="1391">
        <f ca="1">'Income Data; Do not delete'!F191</f>
        <v>0</v>
      </c>
      <c r="K164" s="1391"/>
      <c r="L164" s="76"/>
      <c r="M164" s="76"/>
    </row>
    <row r="165" spans="1:13" ht="3" customHeight="1" x14ac:dyDescent="0.3">
      <c r="B165" s="84"/>
      <c r="C165" s="1392"/>
      <c r="D165" s="1392"/>
      <c r="E165" s="1392"/>
      <c r="F165" s="1392"/>
      <c r="G165" s="1392"/>
      <c r="H165" s="33"/>
      <c r="J165" s="94"/>
      <c r="K165" s="94"/>
      <c r="L165" s="76"/>
      <c r="M165" s="76"/>
    </row>
    <row r="166" spans="1:13" ht="12.6" customHeight="1" x14ac:dyDescent="0.3">
      <c r="B166" s="84"/>
      <c r="C166" s="1393" t="str">
        <f ca="1">IF('Income Data; Do not delete'!C192=0,"",'Income Data; Do not delete'!C192)</f>
        <v/>
      </c>
      <c r="D166" s="1393"/>
      <c r="E166" s="135"/>
      <c r="F166" s="1393" t="str">
        <f ca="1">IF('Income Data; Do not delete'!D192=0,"",'Income Data; Do not delete'!D192)</f>
        <v/>
      </c>
      <c r="G166" s="1393"/>
      <c r="H166" s="29"/>
      <c r="J166" s="1391">
        <f ca="1">'Income Data; Do not delete'!F192</f>
        <v>0</v>
      </c>
      <c r="K166" s="1391"/>
      <c r="L166" s="76"/>
      <c r="M166" s="76"/>
    </row>
    <row r="167" spans="1:13" ht="3" customHeight="1" x14ac:dyDescent="0.3">
      <c r="B167" s="86"/>
      <c r="C167" s="29"/>
      <c r="D167" s="29"/>
      <c r="E167" s="29"/>
      <c r="F167" s="29"/>
      <c r="G167" s="29"/>
      <c r="H167" s="33"/>
      <c r="J167" s="93"/>
      <c r="K167" s="93"/>
      <c r="L167" s="76"/>
      <c r="M167" s="47"/>
    </row>
    <row r="168" spans="1:13" ht="12.6" customHeight="1" x14ac:dyDescent="0.3">
      <c r="B168" s="84"/>
      <c r="C168" s="1393" t="str">
        <f ca="1">IF('Income Data; Do not delete'!C193=0,"",'Income Data; Do not delete'!C193)</f>
        <v/>
      </c>
      <c r="D168" s="1393"/>
      <c r="E168" s="135"/>
      <c r="F168" s="1393" t="str">
        <f ca="1">IF('Income Data; Do not delete'!D193=0,"",'Income Data; Do not delete'!D193)</f>
        <v/>
      </c>
      <c r="G168" s="1393"/>
      <c r="H168" s="33"/>
      <c r="J168" s="1391">
        <f ca="1">'Income Data; Do not delete'!F193</f>
        <v>0</v>
      </c>
      <c r="K168" s="1391"/>
      <c r="L168" s="76"/>
    </row>
    <row r="169" spans="1:13" ht="3" customHeight="1" x14ac:dyDescent="0.3">
      <c r="B169" s="84"/>
      <c r="C169" s="85"/>
      <c r="D169" s="85"/>
      <c r="E169" s="135"/>
      <c r="F169" s="135"/>
      <c r="G169" s="135"/>
      <c r="H169" s="33"/>
      <c r="J169" s="95"/>
      <c r="K169" s="95"/>
      <c r="L169" s="76"/>
    </row>
    <row r="170" spans="1:13" ht="12.6" customHeight="1" x14ac:dyDescent="0.3">
      <c r="B170" s="84"/>
      <c r="C170" s="1393" t="str">
        <f ca="1">IF('Income Data; Do not delete'!C194=0,"",'Income Data; Do not delete'!C194)</f>
        <v/>
      </c>
      <c r="D170" s="1393"/>
      <c r="E170" s="135"/>
      <c r="F170" s="1393" t="str">
        <f ca="1">IF('Income Data; Do not delete'!D194=0,"",'Income Data; Do not delete'!D194)</f>
        <v/>
      </c>
      <c r="G170" s="1393"/>
      <c r="H170" s="33"/>
      <c r="J170" s="1391">
        <f ca="1">'Income Data; Do not delete'!F194</f>
        <v>0</v>
      </c>
      <c r="K170" s="1391"/>
      <c r="L170" s="76"/>
      <c r="M170" s="47"/>
    </row>
    <row r="171" spans="1:13" ht="3" customHeight="1" x14ac:dyDescent="0.3">
      <c r="B171" s="86"/>
      <c r="C171" s="29"/>
      <c r="D171" s="29"/>
      <c r="E171" s="29"/>
      <c r="F171" s="29"/>
      <c r="G171" s="29"/>
      <c r="H171" s="33"/>
      <c r="J171" s="93"/>
      <c r="K171" s="93"/>
      <c r="L171" s="76"/>
      <c r="M171" s="47"/>
    </row>
    <row r="172" spans="1:13" ht="12.6" customHeight="1" x14ac:dyDescent="0.3">
      <c r="B172" s="84"/>
      <c r="C172" s="1393" t="str">
        <f ca="1">IF('Income Data; Do not delete'!C195=0,"",'Income Data; Do not delete'!C195)</f>
        <v/>
      </c>
      <c r="D172" s="1393"/>
      <c r="E172" s="135"/>
      <c r="F172" s="1393" t="str">
        <f ca="1">IF('Income Data; Do not delete'!D195=0,"",'Income Data; Do not delete'!D195)</f>
        <v/>
      </c>
      <c r="G172" s="1393"/>
      <c r="H172" s="33"/>
      <c r="J172" s="1391">
        <f ca="1">'Income Data; Do not delete'!F195</f>
        <v>0</v>
      </c>
      <c r="K172" s="1391"/>
      <c r="L172" s="76"/>
      <c r="M172" s="47"/>
    </row>
    <row r="173" spans="1:13" ht="3" customHeight="1" x14ac:dyDescent="0.3">
      <c r="B173" s="86"/>
      <c r="C173" s="29"/>
      <c r="D173" s="29"/>
      <c r="E173" s="29"/>
      <c r="F173" s="29"/>
      <c r="G173" s="29"/>
      <c r="H173" s="33"/>
      <c r="J173" s="93"/>
      <c r="K173" s="93"/>
      <c r="L173" s="76"/>
      <c r="M173" s="47"/>
    </row>
    <row r="174" spans="1:13" ht="12" customHeight="1" x14ac:dyDescent="0.3">
      <c r="B174" s="84"/>
      <c r="C174" s="1395"/>
      <c r="D174" s="1395"/>
      <c r="E174" s="135"/>
      <c r="F174" s="1396"/>
      <c r="G174" s="1396"/>
      <c r="H174" s="33"/>
      <c r="J174" s="1397"/>
      <c r="K174" s="1397"/>
      <c r="L174" s="76"/>
    </row>
    <row r="175" spans="1:13" ht="3" customHeight="1" x14ac:dyDescent="0.3">
      <c r="A175"/>
      <c r="B175" s="29"/>
      <c r="C175" s="29"/>
      <c r="D175" s="29"/>
      <c r="E175" s="29"/>
      <c r="F175" s="29"/>
      <c r="G175" s="29"/>
      <c r="H175" s="29"/>
      <c r="J175" s="24"/>
      <c r="K175" s="24"/>
    </row>
    <row r="176" spans="1:13" ht="12" customHeight="1" x14ac:dyDescent="0.3">
      <c r="B176" s="84"/>
      <c r="C176" s="1395"/>
      <c r="D176" s="1395"/>
      <c r="E176" s="135"/>
      <c r="F176" s="1396"/>
      <c r="G176" s="1396"/>
      <c r="H176" s="33"/>
      <c r="J176" s="1397"/>
      <c r="K176" s="1397"/>
      <c r="L176" s="76"/>
    </row>
    <row r="177" spans="2:13" ht="3" customHeight="1" x14ac:dyDescent="0.3">
      <c r="B177" s="86"/>
      <c r="C177" s="29"/>
      <c r="D177" s="29"/>
      <c r="E177" s="29"/>
      <c r="F177" s="29"/>
      <c r="G177" s="29"/>
      <c r="H177" s="33"/>
      <c r="J177" s="95"/>
      <c r="K177" s="95"/>
      <c r="L177" s="76"/>
    </row>
    <row r="178" spans="2:13" x14ac:dyDescent="0.3">
      <c r="B178" s="86"/>
      <c r="C178" s="1392" t="s">
        <v>108</v>
      </c>
      <c r="D178" s="1392"/>
      <c r="E178" s="1392"/>
      <c r="F178" s="1392"/>
      <c r="G178" s="29"/>
      <c r="H178" s="29"/>
      <c r="J178" s="24"/>
      <c r="K178" s="24"/>
    </row>
    <row r="179" spans="2:13" ht="12.6" customHeight="1" x14ac:dyDescent="0.3">
      <c r="B179" s="84"/>
      <c r="C179" s="1401" t="str">
        <f ca="1">'Income Data; Do not delete'!C199</f>
        <v/>
      </c>
      <c r="D179" s="1401"/>
      <c r="E179" s="135"/>
      <c r="F179" s="1400" t="str">
        <f ca="1">'Income Data; Do not delete'!D199</f>
        <v/>
      </c>
      <c r="G179" s="1400"/>
      <c r="H179" s="33"/>
      <c r="J179" s="1391">
        <f ca="1">'Income Data; Do not delete'!F199</f>
        <v>0</v>
      </c>
      <c r="K179" s="1391"/>
      <c r="L179" s="76"/>
      <c r="M179" s="81"/>
    </row>
    <row r="180" spans="2:13" ht="3" customHeight="1" x14ac:dyDescent="0.3">
      <c r="B180" s="86"/>
      <c r="C180" s="29"/>
      <c r="D180" s="29"/>
      <c r="E180" s="29"/>
      <c r="F180" s="29"/>
      <c r="G180" s="29"/>
      <c r="H180" s="33"/>
      <c r="J180" s="93"/>
      <c r="K180" s="93"/>
      <c r="L180" s="76"/>
      <c r="M180" s="47" t="b">
        <v>1</v>
      </c>
    </row>
    <row r="181" spans="2:13" ht="12.6" customHeight="1" x14ac:dyDescent="0.3">
      <c r="B181" s="84"/>
      <c r="C181" s="1393" t="str">
        <f ca="1">IF('Income Data; Do not delete'!C200=0,"",'Income Data; Do not delete'!C200)</f>
        <v/>
      </c>
      <c r="D181" s="1393"/>
      <c r="E181" s="135"/>
      <c r="F181" s="1393" t="str">
        <f ca="1">IF('Income Data; Do not delete'!D200=0,"",'Income Data; Do not delete'!D200)</f>
        <v/>
      </c>
      <c r="G181" s="1393"/>
      <c r="H181" s="33"/>
      <c r="J181" s="1391">
        <f ca="1">'Income Data; Do not delete'!F200</f>
        <v>0</v>
      </c>
      <c r="K181" s="1391"/>
      <c r="L181" s="76"/>
    </row>
    <row r="182" spans="2:13" ht="3" customHeight="1" x14ac:dyDescent="0.3">
      <c r="B182" s="86"/>
      <c r="C182" s="29"/>
      <c r="D182" s="29"/>
      <c r="E182" s="29"/>
      <c r="F182" s="29"/>
      <c r="G182" s="29"/>
      <c r="H182" s="33"/>
      <c r="J182" s="93"/>
      <c r="K182" s="93"/>
      <c r="L182" s="76"/>
      <c r="M182" s="47" t="b">
        <v>1</v>
      </c>
    </row>
    <row r="183" spans="2:13" ht="12.6" customHeight="1" x14ac:dyDescent="0.3">
      <c r="B183" s="84"/>
      <c r="C183" s="1393" t="str">
        <f ca="1">IF('Income Data; Do not delete'!C201=0,"",'Income Data; Do not delete'!C201)</f>
        <v/>
      </c>
      <c r="D183" s="1393"/>
      <c r="E183" s="135"/>
      <c r="F183" s="1393" t="str">
        <f ca="1">IF('Income Data; Do not delete'!D201=0,"",'Income Data; Do not delete'!D201)</f>
        <v/>
      </c>
      <c r="G183" s="1393"/>
      <c r="H183" s="29"/>
      <c r="J183" s="1391">
        <f ca="1">'Income Data; Do not delete'!F201</f>
        <v>0</v>
      </c>
      <c r="K183" s="1391"/>
      <c r="L183" s="76"/>
      <c r="M183" s="76"/>
    </row>
    <row r="184" spans="2:13" ht="3" customHeight="1" x14ac:dyDescent="0.3">
      <c r="B184" s="84"/>
      <c r="C184" s="1392"/>
      <c r="D184" s="1392"/>
      <c r="E184" s="1392"/>
      <c r="F184" s="1392"/>
      <c r="G184" s="1392"/>
      <c r="H184" s="33"/>
      <c r="J184" s="94"/>
      <c r="K184" s="94"/>
      <c r="L184" s="76"/>
      <c r="M184" s="76"/>
    </row>
    <row r="185" spans="2:13" ht="12.6" customHeight="1" x14ac:dyDescent="0.3">
      <c r="B185" s="84"/>
      <c r="C185" s="1393" t="str">
        <f ca="1">IF('Income Data; Do not delete'!C202=0,"",'Income Data; Do not delete'!C202)</f>
        <v/>
      </c>
      <c r="D185" s="1393"/>
      <c r="E185" s="135"/>
      <c r="F185" s="1393" t="str">
        <f ca="1">IF('Income Data; Do not delete'!D202=0,"",'Income Data; Do not delete'!D202)</f>
        <v/>
      </c>
      <c r="G185" s="1393"/>
      <c r="H185" s="33"/>
      <c r="J185" s="1391">
        <f ca="1">'Income Data; Do not delete'!F202</f>
        <v>0</v>
      </c>
      <c r="K185" s="1391"/>
    </row>
    <row r="186" spans="2:13" ht="3" customHeight="1" x14ac:dyDescent="0.3">
      <c r="B186" s="86"/>
      <c r="C186" s="29"/>
      <c r="D186" s="29"/>
      <c r="E186" s="29"/>
      <c r="F186" s="29"/>
      <c r="G186" s="29"/>
      <c r="H186" s="33"/>
      <c r="J186" s="95"/>
      <c r="K186" s="95"/>
    </row>
    <row r="187" spans="2:13" ht="12.6" customHeight="1" x14ac:dyDescent="0.3">
      <c r="B187" s="84"/>
      <c r="C187" s="1393" t="str">
        <f ca="1">IF('Income Data; Do not delete'!C203=0,"",'Income Data; Do not delete'!C203)</f>
        <v/>
      </c>
      <c r="D187" s="1393"/>
      <c r="E187" s="135"/>
      <c r="F187" s="1393" t="str">
        <f ca="1">IF('Income Data; Do not delete'!D203=0,"",'Income Data; Do not delete'!D203)</f>
        <v/>
      </c>
      <c r="G187" s="1393"/>
      <c r="H187" s="29"/>
      <c r="J187" s="1391">
        <f ca="1">'Income Data; Do not delete'!F203</f>
        <v>0</v>
      </c>
      <c r="K187" s="1391"/>
      <c r="L187" s="76"/>
      <c r="M187" s="76"/>
    </row>
    <row r="188" spans="2:13" ht="3" customHeight="1" x14ac:dyDescent="0.3">
      <c r="B188" s="86"/>
      <c r="C188" s="29"/>
      <c r="D188" s="29"/>
      <c r="E188" s="29"/>
      <c r="F188" s="29"/>
      <c r="G188" s="29"/>
      <c r="H188" s="33"/>
      <c r="J188" s="93"/>
      <c r="K188" s="93"/>
      <c r="L188" s="76"/>
      <c r="M188" s="47"/>
    </row>
    <row r="189" spans="2:13" ht="12.6" customHeight="1" x14ac:dyDescent="0.3">
      <c r="B189" s="84"/>
      <c r="C189" s="1393" t="str">
        <f ca="1">IF('Income Data; Do not delete'!C204=0,"",'Income Data; Do not delete'!C204)</f>
        <v/>
      </c>
      <c r="D189" s="1393"/>
      <c r="E189" s="135"/>
      <c r="F189" s="1393" t="str">
        <f ca="1">IF('Income Data; Do not delete'!D204=0,"",'Income Data; Do not delete'!D204)</f>
        <v/>
      </c>
      <c r="G189" s="1393"/>
      <c r="H189" s="33"/>
      <c r="J189" s="1391">
        <f ca="1">'Income Data; Do not delete'!F204</f>
        <v>0</v>
      </c>
      <c r="K189" s="1391"/>
      <c r="L189" s="76"/>
    </row>
    <row r="190" spans="2:13" ht="3" customHeight="1" x14ac:dyDescent="0.3">
      <c r="B190" s="84"/>
      <c r="C190" s="85"/>
      <c r="D190" s="85"/>
      <c r="E190" s="135"/>
      <c r="F190" s="135"/>
      <c r="G190" s="135"/>
      <c r="H190" s="33"/>
      <c r="J190" s="95"/>
      <c r="K190" s="95"/>
      <c r="L190" s="76"/>
    </row>
    <row r="191" spans="2:13" ht="12.6" customHeight="1" x14ac:dyDescent="0.3">
      <c r="B191" s="84"/>
      <c r="C191" s="1393" t="str">
        <f ca="1">IF('Income Data; Do not delete'!C205=0,"",'Income Data; Do not delete'!C205)</f>
        <v/>
      </c>
      <c r="D191" s="1393"/>
      <c r="E191" s="135"/>
      <c r="F191" s="1393" t="str">
        <f ca="1">IF('Income Data; Do not delete'!D205=0,"",'Income Data; Do not delete'!D205)</f>
        <v/>
      </c>
      <c r="G191" s="1393"/>
      <c r="H191" s="33"/>
      <c r="J191" s="1391">
        <f ca="1">'Income Data; Do not delete'!F205</f>
        <v>0</v>
      </c>
      <c r="K191" s="1391"/>
      <c r="L191" s="76"/>
      <c r="M191" s="47"/>
    </row>
    <row r="192" spans="2:13" ht="3" customHeight="1" x14ac:dyDescent="0.3">
      <c r="B192" s="86"/>
      <c r="C192" s="29"/>
      <c r="D192" s="29"/>
      <c r="E192" s="29"/>
      <c r="F192" s="29"/>
      <c r="G192" s="29"/>
      <c r="H192" s="33"/>
      <c r="J192" s="93"/>
      <c r="K192" s="93"/>
      <c r="L192" s="76"/>
      <c r="M192" s="47"/>
    </row>
    <row r="193" spans="1:13" ht="12.6" customHeight="1" x14ac:dyDescent="0.3">
      <c r="B193" s="84"/>
      <c r="C193" s="1393" t="str">
        <f ca="1">IF('Income Data; Do not delete'!C206=0,"",'Income Data; Do not delete'!C206)</f>
        <v/>
      </c>
      <c r="D193" s="1393"/>
      <c r="E193" s="135"/>
      <c r="F193" s="1393" t="str">
        <f ca="1">IF('Income Data; Do not delete'!D206=0,"",'Income Data; Do not delete'!D206)</f>
        <v/>
      </c>
      <c r="G193" s="1393"/>
      <c r="H193" s="33"/>
      <c r="J193" s="1391">
        <f ca="1">'Income Data; Do not delete'!F206</f>
        <v>0</v>
      </c>
      <c r="K193" s="1391"/>
      <c r="L193" s="76"/>
      <c r="M193" s="47"/>
    </row>
    <row r="194" spans="1:13" ht="3" customHeight="1" x14ac:dyDescent="0.3">
      <c r="B194" s="86"/>
      <c r="C194" s="29"/>
      <c r="D194" s="29"/>
      <c r="E194" s="29"/>
      <c r="F194" s="29"/>
      <c r="G194" s="29"/>
      <c r="H194" s="33"/>
      <c r="J194" s="93"/>
      <c r="K194" s="93"/>
      <c r="L194" s="76"/>
      <c r="M194" s="47"/>
    </row>
    <row r="195" spans="1:13" ht="12" customHeight="1" x14ac:dyDescent="0.3">
      <c r="B195" s="84"/>
      <c r="C195" s="1395"/>
      <c r="D195" s="1395"/>
      <c r="E195" s="135"/>
      <c r="F195" s="1396"/>
      <c r="G195" s="1396"/>
      <c r="H195" s="33"/>
      <c r="J195" s="1397"/>
      <c r="K195" s="1397"/>
      <c r="L195" s="76"/>
    </row>
    <row r="196" spans="1:13" ht="3" customHeight="1" x14ac:dyDescent="0.3">
      <c r="A196"/>
      <c r="B196" s="29"/>
      <c r="C196" s="29"/>
      <c r="D196" s="29"/>
      <c r="E196" s="29"/>
      <c r="F196" s="29"/>
      <c r="G196" s="29"/>
      <c r="H196" s="29"/>
      <c r="J196" s="24"/>
      <c r="K196" s="24"/>
    </row>
    <row r="197" spans="1:13" ht="12" customHeight="1" x14ac:dyDescent="0.3">
      <c r="B197" s="84"/>
      <c r="C197" s="1395"/>
      <c r="D197" s="1395"/>
      <c r="E197" s="135"/>
      <c r="F197" s="1396"/>
      <c r="G197" s="1396"/>
      <c r="H197" s="33"/>
      <c r="J197" s="1397"/>
      <c r="K197" s="1397"/>
      <c r="L197" s="76"/>
    </row>
    <row r="198" spans="1:13" ht="3" customHeight="1" x14ac:dyDescent="0.3">
      <c r="B198" s="84"/>
      <c r="C198" s="85"/>
      <c r="D198" s="85"/>
      <c r="E198" s="135"/>
      <c r="F198" s="135"/>
      <c r="G198" s="135"/>
      <c r="H198" s="33"/>
      <c r="J198" s="95"/>
      <c r="K198" s="95"/>
      <c r="L198" s="76"/>
    </row>
    <row r="199" spans="1:13" ht="13.2" customHeight="1" x14ac:dyDescent="0.3">
      <c r="B199" s="84"/>
      <c r="C199" s="1392" t="s">
        <v>131</v>
      </c>
      <c r="D199" s="1392"/>
      <c r="E199" s="1392"/>
      <c r="F199" s="1392"/>
      <c r="G199" s="29"/>
      <c r="H199" s="29"/>
      <c r="J199" s="24"/>
      <c r="K199" s="24"/>
    </row>
    <row r="200" spans="1:13" ht="12.6" customHeight="1" x14ac:dyDescent="0.3">
      <c r="B200" s="84"/>
      <c r="C200" s="1401" t="str">
        <f ca="1">'Income Data; Do not delete'!C211</f>
        <v/>
      </c>
      <c r="D200" s="1401"/>
      <c r="E200" s="135"/>
      <c r="F200" s="1400" t="str">
        <f ca="1">'Income Data; Do not delete'!D211</f>
        <v/>
      </c>
      <c r="G200" s="1400"/>
      <c r="H200" s="33"/>
      <c r="J200" s="1391">
        <f ca="1">'Income Data; Do not delete'!F211</f>
        <v>0</v>
      </c>
      <c r="K200" s="1391"/>
      <c r="L200" s="76"/>
      <c r="M200" s="81"/>
    </row>
    <row r="201" spans="1:13" ht="3" customHeight="1" x14ac:dyDescent="0.3">
      <c r="B201" s="84"/>
      <c r="C201" s="29"/>
      <c r="D201" s="29"/>
      <c r="E201" s="29"/>
      <c r="F201" s="29"/>
      <c r="G201" s="29"/>
      <c r="H201" s="33"/>
      <c r="J201" s="93"/>
      <c r="K201" s="93"/>
      <c r="L201" s="76"/>
      <c r="M201" s="47" t="b">
        <v>1</v>
      </c>
    </row>
    <row r="202" spans="1:13" ht="13.2" customHeight="1" x14ac:dyDescent="0.3">
      <c r="B202" s="84"/>
      <c r="C202" s="1393" t="str">
        <f ca="1">IF('Income Data; Do not delete'!C212=0,"",'Income Data; Do not delete'!C212)</f>
        <v/>
      </c>
      <c r="D202" s="1393"/>
      <c r="E202" s="135"/>
      <c r="F202" s="1393" t="str">
        <f ca="1">IF('Income Data; Do not delete'!D212=0,"",'Income Data; Do not delete'!D212)</f>
        <v/>
      </c>
      <c r="G202" s="1393"/>
      <c r="H202" s="33"/>
      <c r="J202" s="1394">
        <f ca="1">'Income Data; Do not delete'!F212</f>
        <v>0</v>
      </c>
      <c r="K202" s="1394"/>
      <c r="L202" s="76"/>
      <c r="M202" s="47"/>
    </row>
    <row r="203" spans="1:13" ht="3" customHeight="1" x14ac:dyDescent="0.3">
      <c r="B203" s="86"/>
      <c r="C203" s="29"/>
      <c r="D203" s="29"/>
      <c r="E203" s="29"/>
      <c r="F203" s="29"/>
      <c r="G203" s="29"/>
      <c r="H203" s="33"/>
      <c r="J203" s="93"/>
      <c r="K203" s="93"/>
      <c r="L203" s="76"/>
      <c r="M203" s="47"/>
    </row>
    <row r="204" spans="1:13" ht="12" customHeight="1" x14ac:dyDescent="0.3">
      <c r="B204" s="84"/>
      <c r="C204" s="1395"/>
      <c r="D204" s="1395"/>
      <c r="E204" s="135"/>
      <c r="F204" s="1396"/>
      <c r="G204" s="1396"/>
      <c r="H204" s="33"/>
      <c r="J204" s="1397"/>
      <c r="K204" s="1397"/>
      <c r="L204" s="76"/>
      <c r="M204" s="47"/>
    </row>
    <row r="205" spans="1:13" ht="3" customHeight="1" x14ac:dyDescent="0.3">
      <c r="B205" s="86"/>
      <c r="C205" s="29"/>
      <c r="D205" s="29"/>
      <c r="E205" s="29"/>
      <c r="F205" s="29"/>
      <c r="G205" s="29"/>
      <c r="H205" s="33"/>
      <c r="J205" s="93"/>
      <c r="K205" s="93"/>
      <c r="L205" s="76"/>
      <c r="M205" s="47"/>
    </row>
    <row r="206" spans="1:13" ht="12" customHeight="1" x14ac:dyDescent="0.3">
      <c r="B206" s="29"/>
      <c r="C206" s="1395"/>
      <c r="D206" s="1395"/>
      <c r="E206" s="135"/>
      <c r="F206" s="1396"/>
      <c r="G206" s="1396"/>
      <c r="H206" s="33"/>
      <c r="J206" s="1397"/>
      <c r="K206" s="1397"/>
      <c r="L206" s="76"/>
    </row>
    <row r="207" spans="1:13" ht="3.75" customHeight="1" x14ac:dyDescent="0.3">
      <c r="C207" s="85"/>
      <c r="D207" s="85"/>
      <c r="E207" s="135"/>
      <c r="F207" s="135"/>
      <c r="G207" s="135"/>
      <c r="H207" s="56"/>
      <c r="J207" s="82"/>
      <c r="K207" s="82"/>
      <c r="L207" s="76"/>
    </row>
    <row r="208" spans="1:13" ht="21.6" customHeight="1" thickBot="1" x14ac:dyDescent="0.35">
      <c r="A208" s="228"/>
      <c r="B208" s="228"/>
      <c r="C208" s="1415" t="s">
        <v>128</v>
      </c>
      <c r="D208" s="1415"/>
      <c r="E208" s="1415"/>
      <c r="F208" s="1415"/>
      <c r="G208" s="74"/>
      <c r="H208" s="229">
        <f ca="1">J208</f>
        <v>0</v>
      </c>
      <c r="I208" s="74"/>
      <c r="J208" s="1406">
        <f ca="1">J116+J118+J120+J122+J124+J126+J128+J130+J132+J134+J137+J139+J141+J143+J145+J147+J149+J151+J153+J155+J158+J160+J162+J164+J166+J168+J170+J172+J174+J176+J179+J181+J183+J185+J187+J189+J191+J193+J195+J197+J200+J202+J204+J206</f>
        <v>0</v>
      </c>
      <c r="K208" s="1406"/>
      <c r="L208" s="74"/>
      <c r="M208" s="74"/>
    </row>
    <row r="209" spans="1:13" ht="11.25" customHeight="1" thickTop="1" thickBot="1" x14ac:dyDescent="0.35">
      <c r="J209" s="71"/>
      <c r="K209" s="71"/>
    </row>
    <row r="210" spans="1:13" ht="24.6" customHeight="1" thickTop="1" thickBot="1" x14ac:dyDescent="0.35">
      <c r="C210" s="1418" t="s">
        <v>125</v>
      </c>
      <c r="D210" s="1418"/>
      <c r="E210" s="1418"/>
      <c r="F210" s="1418"/>
      <c r="J210" s="1417">
        <f ca="1">IF(J108&lt;0,J32+J42+J98+J111+J208,J32+J42+J98+J108+J111+J208)</f>
        <v>0</v>
      </c>
      <c r="K210" s="1417"/>
    </row>
    <row r="211" spans="1:13" ht="14.4" customHeight="1" thickTop="1" x14ac:dyDescent="0.3">
      <c r="C211" s="35"/>
      <c r="D211" s="35"/>
      <c r="E211" s="35"/>
      <c r="F211" s="35"/>
      <c r="J211" s="230"/>
      <c r="K211" s="230"/>
    </row>
    <row r="212" spans="1:13" x14ac:dyDescent="0.3">
      <c r="A212" s="1324" t="s">
        <v>1073</v>
      </c>
      <c r="B212" s="1324"/>
      <c r="C212" s="1324"/>
      <c r="D212" s="1324"/>
    </row>
    <row r="213" spans="1:13" ht="13.2" customHeight="1" x14ac:dyDescent="0.3">
      <c r="A213" s="1325"/>
      <c r="B213" s="1325"/>
      <c r="C213" s="1325"/>
      <c r="D213" s="1325"/>
      <c r="E213" s="1325"/>
      <c r="F213" s="1325"/>
      <c r="G213" s="1325"/>
      <c r="H213" s="1325"/>
      <c r="I213" s="1325"/>
      <c r="J213" s="1325"/>
      <c r="K213" s="1325"/>
      <c r="L213" s="1325"/>
      <c r="M213" s="1325"/>
    </row>
    <row r="214" spans="1:13" ht="13.2" customHeight="1" x14ac:dyDescent="0.3">
      <c r="A214" s="1325"/>
      <c r="B214" s="1325"/>
      <c r="C214" s="1325"/>
      <c r="D214" s="1325"/>
      <c r="E214" s="1325"/>
      <c r="F214" s="1325"/>
      <c r="G214" s="1325"/>
      <c r="H214" s="1325"/>
      <c r="I214" s="1325"/>
      <c r="J214" s="1325"/>
      <c r="K214" s="1325"/>
      <c r="L214" s="1325"/>
      <c r="M214" s="1325"/>
    </row>
    <row r="215" spans="1:13" ht="13.2" customHeight="1" x14ac:dyDescent="0.3">
      <c r="A215" s="1325"/>
      <c r="B215" s="1325"/>
      <c r="C215" s="1325"/>
      <c r="D215" s="1325"/>
      <c r="E215" s="1325"/>
      <c r="F215" s="1325"/>
      <c r="G215" s="1325"/>
      <c r="H215" s="1325"/>
      <c r="I215" s="1325"/>
      <c r="J215" s="1325"/>
      <c r="K215" s="1325"/>
      <c r="L215" s="1325"/>
      <c r="M215" s="1325"/>
    </row>
    <row r="216" spans="1:13" ht="13.2" customHeight="1" x14ac:dyDescent="0.3">
      <c r="A216" s="1325"/>
      <c r="B216" s="1325"/>
      <c r="C216" s="1325"/>
      <c r="D216" s="1325"/>
      <c r="E216" s="1325"/>
      <c r="F216" s="1325"/>
      <c r="G216" s="1325"/>
      <c r="H216" s="1325"/>
      <c r="I216" s="1325"/>
      <c r="J216" s="1325"/>
      <c r="K216" s="1325"/>
      <c r="L216" s="1325"/>
      <c r="M216" s="1325"/>
    </row>
    <row r="217" spans="1:13" ht="13.2" customHeight="1" x14ac:dyDescent="0.3">
      <c r="A217" s="1325"/>
      <c r="B217" s="1325"/>
      <c r="C217" s="1325"/>
      <c r="D217" s="1325"/>
      <c r="E217" s="1325"/>
      <c r="F217" s="1325"/>
      <c r="G217" s="1325"/>
      <c r="H217" s="1325"/>
      <c r="I217" s="1325"/>
      <c r="J217" s="1325"/>
      <c r="K217" s="1325"/>
      <c r="L217" s="1325"/>
      <c r="M217" s="1325"/>
    </row>
    <row r="218" spans="1:13" ht="12" customHeight="1" x14ac:dyDescent="0.3">
      <c r="A218" s="778"/>
    </row>
    <row r="221" spans="1:13" x14ac:dyDescent="0.3">
      <c r="J221" s="1419" t="str">
        <f>Version</f>
        <v>Version 2026.1</v>
      </c>
      <c r="K221" s="1419"/>
      <c r="L221" s="1419"/>
      <c r="M221" s="1419"/>
    </row>
  </sheetData>
  <sheetProtection algorithmName="SHA-512" hashValue="9VSfBdvyZcpXK/c3zqxp9OZT5IPGaU4nvhKC0bZQ+BQLMz/VAyRWtak/e/dwt7uY4qA4+9LClFFbdMLIjuET/A==" saltValue="cpd3+l2Gevin2D9lD0zO5g==" spinCount="100000" sheet="1" objects="1" scenarios="1" selectLockedCells="1"/>
  <mergeCells count="326">
    <mergeCell ref="A212:D212"/>
    <mergeCell ref="A213:M217"/>
    <mergeCell ref="C70:D70"/>
    <mergeCell ref="C31:G31"/>
    <mergeCell ref="C40:G40"/>
    <mergeCell ref="C41:G41"/>
    <mergeCell ref="J70:K70"/>
    <mergeCell ref="C72:D72"/>
    <mergeCell ref="F72:G72"/>
    <mergeCell ref="J72:K72"/>
    <mergeCell ref="F76:G76"/>
    <mergeCell ref="J76:K76"/>
    <mergeCell ref="J36:K36"/>
    <mergeCell ref="C36:G36"/>
    <mergeCell ref="J40:K40"/>
    <mergeCell ref="C42:G42"/>
    <mergeCell ref="F56:G56"/>
    <mergeCell ref="J56:K56"/>
    <mergeCell ref="J42:K42"/>
    <mergeCell ref="J46:K46"/>
    <mergeCell ref="J50:K50"/>
    <mergeCell ref="F66:G66"/>
    <mergeCell ref="B44:G44"/>
    <mergeCell ref="J48:K48"/>
    <mergeCell ref="C32:F32"/>
    <mergeCell ref="C29:G29"/>
    <mergeCell ref="J84:K84"/>
    <mergeCell ref="C60:D60"/>
    <mergeCell ref="F60:G60"/>
    <mergeCell ref="J60:K60"/>
    <mergeCell ref="C62:D62"/>
    <mergeCell ref="F62:G62"/>
    <mergeCell ref="J62:K62"/>
    <mergeCell ref="C64:D64"/>
    <mergeCell ref="F64:G64"/>
    <mergeCell ref="J64:K64"/>
    <mergeCell ref="J80:K80"/>
    <mergeCell ref="C82:D82"/>
    <mergeCell ref="F82:G82"/>
    <mergeCell ref="J82:K82"/>
    <mergeCell ref="J38:K38"/>
    <mergeCell ref="C56:D56"/>
    <mergeCell ref="C66:D66"/>
    <mergeCell ref="C50:D50"/>
    <mergeCell ref="J58:K58"/>
    <mergeCell ref="C74:D74"/>
    <mergeCell ref="F74:G74"/>
    <mergeCell ref="F84:G84"/>
    <mergeCell ref="C147:D147"/>
    <mergeCell ref="F147:G147"/>
    <mergeCell ref="J147:K147"/>
    <mergeCell ref="J187:K187"/>
    <mergeCell ref="C166:D166"/>
    <mergeCell ref="F166:G166"/>
    <mergeCell ref="J166:K166"/>
    <mergeCell ref="C168:D168"/>
    <mergeCell ref="F168:G168"/>
    <mergeCell ref="J168:K168"/>
    <mergeCell ref="C183:D183"/>
    <mergeCell ref="F183:G183"/>
    <mergeCell ref="J183:K183"/>
    <mergeCell ref="J172:K172"/>
    <mergeCell ref="C164:D164"/>
    <mergeCell ref="F164:G164"/>
    <mergeCell ref="J164:K164"/>
    <mergeCell ref="C165:G165"/>
    <mergeCell ref="F162:G162"/>
    <mergeCell ref="C170:D170"/>
    <mergeCell ref="C185:D185"/>
    <mergeCell ref="F185:G185"/>
    <mergeCell ref="J185:K185"/>
    <mergeCell ref="C153:D153"/>
    <mergeCell ref="C146:G146"/>
    <mergeCell ref="C38:G38"/>
    <mergeCell ref="C46:D46"/>
    <mergeCell ref="F120:G120"/>
    <mergeCell ref="J120:K120"/>
    <mergeCell ref="C123:F123"/>
    <mergeCell ref="C142:F142"/>
    <mergeCell ref="F141:G141"/>
    <mergeCell ref="J141:K141"/>
    <mergeCell ref="J139:K139"/>
    <mergeCell ref="C137:D137"/>
    <mergeCell ref="C129:G129"/>
    <mergeCell ref="C132:D132"/>
    <mergeCell ref="F132:G132"/>
    <mergeCell ref="C126:D126"/>
    <mergeCell ref="F126:G126"/>
    <mergeCell ref="C121:G121"/>
    <mergeCell ref="F124:G124"/>
    <mergeCell ref="C115:F115"/>
    <mergeCell ref="F48:G48"/>
    <mergeCell ref="F50:G50"/>
    <mergeCell ref="J116:K116"/>
    <mergeCell ref="J122:K122"/>
    <mergeCell ref="C136:F136"/>
    <mergeCell ref="K1:M1"/>
    <mergeCell ref="J221:M221"/>
    <mergeCell ref="F191:G191"/>
    <mergeCell ref="F176:G176"/>
    <mergeCell ref="J191:K191"/>
    <mergeCell ref="J106:K106"/>
    <mergeCell ref="C107:G107"/>
    <mergeCell ref="J181:K181"/>
    <mergeCell ref="J174:K174"/>
    <mergeCell ref="C202:D202"/>
    <mergeCell ref="F202:G202"/>
    <mergeCell ref="J202:K202"/>
    <mergeCell ref="C204:D204"/>
    <mergeCell ref="F204:G204"/>
    <mergeCell ref="J204:K204"/>
    <mergeCell ref="C189:D189"/>
    <mergeCell ref="F189:G189"/>
    <mergeCell ref="J189:K189"/>
    <mergeCell ref="C184:G184"/>
    <mergeCell ref="C187:D187"/>
    <mergeCell ref="F187:G187"/>
    <mergeCell ref="F170:G170"/>
    <mergeCell ref="J170:K170"/>
    <mergeCell ref="C193:D193"/>
    <mergeCell ref="C191:D191"/>
    <mergeCell ref="J200:K200"/>
    <mergeCell ref="C206:D206"/>
    <mergeCell ref="C195:D195"/>
    <mergeCell ref="C197:D197"/>
    <mergeCell ref="F179:G179"/>
    <mergeCell ref="F206:G206"/>
    <mergeCell ref="J206:K206"/>
    <mergeCell ref="F195:G195"/>
    <mergeCell ref="F197:G197"/>
    <mergeCell ref="J179:K179"/>
    <mergeCell ref="F193:G193"/>
    <mergeCell ref="J193:K193"/>
    <mergeCell ref="C208:F208"/>
    <mergeCell ref="J208:K208"/>
    <mergeCell ref="J210:K210"/>
    <mergeCell ref="C210:F210"/>
    <mergeCell ref="J197:K197"/>
    <mergeCell ref="J195:K195"/>
    <mergeCell ref="C199:F199"/>
    <mergeCell ref="C200:D200"/>
    <mergeCell ref="F200:G200"/>
    <mergeCell ref="C176:D176"/>
    <mergeCell ref="C179:D179"/>
    <mergeCell ref="C181:D181"/>
    <mergeCell ref="J176:K176"/>
    <mergeCell ref="F181:G181"/>
    <mergeCell ref="J158:K158"/>
    <mergeCell ref="J160:K160"/>
    <mergeCell ref="F160:G160"/>
    <mergeCell ref="F172:G172"/>
    <mergeCell ref="F174:G174"/>
    <mergeCell ref="C160:D160"/>
    <mergeCell ref="C172:D172"/>
    <mergeCell ref="C174:D174"/>
    <mergeCell ref="J162:K162"/>
    <mergeCell ref="F158:G158"/>
    <mergeCell ref="C178:F178"/>
    <mergeCell ref="J134:K134"/>
    <mergeCell ref="C108:G108"/>
    <mergeCell ref="C106:G106"/>
    <mergeCell ref="C103:F103"/>
    <mergeCell ref="C109:H109"/>
    <mergeCell ref="J132:K132"/>
    <mergeCell ref="C130:D130"/>
    <mergeCell ref="F130:G130"/>
    <mergeCell ref="J118:K118"/>
    <mergeCell ref="C119:G119"/>
    <mergeCell ref="C120:D120"/>
    <mergeCell ref="J104:K104"/>
    <mergeCell ref="C116:D116"/>
    <mergeCell ref="C122:D122"/>
    <mergeCell ref="C124:D124"/>
    <mergeCell ref="C134:D134"/>
    <mergeCell ref="J155:K155"/>
    <mergeCell ref="C162:D162"/>
    <mergeCell ref="J153:K153"/>
    <mergeCell ref="J28:K28"/>
    <mergeCell ref="F151:G151"/>
    <mergeCell ref="C149:D149"/>
    <mergeCell ref="F149:G149"/>
    <mergeCell ref="C151:D151"/>
    <mergeCell ref="J151:K151"/>
    <mergeCell ref="F153:G153"/>
    <mergeCell ref="F155:G155"/>
    <mergeCell ref="C145:D145"/>
    <mergeCell ref="F145:G145"/>
    <mergeCell ref="J145:K145"/>
    <mergeCell ref="C144:G144"/>
    <mergeCell ref="B111:G111"/>
    <mergeCell ref="J111:K111"/>
    <mergeCell ref="C128:D128"/>
    <mergeCell ref="F128:G128"/>
    <mergeCell ref="J128:K128"/>
    <mergeCell ref="J88:K88"/>
    <mergeCell ref="J137:K137"/>
    <mergeCell ref="J124:K124"/>
    <mergeCell ref="J98:K98"/>
    <mergeCell ref="A2:M2"/>
    <mergeCell ref="A3:M3"/>
    <mergeCell ref="J32:K32"/>
    <mergeCell ref="J30:K30"/>
    <mergeCell ref="J8:K8"/>
    <mergeCell ref="J4:K4"/>
    <mergeCell ref="C37:F37"/>
    <mergeCell ref="B34:G34"/>
    <mergeCell ref="J10:K10"/>
    <mergeCell ref="D4:F4"/>
    <mergeCell ref="G4:I4"/>
    <mergeCell ref="F26:G26"/>
    <mergeCell ref="C7:D7"/>
    <mergeCell ref="F14:G14"/>
    <mergeCell ref="C23:F23"/>
    <mergeCell ref="C24:D24"/>
    <mergeCell ref="F24:G24"/>
    <mergeCell ref="J14:K14"/>
    <mergeCell ref="J12:K12"/>
    <mergeCell ref="J26:K26"/>
    <mergeCell ref="J24:K24"/>
    <mergeCell ref="C26:D26"/>
    <mergeCell ref="C25:F25"/>
    <mergeCell ref="C14:D14"/>
    <mergeCell ref="B4:C4"/>
    <mergeCell ref="F8:G8"/>
    <mergeCell ref="F10:G10"/>
    <mergeCell ref="B6:G6"/>
    <mergeCell ref="C8:D8"/>
    <mergeCell ref="C10:D10"/>
    <mergeCell ref="C12:D12"/>
    <mergeCell ref="C13:F13"/>
    <mergeCell ref="F12:G12"/>
    <mergeCell ref="F7:G7"/>
    <mergeCell ref="C15:G15"/>
    <mergeCell ref="C16:D16"/>
    <mergeCell ref="F16:G16"/>
    <mergeCell ref="J16:K16"/>
    <mergeCell ref="C30:D30"/>
    <mergeCell ref="F30:G30"/>
    <mergeCell ref="C20:D20"/>
    <mergeCell ref="F20:G20"/>
    <mergeCell ref="J20:K20"/>
    <mergeCell ref="C28:D28"/>
    <mergeCell ref="F28:G28"/>
    <mergeCell ref="C18:D18"/>
    <mergeCell ref="F18:G18"/>
    <mergeCell ref="J18:K18"/>
    <mergeCell ref="C19:F19"/>
    <mergeCell ref="C21:F21"/>
    <mergeCell ref="C22:D22"/>
    <mergeCell ref="F22:G22"/>
    <mergeCell ref="J22:K22"/>
    <mergeCell ref="F70:G70"/>
    <mergeCell ref="F46:G46"/>
    <mergeCell ref="C52:D52"/>
    <mergeCell ref="F52:G52"/>
    <mergeCell ref="J52:K52"/>
    <mergeCell ref="C53:F53"/>
    <mergeCell ref="C54:D54"/>
    <mergeCell ref="F54:G54"/>
    <mergeCell ref="J54:K54"/>
    <mergeCell ref="C55:G55"/>
    <mergeCell ref="C48:D48"/>
    <mergeCell ref="F88:G88"/>
    <mergeCell ref="C88:D88"/>
    <mergeCell ref="C80:D80"/>
    <mergeCell ref="F80:G80"/>
    <mergeCell ref="C58:D58"/>
    <mergeCell ref="F58:G58"/>
    <mergeCell ref="J143:K143"/>
    <mergeCell ref="C78:D78"/>
    <mergeCell ref="F78:G78"/>
    <mergeCell ref="J78:K78"/>
    <mergeCell ref="C127:G127"/>
    <mergeCell ref="B114:G114"/>
    <mergeCell ref="A113:M113"/>
    <mergeCell ref="J74:K74"/>
    <mergeCell ref="C76:D76"/>
    <mergeCell ref="J66:K66"/>
    <mergeCell ref="C68:D68"/>
    <mergeCell ref="F68:G68"/>
    <mergeCell ref="J68:K68"/>
    <mergeCell ref="C96:D96"/>
    <mergeCell ref="C86:D86"/>
    <mergeCell ref="F86:G86"/>
    <mergeCell ref="J86:K86"/>
    <mergeCell ref="C84:D84"/>
    <mergeCell ref="C89:F89"/>
    <mergeCell ref="C90:D90"/>
    <mergeCell ref="F90:G90"/>
    <mergeCell ref="J90:K90"/>
    <mergeCell ref="C92:D92"/>
    <mergeCell ref="F92:G92"/>
    <mergeCell ref="J92:K92"/>
    <mergeCell ref="C125:F125"/>
    <mergeCell ref="C104:G104"/>
    <mergeCell ref="F96:G96"/>
    <mergeCell ref="F116:G116"/>
    <mergeCell ref="F122:G122"/>
    <mergeCell ref="J96:K96"/>
    <mergeCell ref="B110:G110"/>
    <mergeCell ref="J110:K110"/>
    <mergeCell ref="J108:K108"/>
    <mergeCell ref="J149:K149"/>
    <mergeCell ref="C163:G163"/>
    <mergeCell ref="C118:D118"/>
    <mergeCell ref="F118:G118"/>
    <mergeCell ref="J126:K126"/>
    <mergeCell ref="F143:G143"/>
    <mergeCell ref="C98:F98"/>
    <mergeCell ref="C94:D94"/>
    <mergeCell ref="F94:G94"/>
    <mergeCell ref="J94:K94"/>
    <mergeCell ref="B100:G100"/>
    <mergeCell ref="C102:G102"/>
    <mergeCell ref="J102:K102"/>
    <mergeCell ref="F134:G134"/>
    <mergeCell ref="F137:G137"/>
    <mergeCell ref="F139:G139"/>
    <mergeCell ref="C139:D139"/>
    <mergeCell ref="C141:D141"/>
    <mergeCell ref="C143:D143"/>
    <mergeCell ref="A112:M112"/>
    <mergeCell ref="J130:K130"/>
    <mergeCell ref="C155:D155"/>
    <mergeCell ref="C158:D158"/>
    <mergeCell ref="C157:F157"/>
  </mergeCells>
  <conditionalFormatting sqref="J16:K16">
    <cfRule type="expression" dxfId="1547" priority="21">
      <formula>$F$16="                    Add a worksheet  (copy tab)"</formula>
    </cfRule>
  </conditionalFormatting>
  <conditionalFormatting sqref="J26:K26">
    <cfRule type="expression" dxfId="1546" priority="20">
      <formula>$F$26="                    Add a worksheet  (copy tab)"</formula>
    </cfRule>
  </conditionalFormatting>
  <conditionalFormatting sqref="J18:K18">
    <cfRule type="expression" dxfId="1545" priority="8">
      <formula>$F$26="                    Add a worksheet  (copy tab)"</formula>
    </cfRule>
  </conditionalFormatting>
  <conditionalFormatting sqref="J20:K20">
    <cfRule type="expression" dxfId="1544" priority="7">
      <formula>$F$26="                    Add a worksheet  (copy tab)"</formula>
    </cfRule>
  </conditionalFormatting>
  <conditionalFormatting sqref="J22:K22">
    <cfRule type="expression" dxfId="1543" priority="6">
      <formula>$F$26="                    Add a worksheet  (copy tab)"</formula>
    </cfRule>
  </conditionalFormatting>
  <conditionalFormatting sqref="J24:K24">
    <cfRule type="expression" dxfId="1542" priority="5">
      <formula>$F$26="                    Add a worksheet  (copy tab)"</formula>
    </cfRule>
  </conditionalFormatting>
  <conditionalFormatting sqref="J90:K90">
    <cfRule type="expression" dxfId="1541" priority="2">
      <formula>$F$26="                    Add a worksheet  (copy tab)"</formula>
    </cfRule>
  </conditionalFormatting>
  <conditionalFormatting sqref="J92:K92">
    <cfRule type="expression" dxfId="1540" priority="1">
      <formula>$F$26="                    Add a worksheet  (copy tab)"</formula>
    </cfRule>
  </conditionalFormatting>
  <dataValidations disablePrompts="1" count="1">
    <dataValidation type="custom" allowBlank="1" showInputMessage="1" showErrorMessage="1" errorTitle="Incorrect Entry Type" error="A dollar amount should be entered in this field (ex. 25 or 25.50)" sqref="J28:K28 J30:K30 J38:K38 J40:K40 J94:K94 J96:K96 J104:K104 J106:K106 J132:K132 J134:K134 J153:K153 J155:K155 J174:K174 J176:K176 J195:K195 J197:K197 J204:K204 J206:K206" xr:uid="{5D5765D1-37D6-49EA-B35B-9A17B8943C9F}">
      <formula1>CELL("format")="C2"</formula1>
    </dataValidation>
  </dataValidations>
  <printOptions horizontalCentered="1"/>
  <pageMargins left="0.25" right="0.25" top="0.25" bottom="0.25" header="0.3" footer="0.3"/>
  <pageSetup paperSize="5" scale="94"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5" r:id="rId4" name="Button 3">
              <controlPr defaultSize="0" print="0" autoFill="0" autoPict="0" macro="[0]!IW_Home">
                <anchor moveWithCells="1" sizeWithCells="1">
                  <from>
                    <xdr:col>0</xdr:col>
                    <xdr:colOff>0</xdr:colOff>
                    <xdr:row>0</xdr:row>
                    <xdr:rowOff>0</xdr:rowOff>
                  </from>
                  <to>
                    <xdr:col>1</xdr:col>
                    <xdr:colOff>83820</xdr:colOff>
                    <xdr:row>1</xdr:row>
                    <xdr:rowOff>114300</xdr:rowOff>
                  </to>
                </anchor>
              </controlPr>
            </control>
          </mc:Choice>
        </mc:AlternateContent>
        <mc:AlternateContent xmlns:mc="http://schemas.openxmlformats.org/markup-compatibility/2006">
          <mc:Choice Requires="x14">
            <control shapeId="95236" r:id="rId5" name="Button 4">
              <controlPr defaultSize="0" print="0" autoFill="0" autoPict="0" macro="[0]!IncomeSummary_Clear">
                <anchor moveWithCells="1" sizeWithCells="1">
                  <from>
                    <xdr:col>2</xdr:col>
                    <xdr:colOff>53340</xdr:colOff>
                    <xdr:row>0</xdr:row>
                    <xdr:rowOff>0</xdr:rowOff>
                  </from>
                  <to>
                    <xdr:col>2</xdr:col>
                    <xdr:colOff>472440</xdr:colOff>
                    <xdr:row>1</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M65"/>
  <sheetViews>
    <sheetView showGridLines="0" showRowColHeaders="0" showRuler="0" view="pageLayout" zoomScale="90" zoomScaleNormal="100" zoomScalePageLayoutView="90" workbookViewId="0">
      <selection activeCell="A8" sqref="A8:M19"/>
    </sheetView>
  </sheetViews>
  <sheetFormatPr defaultColWidth="9.109375" defaultRowHeight="14.4" x14ac:dyDescent="0.3"/>
  <cols>
    <col min="1" max="1" width="4.88671875" style="15" customWidth="1"/>
    <col min="2" max="2" width="3.6640625" style="15" customWidth="1"/>
    <col min="3" max="3" width="6.5546875" customWidth="1"/>
    <col min="4" max="4" width="11.88671875" customWidth="1"/>
    <col min="5" max="5" width="0.6640625" customWidth="1"/>
    <col min="6" max="6" width="25.6640625" customWidth="1"/>
    <col min="7" max="7" width="23.21875" customWidth="1"/>
    <col min="8" max="8" width="5.21875" customWidth="1"/>
    <col min="9" max="9" width="1.33203125" customWidth="1"/>
    <col min="10" max="10" width="8.109375" customWidth="1"/>
    <col min="11" max="11" width="9.109375" customWidth="1"/>
    <col min="12" max="12" width="1.33203125" customWidth="1"/>
    <col min="13" max="13" width="3.88671875" customWidth="1"/>
  </cols>
  <sheetData>
    <row r="1" spans="1:13" x14ac:dyDescent="0.3">
      <c r="K1" s="1245"/>
      <c r="L1" s="1245"/>
      <c r="M1" s="1245"/>
    </row>
    <row r="2" spans="1:13" ht="36" customHeight="1" x14ac:dyDescent="0.5">
      <c r="A2" s="1321" t="s">
        <v>205</v>
      </c>
      <c r="B2" s="1321"/>
      <c r="C2" s="1321"/>
      <c r="D2" s="1321"/>
      <c r="E2" s="1321"/>
      <c r="F2" s="1321"/>
      <c r="G2" s="1321"/>
      <c r="H2" s="1321"/>
      <c r="I2" s="1321"/>
      <c r="J2" s="1321"/>
      <c r="K2" s="1321"/>
      <c r="L2" s="1321"/>
      <c r="M2" s="1321"/>
    </row>
    <row r="3" spans="1:13" ht="15" customHeight="1" x14ac:dyDescent="0.45">
      <c r="A3" s="1409"/>
      <c r="B3" s="1409"/>
      <c r="C3" s="1409"/>
      <c r="D3" s="1409"/>
      <c r="E3" s="1409"/>
      <c r="F3" s="1409"/>
      <c r="G3" s="1409"/>
      <c r="H3" s="1409"/>
      <c r="I3" s="1409"/>
      <c r="J3" s="1409"/>
      <c r="K3" s="1409"/>
      <c r="L3" s="1409"/>
      <c r="M3" s="1409"/>
    </row>
    <row r="4" spans="1:13" ht="15.6" x14ac:dyDescent="0.3">
      <c r="A4" s="1407" t="s">
        <v>15</v>
      </c>
      <c r="B4" s="1407"/>
      <c r="C4" s="1407"/>
      <c r="D4" s="1412" t="str">
        <f>IF('I&amp;D Worksheet'!D5:G5="","",'I&amp;D Worksheet'!D5:G5)</f>
        <v/>
      </c>
      <c r="E4" s="1412"/>
      <c r="F4" s="1412"/>
      <c r="G4" s="1413" t="s">
        <v>109</v>
      </c>
      <c r="H4" s="1413"/>
      <c r="I4" s="1413"/>
      <c r="J4" s="1410" t="str">
        <f>IF('I&amp;D Worksheet'!L6="","",'I&amp;D Worksheet'!L6)</f>
        <v/>
      </c>
      <c r="K4" s="1410"/>
      <c r="L4" s="5"/>
      <c r="M4" s="2"/>
    </row>
    <row r="5" spans="1:13" ht="11.25" customHeight="1" x14ac:dyDescent="0.3">
      <c r="A5" s="4"/>
      <c r="B5" s="4"/>
      <c r="C5" s="4"/>
      <c r="D5" s="10"/>
      <c r="E5" s="10"/>
      <c r="F5" s="10"/>
      <c r="G5" s="10"/>
      <c r="H5" s="3"/>
      <c r="I5" s="2"/>
      <c r="J5" s="69"/>
      <c r="K5" s="70"/>
      <c r="L5" s="133"/>
      <c r="M5" s="2"/>
    </row>
    <row r="6" spans="1:13" ht="40.200000000000003" customHeight="1" x14ac:dyDescent="0.3">
      <c r="B6" s="1426" t="s">
        <v>1125</v>
      </c>
      <c r="C6" s="1426"/>
      <c r="D6" s="1426"/>
      <c r="E6" s="1426"/>
      <c r="F6" s="1426"/>
      <c r="G6" s="1426"/>
      <c r="H6" s="1426"/>
      <c r="I6" s="1426"/>
      <c r="J6" s="1426"/>
      <c r="K6" s="1426"/>
      <c r="L6" s="832"/>
      <c r="M6" s="832"/>
    </row>
    <row r="7" spans="1:13" ht="15.6" x14ac:dyDescent="0.3">
      <c r="A7" s="1427" t="s">
        <v>1119</v>
      </c>
      <c r="B7" s="1427"/>
      <c r="C7" s="1428" t="s">
        <v>1120</v>
      </c>
      <c r="D7" s="1428"/>
      <c r="E7" s="1429" t="s">
        <v>1121</v>
      </c>
      <c r="F7" s="1429"/>
      <c r="G7" s="1429"/>
    </row>
    <row r="8" spans="1:13" x14ac:dyDescent="0.3">
      <c r="A8" s="1325"/>
      <c r="B8" s="1325"/>
      <c r="C8" s="1325"/>
      <c r="D8" s="1325"/>
      <c r="E8" s="1325"/>
      <c r="F8" s="1325"/>
      <c r="G8" s="1325"/>
      <c r="H8" s="1325"/>
      <c r="I8" s="1325"/>
      <c r="J8" s="1325"/>
      <c r="K8" s="1325"/>
      <c r="L8" s="1325"/>
      <c r="M8" s="1325"/>
    </row>
    <row r="9" spans="1:13" x14ac:dyDescent="0.3">
      <c r="A9" s="1325"/>
      <c r="B9" s="1325"/>
      <c r="C9" s="1325"/>
      <c r="D9" s="1325"/>
      <c r="E9" s="1325"/>
      <c r="F9" s="1325"/>
      <c r="G9" s="1325"/>
      <c r="H9" s="1325"/>
      <c r="I9" s="1325"/>
      <c r="J9" s="1325"/>
      <c r="K9" s="1325"/>
      <c r="L9" s="1325"/>
      <c r="M9" s="1325"/>
    </row>
    <row r="10" spans="1:13" ht="12" customHeight="1" x14ac:dyDescent="0.3">
      <c r="A10" s="1325"/>
      <c r="B10" s="1325"/>
      <c r="C10" s="1325"/>
      <c r="D10" s="1325"/>
      <c r="E10" s="1325"/>
      <c r="F10" s="1325"/>
      <c r="G10" s="1325"/>
      <c r="H10" s="1325"/>
      <c r="I10" s="1325"/>
      <c r="J10" s="1325"/>
      <c r="K10" s="1325"/>
      <c r="L10" s="1325"/>
      <c r="M10" s="1325"/>
    </row>
    <row r="11" spans="1:13" x14ac:dyDescent="0.3">
      <c r="A11" s="1325"/>
      <c r="B11" s="1325"/>
      <c r="C11" s="1325"/>
      <c r="D11" s="1325"/>
      <c r="E11" s="1325"/>
      <c r="F11" s="1325"/>
      <c r="G11" s="1325"/>
      <c r="H11" s="1325"/>
      <c r="I11" s="1325"/>
      <c r="J11" s="1325"/>
      <c r="K11" s="1325"/>
      <c r="L11" s="1325"/>
      <c r="M11" s="1325"/>
    </row>
    <row r="12" spans="1:13" x14ac:dyDescent="0.3">
      <c r="A12" s="1325"/>
      <c r="B12" s="1325"/>
      <c r="C12" s="1325"/>
      <c r="D12" s="1325"/>
      <c r="E12" s="1325"/>
      <c r="F12" s="1325"/>
      <c r="G12" s="1325"/>
      <c r="H12" s="1325"/>
      <c r="I12" s="1325"/>
      <c r="J12" s="1325"/>
      <c r="K12" s="1325"/>
      <c r="L12" s="1325"/>
      <c r="M12" s="1325"/>
    </row>
    <row r="13" spans="1:13" x14ac:dyDescent="0.3">
      <c r="A13" s="1325"/>
      <c r="B13" s="1325"/>
      <c r="C13" s="1325"/>
      <c r="D13" s="1325"/>
      <c r="E13" s="1325"/>
      <c r="F13" s="1325"/>
      <c r="G13" s="1325"/>
      <c r="H13" s="1325"/>
      <c r="I13" s="1325"/>
      <c r="J13" s="1325"/>
      <c r="K13" s="1325"/>
      <c r="L13" s="1325"/>
      <c r="M13" s="1325"/>
    </row>
    <row r="14" spans="1:13" x14ac:dyDescent="0.3">
      <c r="A14" s="1325"/>
      <c r="B14" s="1325"/>
      <c r="C14" s="1325"/>
      <c r="D14" s="1325"/>
      <c r="E14" s="1325"/>
      <c r="F14" s="1325"/>
      <c r="G14" s="1325"/>
      <c r="H14" s="1325"/>
      <c r="I14" s="1325"/>
      <c r="J14" s="1325"/>
      <c r="K14" s="1325"/>
      <c r="L14" s="1325"/>
      <c r="M14" s="1325"/>
    </row>
    <row r="15" spans="1:13" x14ac:dyDescent="0.3">
      <c r="A15" s="1325"/>
      <c r="B15" s="1325"/>
      <c r="C15" s="1325"/>
      <c r="D15" s="1325"/>
      <c r="E15" s="1325"/>
      <c r="F15" s="1325"/>
      <c r="G15" s="1325"/>
      <c r="H15" s="1325"/>
      <c r="I15" s="1325"/>
      <c r="J15" s="1325"/>
      <c r="K15" s="1325"/>
      <c r="L15" s="1325"/>
      <c r="M15" s="1325"/>
    </row>
    <row r="16" spans="1:13" x14ac:dyDescent="0.3">
      <c r="A16" s="1325"/>
      <c r="B16" s="1325"/>
      <c r="C16" s="1325"/>
      <c r="D16" s="1325"/>
      <c r="E16" s="1325"/>
      <c r="F16" s="1325"/>
      <c r="G16" s="1325"/>
      <c r="H16" s="1325"/>
      <c r="I16" s="1325"/>
      <c r="J16" s="1325"/>
      <c r="K16" s="1325"/>
      <c r="L16" s="1325"/>
      <c r="M16" s="1325"/>
    </row>
    <row r="17" spans="1:13" x14ac:dyDescent="0.3">
      <c r="A17" s="1325"/>
      <c r="B17" s="1325"/>
      <c r="C17" s="1325"/>
      <c r="D17" s="1325"/>
      <c r="E17" s="1325"/>
      <c r="F17" s="1325"/>
      <c r="G17" s="1325"/>
      <c r="H17" s="1325"/>
      <c r="I17" s="1325"/>
      <c r="J17" s="1325"/>
      <c r="K17" s="1325"/>
      <c r="L17" s="1325"/>
      <c r="M17" s="1325"/>
    </row>
    <row r="18" spans="1:13" x14ac:dyDescent="0.3">
      <c r="A18" s="1325"/>
      <c r="B18" s="1325"/>
      <c r="C18" s="1325"/>
      <c r="D18" s="1325"/>
      <c r="E18" s="1325"/>
      <c r="F18" s="1325"/>
      <c r="G18" s="1325"/>
      <c r="H18" s="1325"/>
      <c r="I18" s="1325"/>
      <c r="J18" s="1325"/>
      <c r="K18" s="1325"/>
      <c r="L18" s="1325"/>
      <c r="M18" s="1325"/>
    </row>
    <row r="19" spans="1:13" x14ac:dyDescent="0.3">
      <c r="A19" s="1325"/>
      <c r="B19" s="1325"/>
      <c r="C19" s="1325"/>
      <c r="D19" s="1325"/>
      <c r="E19" s="1325"/>
      <c r="F19" s="1325"/>
      <c r="G19" s="1325"/>
      <c r="H19" s="1325"/>
      <c r="I19" s="1325"/>
      <c r="J19" s="1325"/>
      <c r="K19" s="1325"/>
      <c r="L19" s="1325"/>
      <c r="M19" s="1325"/>
    </row>
    <row r="20" spans="1:13" ht="15.75" customHeight="1" x14ac:dyDescent="0.3">
      <c r="A20" s="778"/>
    </row>
    <row r="21" spans="1:13" ht="15.6" x14ac:dyDescent="0.3">
      <c r="A21" s="1427" t="s">
        <v>202</v>
      </c>
      <c r="B21" s="1427"/>
      <c r="C21" s="3"/>
      <c r="D21" s="3"/>
      <c r="E21" s="1429" t="s">
        <v>1124</v>
      </c>
      <c r="F21" s="1429"/>
      <c r="G21" s="1429"/>
    </row>
    <row r="22" spans="1:13" x14ac:dyDescent="0.3">
      <c r="A22" s="1325"/>
      <c r="B22" s="1325"/>
      <c r="C22" s="1325"/>
      <c r="D22" s="1325"/>
      <c r="E22" s="1325"/>
      <c r="F22" s="1325"/>
      <c r="G22" s="1325"/>
      <c r="H22" s="1325"/>
      <c r="I22" s="1325"/>
      <c r="J22" s="1325"/>
      <c r="K22" s="1325"/>
      <c r="L22" s="1325"/>
      <c r="M22" s="1325"/>
    </row>
    <row r="23" spans="1:13" x14ac:dyDescent="0.3">
      <c r="A23" s="1325"/>
      <c r="B23" s="1325"/>
      <c r="C23" s="1325"/>
      <c r="D23" s="1325"/>
      <c r="E23" s="1325"/>
      <c r="F23" s="1325"/>
      <c r="G23" s="1325"/>
      <c r="H23" s="1325"/>
      <c r="I23" s="1325"/>
      <c r="J23" s="1325"/>
      <c r="K23" s="1325"/>
      <c r="L23" s="1325"/>
      <c r="M23" s="1325"/>
    </row>
    <row r="24" spans="1:13" x14ac:dyDescent="0.3">
      <c r="A24" s="1325"/>
      <c r="B24" s="1325"/>
      <c r="C24" s="1325"/>
      <c r="D24" s="1325"/>
      <c r="E24" s="1325"/>
      <c r="F24" s="1325"/>
      <c r="G24" s="1325"/>
      <c r="H24" s="1325"/>
      <c r="I24" s="1325"/>
      <c r="J24" s="1325"/>
      <c r="K24" s="1325"/>
      <c r="L24" s="1325"/>
      <c r="M24" s="1325"/>
    </row>
    <row r="25" spans="1:13" x14ac:dyDescent="0.3">
      <c r="A25" s="1325"/>
      <c r="B25" s="1325"/>
      <c r="C25" s="1325"/>
      <c r="D25" s="1325"/>
      <c r="E25" s="1325"/>
      <c r="F25" s="1325"/>
      <c r="G25" s="1325"/>
      <c r="H25" s="1325"/>
      <c r="I25" s="1325"/>
      <c r="J25" s="1325"/>
      <c r="K25" s="1325"/>
      <c r="L25" s="1325"/>
      <c r="M25" s="1325"/>
    </row>
    <row r="26" spans="1:13" x14ac:dyDescent="0.3">
      <c r="A26" s="1325"/>
      <c r="B26" s="1325"/>
      <c r="C26" s="1325"/>
      <c r="D26" s="1325"/>
      <c r="E26" s="1325"/>
      <c r="F26" s="1325"/>
      <c r="G26" s="1325"/>
      <c r="H26" s="1325"/>
      <c r="I26" s="1325"/>
      <c r="J26" s="1325"/>
      <c r="K26" s="1325"/>
      <c r="L26" s="1325"/>
      <c r="M26" s="1325"/>
    </row>
    <row r="27" spans="1:13" x14ac:dyDescent="0.3">
      <c r="A27" s="1325"/>
      <c r="B27" s="1325"/>
      <c r="C27" s="1325"/>
      <c r="D27" s="1325"/>
      <c r="E27" s="1325"/>
      <c r="F27" s="1325"/>
      <c r="G27" s="1325"/>
      <c r="H27" s="1325"/>
      <c r="I27" s="1325"/>
      <c r="J27" s="1325"/>
      <c r="K27" s="1325"/>
      <c r="L27" s="1325"/>
      <c r="M27" s="1325"/>
    </row>
    <row r="28" spans="1:13" x14ac:dyDescent="0.3">
      <c r="A28" s="1325"/>
      <c r="B28" s="1325"/>
      <c r="C28" s="1325"/>
      <c r="D28" s="1325"/>
      <c r="E28" s="1325"/>
      <c r="F28" s="1325"/>
      <c r="G28" s="1325"/>
      <c r="H28" s="1325"/>
      <c r="I28" s="1325"/>
      <c r="J28" s="1325"/>
      <c r="K28" s="1325"/>
      <c r="L28" s="1325"/>
      <c r="M28" s="1325"/>
    </row>
    <row r="29" spans="1:13" x14ac:dyDescent="0.3">
      <c r="A29" s="1325"/>
      <c r="B29" s="1325"/>
      <c r="C29" s="1325"/>
      <c r="D29" s="1325"/>
      <c r="E29" s="1325"/>
      <c r="F29" s="1325"/>
      <c r="G29" s="1325"/>
      <c r="H29" s="1325"/>
      <c r="I29" s="1325"/>
      <c r="J29" s="1325"/>
      <c r="K29" s="1325"/>
      <c r="L29" s="1325"/>
      <c r="M29" s="1325"/>
    </row>
    <row r="30" spans="1:13" x14ac:dyDescent="0.3">
      <c r="A30" s="1325"/>
      <c r="B30" s="1325"/>
      <c r="C30" s="1325"/>
      <c r="D30" s="1325"/>
      <c r="E30" s="1325"/>
      <c r="F30" s="1325"/>
      <c r="G30" s="1325"/>
      <c r="H30" s="1325"/>
      <c r="I30" s="1325"/>
      <c r="J30" s="1325"/>
      <c r="K30" s="1325"/>
      <c r="L30" s="1325"/>
      <c r="M30" s="1325"/>
    </row>
    <row r="31" spans="1:13" x14ac:dyDescent="0.3">
      <c r="A31" s="1325"/>
      <c r="B31" s="1325"/>
      <c r="C31" s="1325"/>
      <c r="D31" s="1325"/>
      <c r="E31" s="1325"/>
      <c r="F31" s="1325"/>
      <c r="G31" s="1325"/>
      <c r="H31" s="1325"/>
      <c r="I31" s="1325"/>
      <c r="J31" s="1325"/>
      <c r="K31" s="1325"/>
      <c r="L31" s="1325"/>
      <c r="M31" s="1325"/>
    </row>
    <row r="32" spans="1:13" x14ac:dyDescent="0.3">
      <c r="A32" s="1325"/>
      <c r="B32" s="1325"/>
      <c r="C32" s="1325"/>
      <c r="D32" s="1325"/>
      <c r="E32" s="1325"/>
      <c r="F32" s="1325"/>
      <c r="G32" s="1325"/>
      <c r="H32" s="1325"/>
      <c r="I32" s="1325"/>
      <c r="J32" s="1325"/>
      <c r="K32" s="1325"/>
      <c r="L32" s="1325"/>
      <c r="M32" s="1325"/>
    </row>
    <row r="33" spans="1:13" x14ac:dyDescent="0.3">
      <c r="A33" s="1325"/>
      <c r="B33" s="1325"/>
      <c r="C33" s="1325"/>
      <c r="D33" s="1325"/>
      <c r="E33" s="1325"/>
      <c r="F33" s="1325"/>
      <c r="G33" s="1325"/>
      <c r="H33" s="1325"/>
      <c r="I33" s="1325"/>
      <c r="J33" s="1325"/>
      <c r="K33" s="1325"/>
      <c r="L33" s="1325"/>
      <c r="M33" s="1325"/>
    </row>
    <row r="34" spans="1:13" x14ac:dyDescent="0.3">
      <c r="A34" s="778"/>
    </row>
    <row r="35" spans="1:13" ht="15.6" x14ac:dyDescent="0.3">
      <c r="A35" s="1427" t="s">
        <v>201</v>
      </c>
      <c r="B35" s="1427"/>
      <c r="C35" s="3"/>
      <c r="D35" s="3"/>
      <c r="E35" s="1429" t="s">
        <v>1123</v>
      </c>
      <c r="F35" s="1429"/>
      <c r="G35" s="1429"/>
    </row>
    <row r="36" spans="1:13" x14ac:dyDescent="0.3">
      <c r="A36" s="1325"/>
      <c r="B36" s="1325"/>
      <c r="C36" s="1325"/>
      <c r="D36" s="1325"/>
      <c r="E36" s="1325"/>
      <c r="F36" s="1325"/>
      <c r="G36" s="1325"/>
      <c r="H36" s="1325"/>
      <c r="I36" s="1325"/>
      <c r="J36" s="1325"/>
      <c r="K36" s="1325"/>
      <c r="L36" s="1325"/>
      <c r="M36" s="1325"/>
    </row>
    <row r="37" spans="1:13" x14ac:dyDescent="0.3">
      <c r="A37" s="1325"/>
      <c r="B37" s="1325"/>
      <c r="C37" s="1325"/>
      <c r="D37" s="1325"/>
      <c r="E37" s="1325"/>
      <c r="F37" s="1325"/>
      <c r="G37" s="1325"/>
      <c r="H37" s="1325"/>
      <c r="I37" s="1325"/>
      <c r="J37" s="1325"/>
      <c r="K37" s="1325"/>
      <c r="L37" s="1325"/>
      <c r="M37" s="1325"/>
    </row>
    <row r="38" spans="1:13" x14ac:dyDescent="0.3">
      <c r="A38" s="1325"/>
      <c r="B38" s="1325"/>
      <c r="C38" s="1325"/>
      <c r="D38" s="1325"/>
      <c r="E38" s="1325"/>
      <c r="F38" s="1325"/>
      <c r="G38" s="1325"/>
      <c r="H38" s="1325"/>
      <c r="I38" s="1325"/>
      <c r="J38" s="1325"/>
      <c r="K38" s="1325"/>
      <c r="L38" s="1325"/>
      <c r="M38" s="1325"/>
    </row>
    <row r="39" spans="1:13" x14ac:dyDescent="0.3">
      <c r="A39" s="1325"/>
      <c r="B39" s="1325"/>
      <c r="C39" s="1325"/>
      <c r="D39" s="1325"/>
      <c r="E39" s="1325"/>
      <c r="F39" s="1325"/>
      <c r="G39" s="1325"/>
      <c r="H39" s="1325"/>
      <c r="I39" s="1325"/>
      <c r="J39" s="1325"/>
      <c r="K39" s="1325"/>
      <c r="L39" s="1325"/>
      <c r="M39" s="1325"/>
    </row>
    <row r="40" spans="1:13" x14ac:dyDescent="0.3">
      <c r="A40" s="1325"/>
      <c r="B40" s="1325"/>
      <c r="C40" s="1325"/>
      <c r="D40" s="1325"/>
      <c r="E40" s="1325"/>
      <c r="F40" s="1325"/>
      <c r="G40" s="1325"/>
      <c r="H40" s="1325"/>
      <c r="I40" s="1325"/>
      <c r="J40" s="1325"/>
      <c r="K40" s="1325"/>
      <c r="L40" s="1325"/>
      <c r="M40" s="1325"/>
    </row>
    <row r="41" spans="1:13" x14ac:dyDescent="0.3">
      <c r="A41" s="1325"/>
      <c r="B41" s="1325"/>
      <c r="C41" s="1325"/>
      <c r="D41" s="1325"/>
      <c r="E41" s="1325"/>
      <c r="F41" s="1325"/>
      <c r="G41" s="1325"/>
      <c r="H41" s="1325"/>
      <c r="I41" s="1325"/>
      <c r="J41" s="1325"/>
      <c r="K41" s="1325"/>
      <c r="L41" s="1325"/>
      <c r="M41" s="1325"/>
    </row>
    <row r="42" spans="1:13" x14ac:dyDescent="0.3">
      <c r="A42" s="1325"/>
      <c r="B42" s="1325"/>
      <c r="C42" s="1325"/>
      <c r="D42" s="1325"/>
      <c r="E42" s="1325"/>
      <c r="F42" s="1325"/>
      <c r="G42" s="1325"/>
      <c r="H42" s="1325"/>
      <c r="I42" s="1325"/>
      <c r="J42" s="1325"/>
      <c r="K42" s="1325"/>
      <c r="L42" s="1325"/>
      <c r="M42" s="1325"/>
    </row>
    <row r="43" spans="1:13" x14ac:dyDescent="0.3">
      <c r="A43" s="1325"/>
      <c r="B43" s="1325"/>
      <c r="C43" s="1325"/>
      <c r="D43" s="1325"/>
      <c r="E43" s="1325"/>
      <c r="F43" s="1325"/>
      <c r="G43" s="1325"/>
      <c r="H43" s="1325"/>
      <c r="I43" s="1325"/>
      <c r="J43" s="1325"/>
      <c r="K43" s="1325"/>
      <c r="L43" s="1325"/>
      <c r="M43" s="1325"/>
    </row>
    <row r="44" spans="1:13" x14ac:dyDescent="0.3">
      <c r="A44" s="1325"/>
      <c r="B44" s="1325"/>
      <c r="C44" s="1325"/>
      <c r="D44" s="1325"/>
      <c r="E44" s="1325"/>
      <c r="F44" s="1325"/>
      <c r="G44" s="1325"/>
      <c r="H44" s="1325"/>
      <c r="I44" s="1325"/>
      <c r="J44" s="1325"/>
      <c r="K44" s="1325"/>
      <c r="L44" s="1325"/>
      <c r="M44" s="1325"/>
    </row>
    <row r="45" spans="1:13" x14ac:dyDescent="0.3">
      <c r="A45" s="1325"/>
      <c r="B45" s="1325"/>
      <c r="C45" s="1325"/>
      <c r="D45" s="1325"/>
      <c r="E45" s="1325"/>
      <c r="F45" s="1325"/>
      <c r="G45" s="1325"/>
      <c r="H45" s="1325"/>
      <c r="I45" s="1325"/>
      <c r="J45" s="1325"/>
      <c r="K45" s="1325"/>
      <c r="L45" s="1325"/>
      <c r="M45" s="1325"/>
    </row>
    <row r="46" spans="1:13" x14ac:dyDescent="0.3">
      <c r="A46" s="1325"/>
      <c r="B46" s="1325"/>
      <c r="C46" s="1325"/>
      <c r="D46" s="1325"/>
      <c r="E46" s="1325"/>
      <c r="F46" s="1325"/>
      <c r="G46" s="1325"/>
      <c r="H46" s="1325"/>
      <c r="I46" s="1325"/>
      <c r="J46" s="1325"/>
      <c r="K46" s="1325"/>
      <c r="L46" s="1325"/>
      <c r="M46" s="1325"/>
    </row>
    <row r="47" spans="1:13" x14ac:dyDescent="0.3">
      <c r="A47" s="1325"/>
      <c r="B47" s="1325"/>
      <c r="C47" s="1325"/>
      <c r="D47" s="1325"/>
      <c r="E47" s="1325"/>
      <c r="F47" s="1325"/>
      <c r="G47" s="1325"/>
      <c r="H47" s="1325"/>
      <c r="I47" s="1325"/>
      <c r="J47" s="1325"/>
      <c r="K47" s="1325"/>
      <c r="L47" s="1325"/>
      <c r="M47" s="1325"/>
    </row>
    <row r="48" spans="1:13" x14ac:dyDescent="0.3">
      <c r="A48" s="778"/>
    </row>
    <row r="49" spans="1:13" ht="15.6" x14ac:dyDescent="0.3">
      <c r="A49" s="1427" t="s">
        <v>203</v>
      </c>
      <c r="B49" s="1427"/>
      <c r="C49" s="1427"/>
      <c r="D49" s="1427"/>
      <c r="E49" s="1429" t="s">
        <v>1122</v>
      </c>
      <c r="F49" s="1429"/>
      <c r="G49" s="1429"/>
    </row>
    <row r="50" spans="1:13" x14ac:dyDescent="0.3">
      <c r="A50" s="1325"/>
      <c r="B50" s="1325"/>
      <c r="C50" s="1325"/>
      <c r="D50" s="1325"/>
      <c r="E50" s="1325"/>
      <c r="F50" s="1325"/>
      <c r="G50" s="1325"/>
      <c r="H50" s="1325"/>
      <c r="I50" s="1325"/>
      <c r="J50" s="1325"/>
      <c r="K50" s="1325"/>
      <c r="L50" s="1325"/>
      <c r="M50" s="1325"/>
    </row>
    <row r="51" spans="1:13" x14ac:dyDescent="0.3">
      <c r="A51" s="1325"/>
      <c r="B51" s="1325"/>
      <c r="C51" s="1325"/>
      <c r="D51" s="1325"/>
      <c r="E51" s="1325"/>
      <c r="F51" s="1325"/>
      <c r="G51" s="1325"/>
      <c r="H51" s="1325"/>
      <c r="I51" s="1325"/>
      <c r="J51" s="1325"/>
      <c r="K51" s="1325"/>
      <c r="L51" s="1325"/>
      <c r="M51" s="1325"/>
    </row>
    <row r="52" spans="1:13" x14ac:dyDescent="0.3">
      <c r="A52" s="1325"/>
      <c r="B52" s="1325"/>
      <c r="C52" s="1325"/>
      <c r="D52" s="1325"/>
      <c r="E52" s="1325"/>
      <c r="F52" s="1325"/>
      <c r="G52" s="1325"/>
      <c r="H52" s="1325"/>
      <c r="I52" s="1325"/>
      <c r="J52" s="1325"/>
      <c r="K52" s="1325"/>
      <c r="L52" s="1325"/>
      <c r="M52" s="1325"/>
    </row>
    <row r="53" spans="1:13" x14ac:dyDescent="0.3">
      <c r="A53" s="1325"/>
      <c r="B53" s="1325"/>
      <c r="C53" s="1325"/>
      <c r="D53" s="1325"/>
      <c r="E53" s="1325"/>
      <c r="F53" s="1325"/>
      <c r="G53" s="1325"/>
      <c r="H53" s="1325"/>
      <c r="I53" s="1325"/>
      <c r="J53" s="1325"/>
      <c r="K53" s="1325"/>
      <c r="L53" s="1325"/>
      <c r="M53" s="1325"/>
    </row>
    <row r="54" spans="1:13" x14ac:dyDescent="0.3">
      <c r="A54" s="1325"/>
      <c r="B54" s="1325"/>
      <c r="C54" s="1325"/>
      <c r="D54" s="1325"/>
      <c r="E54" s="1325"/>
      <c r="F54" s="1325"/>
      <c r="G54" s="1325"/>
      <c r="H54" s="1325"/>
      <c r="I54" s="1325"/>
      <c r="J54" s="1325"/>
      <c r="K54" s="1325"/>
      <c r="L54" s="1325"/>
      <c r="M54" s="1325"/>
    </row>
    <row r="55" spans="1:13" x14ac:dyDescent="0.3">
      <c r="A55" s="1325"/>
      <c r="B55" s="1325"/>
      <c r="C55" s="1325"/>
      <c r="D55" s="1325"/>
      <c r="E55" s="1325"/>
      <c r="F55" s="1325"/>
      <c r="G55" s="1325"/>
      <c r="H55" s="1325"/>
      <c r="I55" s="1325"/>
      <c r="J55" s="1325"/>
      <c r="K55" s="1325"/>
      <c r="L55" s="1325"/>
      <c r="M55" s="1325"/>
    </row>
    <row r="56" spans="1:13" x14ac:dyDescent="0.3">
      <c r="A56" s="1325"/>
      <c r="B56" s="1325"/>
      <c r="C56" s="1325"/>
      <c r="D56" s="1325"/>
      <c r="E56" s="1325"/>
      <c r="F56" s="1325"/>
      <c r="G56" s="1325"/>
      <c r="H56" s="1325"/>
      <c r="I56" s="1325"/>
      <c r="J56" s="1325"/>
      <c r="K56" s="1325"/>
      <c r="L56" s="1325"/>
      <c r="M56" s="1325"/>
    </row>
    <row r="57" spans="1:13" x14ac:dyDescent="0.3">
      <c r="A57" s="1325"/>
      <c r="B57" s="1325"/>
      <c r="C57" s="1325"/>
      <c r="D57" s="1325"/>
      <c r="E57" s="1325"/>
      <c r="F57" s="1325"/>
      <c r="G57" s="1325"/>
      <c r="H57" s="1325"/>
      <c r="I57" s="1325"/>
      <c r="J57" s="1325"/>
      <c r="K57" s="1325"/>
      <c r="L57" s="1325"/>
      <c r="M57" s="1325"/>
    </row>
    <row r="58" spans="1:13" x14ac:dyDescent="0.3">
      <c r="A58" s="1325"/>
      <c r="B58" s="1325"/>
      <c r="C58" s="1325"/>
      <c r="D58" s="1325"/>
      <c r="E58" s="1325"/>
      <c r="F58" s="1325"/>
      <c r="G58" s="1325"/>
      <c r="H58" s="1325"/>
      <c r="I58" s="1325"/>
      <c r="J58" s="1325"/>
      <c r="K58" s="1325"/>
      <c r="L58" s="1325"/>
      <c r="M58" s="1325"/>
    </row>
    <row r="59" spans="1:13" x14ac:dyDescent="0.3">
      <c r="A59" s="1325"/>
      <c r="B59" s="1325"/>
      <c r="C59" s="1325"/>
      <c r="D59" s="1325"/>
      <c r="E59" s="1325"/>
      <c r="F59" s="1325"/>
      <c r="G59" s="1325"/>
      <c r="H59" s="1325"/>
      <c r="I59" s="1325"/>
      <c r="J59" s="1325"/>
      <c r="K59" s="1325"/>
      <c r="L59" s="1325"/>
      <c r="M59" s="1325"/>
    </row>
    <row r="60" spans="1:13" x14ac:dyDescent="0.3">
      <c r="A60" s="1325"/>
      <c r="B60" s="1325"/>
      <c r="C60" s="1325"/>
      <c r="D60" s="1325"/>
      <c r="E60" s="1325"/>
      <c r="F60" s="1325"/>
      <c r="G60" s="1325"/>
      <c r="H60" s="1325"/>
      <c r="I60" s="1325"/>
      <c r="J60" s="1325"/>
      <c r="K60" s="1325"/>
      <c r="L60" s="1325"/>
      <c r="M60" s="1325"/>
    </row>
    <row r="61" spans="1:13" x14ac:dyDescent="0.3">
      <c r="A61" s="1325"/>
      <c r="B61" s="1325"/>
      <c r="C61" s="1325"/>
      <c r="D61" s="1325"/>
      <c r="E61" s="1325"/>
      <c r="F61" s="1325"/>
      <c r="G61" s="1325"/>
      <c r="H61" s="1325"/>
      <c r="I61" s="1325"/>
      <c r="J61" s="1325"/>
      <c r="K61" s="1325"/>
      <c r="L61" s="1325"/>
      <c r="M61" s="1325"/>
    </row>
    <row r="62" spans="1:13" x14ac:dyDescent="0.3">
      <c r="A62" s="778"/>
    </row>
    <row r="65" spans="9:13" x14ac:dyDescent="0.3">
      <c r="I65" s="186"/>
      <c r="J65" s="1419" t="str">
        <f>Version</f>
        <v>Version 2026.1</v>
      </c>
      <c r="K65" s="1419"/>
      <c r="L65" s="1419"/>
      <c r="M65" s="1419"/>
    </row>
  </sheetData>
  <sheetProtection algorithmName="SHA-512" hashValue="XFGoYiLjqD5lzglVWZbNNH2xxpKODImxoSiKiPMTjsjw5X8dO4+Xy3ZALXv9dQsTQa4Sxmq9Y/tDkVJlJ2l6ew==" saltValue="PBi3Z8bp8lvvfGT0tLJqIw==" spinCount="100000" sheet="1" objects="1" scenarios="1" selectLockedCells="1"/>
  <mergeCells count="22">
    <mergeCell ref="K1:M1"/>
    <mergeCell ref="A2:M2"/>
    <mergeCell ref="A3:M3"/>
    <mergeCell ref="D4:F4"/>
    <mergeCell ref="G4:I4"/>
    <mergeCell ref="J4:K4"/>
    <mergeCell ref="J65:M65"/>
    <mergeCell ref="A36:M47"/>
    <mergeCell ref="A50:M61"/>
    <mergeCell ref="A4:C4"/>
    <mergeCell ref="B6:K6"/>
    <mergeCell ref="A7:B7"/>
    <mergeCell ref="C7:D7"/>
    <mergeCell ref="E7:G7"/>
    <mergeCell ref="A8:M19"/>
    <mergeCell ref="A22:M33"/>
    <mergeCell ref="A35:B35"/>
    <mergeCell ref="E35:G35"/>
    <mergeCell ref="A49:D49"/>
    <mergeCell ref="E49:G49"/>
    <mergeCell ref="A21:B21"/>
    <mergeCell ref="E21:G21"/>
  </mergeCells>
  <printOptions horizontalCentered="1"/>
  <pageMargins left="0.25" right="0.25" top="0.25" bottom="0.25" header="0.3" footer="0.3"/>
  <pageSetup paperSize="5" scale="9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61" r:id="rId4" name="Button 5">
              <controlPr defaultSize="0" print="0" autoFill="0" autoPict="0" macro="[0]!Notes_Clear">
                <anchor moveWithCells="1" sizeWithCells="1">
                  <from>
                    <xdr:col>2</xdr:col>
                    <xdr:colOff>342900</xdr:colOff>
                    <xdr:row>0</xdr:row>
                    <xdr:rowOff>0</xdr:rowOff>
                  </from>
                  <to>
                    <xdr:col>3</xdr:col>
                    <xdr:colOff>297180</xdr:colOff>
                    <xdr:row>1</xdr:row>
                    <xdr:rowOff>114300</xdr:rowOff>
                  </to>
                </anchor>
              </controlPr>
            </control>
          </mc:Choice>
        </mc:AlternateContent>
        <mc:AlternateContent xmlns:mc="http://schemas.openxmlformats.org/markup-compatibility/2006">
          <mc:Choice Requires="x14">
            <control shapeId="96262" r:id="rId5" name="Button 6">
              <controlPr defaultSize="0" print="0" autoFill="0" autoPict="0" macro="[0]!IW_Copy">
                <anchor moveWithCells="1" sizeWithCells="1">
                  <from>
                    <xdr:col>1</xdr:col>
                    <xdr:colOff>137160</xdr:colOff>
                    <xdr:row>0</xdr:row>
                    <xdr:rowOff>0</xdr:rowOff>
                  </from>
                  <to>
                    <xdr:col>2</xdr:col>
                    <xdr:colOff>297180</xdr:colOff>
                    <xdr:row>1</xdr:row>
                    <xdr:rowOff>114300</xdr:rowOff>
                  </to>
                </anchor>
              </controlPr>
            </control>
          </mc:Choice>
        </mc:AlternateContent>
        <mc:AlternateContent xmlns:mc="http://schemas.openxmlformats.org/markup-compatibility/2006">
          <mc:Choice Requires="x14">
            <control shapeId="96263" r:id="rId6" name="Button 7">
              <controlPr defaultSize="0" print="0" autoFill="0" autoPict="0" macro="[0]!IW_Home">
                <anchor moveWithCells="1" sizeWithCells="1">
                  <from>
                    <xdr:col>0</xdr:col>
                    <xdr:colOff>0</xdr:colOff>
                    <xdr:row>0</xdr:row>
                    <xdr:rowOff>0</xdr:rowOff>
                  </from>
                  <to>
                    <xdr:col>1</xdr:col>
                    <xdr:colOff>91440</xdr:colOff>
                    <xdr:row>1</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AD852FB4-4469-4909-8203-869BDC8BB8F3}">
            <xm:f>AND(OR('I&amp;D Worksheet'!$F$16&lt;&gt;0,'I&amp;D Worksheet'!$E$29&lt;&gt;0,'I&amp;D Worksheet'!$E$43&lt;&gt;0,'I&amp;D Worksheet'!$M$70&lt;&gt;"",'I&amp;D Worksheet'!$N$70&lt;&gt;""),$A$8="",'I&amp;D Worksheet'!$L$22="*Notes Required*")</xm:f>
            <x14:dxf>
              <border>
                <left style="thin">
                  <color rgb="FFFF0000"/>
                </left>
                <right style="thin">
                  <color rgb="FFFF0000"/>
                </right>
                <top style="thin">
                  <color rgb="FFFF0000"/>
                </top>
                <bottom style="thin">
                  <color rgb="FFFF0000"/>
                </bottom>
                <vertical/>
                <horizontal/>
              </border>
            </x14:dxf>
          </x14:cfRule>
          <xm:sqref>A8:M19</xm:sqref>
        </x14:conditionalFormatting>
        <x14:conditionalFormatting xmlns:xm="http://schemas.microsoft.com/office/excel/2006/main">
          <x14:cfRule type="expression" priority="16" id="{6C553512-AC83-41EB-936B-F8979FB241E2}">
            <xm:f>AND(OR('I&amp;D Worksheet'!$F$16&lt;&gt;0,'I&amp;D Worksheet'!$E$29&lt;&gt;0,'I&amp;D Worksheet'!$E$43&lt;&gt;0,'I&amp;D Worksheet'!$M$70&lt;&gt;"",'I&amp;D Worksheet'!$N$70&lt;&gt;""),$A$22="",'I&amp;D Worksheet'!$L$22="*Notes Required*")</xm:f>
            <x14:dxf>
              <border>
                <left style="thin">
                  <color rgb="FFFF0000"/>
                </left>
                <right style="thin">
                  <color rgb="FFFF0000"/>
                </right>
                <top style="thin">
                  <color rgb="FFFF0000"/>
                </top>
                <bottom style="thin">
                  <color rgb="FFFF0000"/>
                </bottom>
              </border>
            </x14:dxf>
          </x14:cfRule>
          <xm:sqref>A22:M33</xm:sqref>
        </x14:conditionalFormatting>
        <x14:conditionalFormatting xmlns:xm="http://schemas.microsoft.com/office/excel/2006/main">
          <x14:cfRule type="expression" priority="5" id="{6132287B-8B42-404E-ACEC-BB5307E2F1D2}">
            <xm:f>AND(OR('I&amp;D Worksheet'!$F$16&lt;&gt;0,'I&amp;D Worksheet'!$E$29&lt;&gt;0,'I&amp;D Worksheet'!$E$43&lt;&gt;0,'I&amp;D Worksheet'!$M$70&lt;&gt;"",'I&amp;D Worksheet'!$N$70&lt;&gt;""),$A$36="",'I&amp;D Worksheet'!$L$22="*Notes Required*")</xm:f>
            <x14:dxf>
              <font>
                <color auto="1"/>
              </font>
            </x14:dxf>
          </x14:cfRule>
          <x14:cfRule type="expression" priority="15" id="{5E5C2B03-AA77-4DDA-97CE-1EB69465F0E6}">
            <xm:f>AND(OR('I&amp;D Worksheet'!$F$16&lt;&gt;0,'I&amp;D Worksheet'!$E$29&lt;&gt;0,'I&amp;D Worksheet'!$E$43&lt;&gt;0,'I&amp;D Worksheet'!$M$70&lt;&gt;"",'I&amp;D Worksheet'!$N$70&lt;&gt;""),$A$36="",'I&amp;D Worksheet'!$L$22="*Notes Required*")</xm:f>
            <x14:dxf>
              <border>
                <left style="thin">
                  <color rgb="FFFF0000"/>
                </left>
                <right style="thin">
                  <color rgb="FFFF0000"/>
                </right>
                <top style="thin">
                  <color rgb="FFFF0000"/>
                </top>
                <bottom style="thin">
                  <color rgb="FFFF0000"/>
                </bottom>
                <vertical/>
                <horizontal/>
              </border>
            </x14:dxf>
          </x14:cfRule>
          <xm:sqref>A36:M47</xm:sqref>
        </x14:conditionalFormatting>
        <x14:conditionalFormatting xmlns:xm="http://schemas.microsoft.com/office/excel/2006/main">
          <x14:cfRule type="expression" priority="14" id="{C1EB8553-E24F-4423-B579-C14738201B56}">
            <xm:f>AND(OR('I&amp;D Worksheet'!$F$16&lt;&gt;0,'I&amp;D Worksheet'!$E$29&lt;&gt;0,'I&amp;D Worksheet'!$E$43&lt;&gt;0,'I&amp;D Worksheet'!$M$70&lt;&gt;"",'I&amp;D Worksheet'!$N$70&lt;&gt;""),$A$50="",'I&amp;D Worksheet'!$L$22="*Notes Required*")</xm:f>
            <x14:dxf>
              <border>
                <left style="thin">
                  <color rgb="FFFF0000"/>
                </left>
                <right style="thin">
                  <color rgb="FFFF0000"/>
                </right>
                <top style="thin">
                  <color rgb="FFFF0000"/>
                </top>
                <bottom style="thin">
                  <color rgb="FFFF0000"/>
                </bottom>
                <vertical/>
                <horizontal/>
              </border>
            </x14:dxf>
          </x14:cfRule>
          <xm:sqref>A50:M61</xm:sqref>
        </x14:conditionalFormatting>
        <x14:conditionalFormatting xmlns:xm="http://schemas.microsoft.com/office/excel/2006/main">
          <x14:cfRule type="expression" priority="7" id="{071109A6-D415-4688-A061-ECF1E96A3EB0}">
            <xm:f>AND(OR('I&amp;D Worksheet'!$F$16&lt;&gt;0,'I&amp;D Worksheet'!$E$29&lt;&gt;0,'I&amp;D Worksheet'!$E$43&lt;&gt;0,'I&amp;D Worksheet'!$M$70&lt;&gt;"",'I&amp;D Worksheet'!$N$70&lt;&gt;""),$A$8="",'I&amp;D Worksheet'!$L$22="*Notes Required*")</xm:f>
            <x14:dxf>
              <font>
                <color rgb="FFFF0000"/>
              </font>
            </x14:dxf>
          </x14:cfRule>
          <xm:sqref>E7:G7</xm:sqref>
        </x14:conditionalFormatting>
        <x14:conditionalFormatting xmlns:xm="http://schemas.microsoft.com/office/excel/2006/main">
          <x14:cfRule type="expression" priority="6" id="{6D19452D-9C2E-42CB-A98B-B98CB7868861}">
            <xm:f>AND(OR('I&amp;D Worksheet'!$F$16&lt;&gt;0,'I&amp;D Worksheet'!$E$29&lt;&gt;0,'I&amp;D Worksheet'!$E$43&lt;&gt;0,'I&amp;D Worksheet'!$M$70&lt;&gt;"",'I&amp;D Worksheet'!$N$70&lt;&gt;""),$A$22="",'I&amp;D Worksheet'!$L$22="*Notes Required*")</xm:f>
            <x14:dxf>
              <font>
                <color rgb="FFFF0000"/>
              </font>
            </x14:dxf>
          </x14:cfRule>
          <xm:sqref>E21:G21</xm:sqref>
        </x14:conditionalFormatting>
        <x14:conditionalFormatting xmlns:xm="http://schemas.microsoft.com/office/excel/2006/main">
          <x14:cfRule type="expression" priority="4" id="{D42A8D68-1757-4CB0-8A50-E3FEA4D91E47}">
            <xm:f>AND(OR('I&amp;D Worksheet'!$F$16&lt;&gt;0,'I&amp;D Worksheet'!$E$29&lt;&gt;0,'I&amp;D Worksheet'!$E$43&lt;&gt;0,'I&amp;D Worksheet'!$M$70&lt;&gt;"",'I&amp;D Worksheet'!$N$70&lt;&gt;""),$A$50="",'I&amp;D Worksheet'!$L$22="*Notes Required*")</xm:f>
            <x14:dxf>
              <font>
                <color rgb="FFFF0000"/>
              </font>
            </x14:dxf>
          </x14:cfRule>
          <xm:sqref>E49:G49</xm:sqref>
        </x14:conditionalFormatting>
        <x14:conditionalFormatting xmlns:xm="http://schemas.microsoft.com/office/excel/2006/main">
          <x14:cfRule type="expression" priority="3" id="{7F215D83-AA7E-4A8F-B016-07B4F3A745D5}">
            <xm:f>AND(OR('I&amp;D Worksheet'!$F$16&lt;&gt;0,'I&amp;D Worksheet'!$E$29&lt;&gt;0,'I&amp;D Worksheet'!$E$43&lt;&gt;0,'I&amp;D Worksheet'!$M$70&lt;&gt;"",'I&amp;D Worksheet'!$N$70&lt;&gt;""),$A$36="",'I&amp;D Worksheet'!$L$22="*Notes Required*")</xm:f>
            <x14:dxf>
              <font>
                <color rgb="FFFF0000"/>
              </font>
            </x14:dxf>
          </x14:cfRule>
          <xm:sqref>E35:G35</xm:sqref>
        </x14:conditionalFormatting>
        <x14:conditionalFormatting xmlns:xm="http://schemas.microsoft.com/office/excel/2006/main">
          <x14:cfRule type="expression" priority="1" id="{BF5BA7DD-088D-46CB-AF9A-4F8C81916834}">
            <xm:f>AND(OR('I&amp;D Worksheet'!$F$16&lt;&gt;0,'I&amp;D Worksheet'!$E$29&lt;&gt;0,'I&amp;D Worksheet'!$E$43&lt;&gt;0,'I&amp;D Worksheet'!$M$70&lt;&gt;"",'I&amp;D Worksheet'!$N$70&lt;&gt;""),'I&amp;D Worksheet'!$L$22="*Notes Required*")</xm:f>
            <x14:dxf>
              <fill>
                <patternFill>
                  <bgColor rgb="FFFFFF00"/>
                </patternFill>
              </fill>
            </x14:dxf>
          </x14:cfRule>
          <xm:sqref>B6:K6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D73FD-0067-47F5-8229-3E0BCD128DE3}">
  <sheetPr codeName="Sheet15">
    <tabColor rgb="FFFFDDAB"/>
    <pageSetUpPr fitToPage="1"/>
  </sheetPr>
  <dimension ref="A1:X120"/>
  <sheetViews>
    <sheetView showGridLines="0" showRowColHeaders="0" showZeros="0" showRuler="0" view="pageLayout" zoomScale="90" zoomScaleNormal="100" zoomScalePageLayoutView="90" workbookViewId="0">
      <selection activeCell="C6" sqref="C6:K6"/>
    </sheetView>
  </sheetViews>
  <sheetFormatPr defaultColWidth="9.109375" defaultRowHeight="13.8" x14ac:dyDescent="0.3"/>
  <cols>
    <col min="1" max="1" width="11.5546875" style="24" customWidth="1"/>
    <col min="2" max="2" width="4.21875" style="24" customWidth="1"/>
    <col min="3" max="3" width="5.88671875" style="24" customWidth="1"/>
    <col min="4" max="4" width="4.33203125" style="24" customWidth="1"/>
    <col min="5" max="5" width="0.44140625" style="24" customWidth="1"/>
    <col min="6" max="6" width="1.33203125" style="24" customWidth="1"/>
    <col min="7" max="7" width="2.5546875" style="24" customWidth="1"/>
    <col min="8" max="8" width="1.33203125" style="24" customWidth="1"/>
    <col min="9" max="9" width="11.33203125" style="24" customWidth="1"/>
    <col min="10" max="10" width="9.88671875" style="24" customWidth="1"/>
    <col min="11" max="11" width="9.6640625" style="24" customWidth="1"/>
    <col min="12" max="12" width="11.109375" style="24" customWidth="1"/>
    <col min="13" max="13" width="2.88671875" style="24" customWidth="1"/>
    <col min="14" max="14" width="5.109375" style="24" customWidth="1"/>
    <col min="15" max="15" width="1.6640625" style="24" customWidth="1"/>
    <col min="16" max="16" width="1" style="24" customWidth="1"/>
    <col min="17" max="17" width="4" style="24" customWidth="1"/>
    <col min="18" max="18" width="0.44140625" style="24" customWidth="1"/>
    <col min="19" max="19" width="13.5546875" style="24" customWidth="1"/>
    <col min="20" max="20" width="1.6640625" style="24" customWidth="1"/>
    <col min="21" max="21" width="9.109375" style="24" customWidth="1"/>
    <col min="22" max="22" width="0.44140625" style="24" customWidth="1"/>
    <col min="23" max="23" width="7.88671875" style="24" customWidth="1"/>
    <col min="24" max="24" width="5" style="24" customWidth="1"/>
    <col min="25" max="25" width="55.6640625" style="24" customWidth="1"/>
    <col min="26" max="16384" width="9.109375" style="24"/>
  </cols>
  <sheetData>
    <row r="1" spans="1:24" ht="15" customHeight="1" x14ac:dyDescent="0.3">
      <c r="F1" s="300"/>
      <c r="G1" s="300"/>
      <c r="H1" s="300"/>
      <c r="N1" s="300"/>
      <c r="O1" s="300"/>
      <c r="P1" s="300"/>
      <c r="Q1" s="300"/>
      <c r="U1" s="1464">
        <f>'I&amp;D Worksheet'!J8</f>
        <v>0</v>
      </c>
      <c r="V1" s="1464"/>
      <c r="W1" s="1464"/>
      <c r="X1" s="1148">
        <f>IF(OR(U1="VA",U1="FHA",U1="USDA"),2,1)</f>
        <v>1</v>
      </c>
    </row>
    <row r="2" spans="1:24" s="301" customFormat="1" ht="36" customHeight="1" x14ac:dyDescent="0.5">
      <c r="A2" s="1321" t="s">
        <v>454</v>
      </c>
      <c r="B2" s="1321"/>
      <c r="C2" s="1321"/>
      <c r="D2" s="1321"/>
      <c r="E2" s="1321"/>
      <c r="F2" s="1321"/>
      <c r="G2" s="1321"/>
      <c r="H2" s="1321"/>
      <c r="I2" s="1321"/>
      <c r="J2" s="1321"/>
      <c r="K2" s="1321"/>
      <c r="L2" s="1321"/>
      <c r="M2" s="1321"/>
      <c r="N2" s="1321"/>
      <c r="O2" s="1321"/>
      <c r="P2" s="1321"/>
      <c r="Q2" s="1321"/>
      <c r="R2" s="1321"/>
      <c r="S2" s="1321"/>
      <c r="T2" s="1321"/>
      <c r="U2" s="1321"/>
      <c r="V2" s="1321"/>
      <c r="W2" s="1321"/>
      <c r="X2" s="1321"/>
    </row>
    <row r="3" spans="1:24" s="302" customFormat="1" ht="23.4" x14ac:dyDescent="0.45">
      <c r="A3" s="1409" t="s">
        <v>105</v>
      </c>
      <c r="B3" s="1409"/>
      <c r="C3" s="1409"/>
      <c r="D3" s="1409"/>
      <c r="E3" s="1409"/>
      <c r="F3" s="1409"/>
      <c r="G3" s="1409"/>
      <c r="H3" s="1409"/>
      <c r="I3" s="1409"/>
      <c r="J3" s="1409"/>
      <c r="K3" s="1409"/>
      <c r="L3" s="1409"/>
      <c r="M3" s="1409"/>
      <c r="N3" s="1409"/>
      <c r="O3" s="1409"/>
      <c r="P3" s="1409"/>
      <c r="Q3" s="1409"/>
      <c r="R3" s="1409"/>
      <c r="S3" s="1409"/>
      <c r="T3" s="1409"/>
      <c r="U3" s="1409"/>
      <c r="V3" s="1409"/>
      <c r="W3" s="1409"/>
      <c r="X3" s="1409"/>
    </row>
    <row r="4" spans="1:24" s="302" customFormat="1" ht="6" customHeight="1" x14ac:dyDescent="0.45">
      <c r="A4" s="132"/>
      <c r="B4" s="132"/>
      <c r="C4" s="132"/>
      <c r="D4" s="132"/>
      <c r="E4" s="132"/>
      <c r="F4" s="132"/>
      <c r="G4" s="132"/>
      <c r="H4" s="132"/>
      <c r="I4" s="132"/>
      <c r="J4" s="132"/>
      <c r="K4" s="132"/>
      <c r="L4" s="132"/>
      <c r="M4" s="132"/>
      <c r="N4" s="132"/>
      <c r="O4" s="132"/>
      <c r="P4" s="132"/>
      <c r="Q4" s="132"/>
      <c r="R4" s="132"/>
      <c r="S4" s="132"/>
      <c r="T4" s="132"/>
      <c r="U4" s="132"/>
      <c r="V4" s="132"/>
      <c r="W4" s="132"/>
      <c r="X4" s="132"/>
    </row>
    <row r="5" spans="1:24" s="302" customFormat="1" ht="24.6" customHeight="1" x14ac:dyDescent="0.45">
      <c r="A5" s="132"/>
      <c r="B5" s="132"/>
      <c r="C5" s="132"/>
      <c r="D5" s="132"/>
      <c r="E5" s="132"/>
      <c r="F5" s="132"/>
      <c r="G5" s="132"/>
      <c r="H5" s="132"/>
      <c r="I5" s="132"/>
      <c r="J5" s="132"/>
      <c r="K5" s="132"/>
      <c r="L5" s="132"/>
      <c r="M5" s="132"/>
      <c r="N5" s="1451"/>
      <c r="O5" s="1452"/>
      <c r="P5" s="1452"/>
      <c r="Q5" s="1452"/>
      <c r="R5" s="1452"/>
      <c r="S5" s="1452"/>
      <c r="T5" s="1452"/>
      <c r="U5" s="1452"/>
      <c r="V5" s="1452"/>
      <c r="W5" s="1452"/>
      <c r="X5" s="1452"/>
    </row>
    <row r="6" spans="1:24" s="2" customFormat="1" ht="15.6" x14ac:dyDescent="0.3">
      <c r="A6" s="1413" t="s">
        <v>37</v>
      </c>
      <c r="B6" s="1413"/>
      <c r="C6" s="1458" t="s">
        <v>847</v>
      </c>
      <c r="D6" s="1458"/>
      <c r="E6" s="1458"/>
      <c r="F6" s="1458"/>
      <c r="G6" s="1458"/>
      <c r="H6" s="1458"/>
      <c r="I6" s="1458"/>
      <c r="J6" s="1458"/>
      <c r="K6" s="1458"/>
      <c r="L6" s="170"/>
      <c r="M6" s="170"/>
      <c r="N6" s="1452"/>
      <c r="O6" s="1452"/>
      <c r="P6" s="1452"/>
      <c r="Q6" s="1452"/>
      <c r="R6" s="1452"/>
      <c r="S6" s="1452"/>
      <c r="T6" s="1452"/>
      <c r="U6" s="1452"/>
      <c r="V6" s="1452"/>
      <c r="W6" s="1452"/>
      <c r="X6" s="1452"/>
    </row>
    <row r="7" spans="1:24" ht="5.0999999999999996" customHeight="1" x14ac:dyDescent="0.3">
      <c r="N7" s="1452"/>
      <c r="O7" s="1452"/>
      <c r="P7" s="1452"/>
      <c r="Q7" s="1452"/>
      <c r="R7" s="1452"/>
      <c r="S7" s="1452"/>
      <c r="T7" s="1452"/>
      <c r="U7" s="1452"/>
      <c r="V7" s="1452"/>
      <c r="W7" s="1452"/>
      <c r="X7" s="1452"/>
    </row>
    <row r="8" spans="1:24" s="2" customFormat="1" ht="15.6" x14ac:dyDescent="0.3">
      <c r="A8" s="1413" t="s">
        <v>89</v>
      </c>
      <c r="B8" s="1413"/>
      <c r="C8" s="1458" t="s">
        <v>847</v>
      </c>
      <c r="D8" s="1458"/>
      <c r="E8" s="1458"/>
      <c r="F8" s="1458"/>
      <c r="G8" s="1458"/>
      <c r="H8" s="1458"/>
      <c r="I8" s="1458"/>
      <c r="J8" s="1458"/>
      <c r="K8" s="1458"/>
      <c r="L8" s="170"/>
      <c r="M8" s="170"/>
      <c r="N8" s="1452"/>
      <c r="O8" s="1452"/>
      <c r="P8" s="1452"/>
      <c r="Q8" s="1452"/>
      <c r="R8" s="1452"/>
      <c r="S8" s="1452"/>
      <c r="T8" s="1452"/>
      <c r="U8" s="1452"/>
      <c r="V8" s="1452"/>
      <c r="W8" s="1452"/>
      <c r="X8" s="1452"/>
    </row>
    <row r="9" spans="1:24" ht="25.2" customHeight="1" x14ac:dyDescent="0.3">
      <c r="A9" s="1430"/>
      <c r="B9" s="1430"/>
      <c r="C9" s="1453"/>
      <c r="D9" s="1453"/>
      <c r="E9" s="1453"/>
      <c r="F9" s="1453"/>
      <c r="G9" s="1453"/>
      <c r="H9" s="1453"/>
      <c r="I9" s="1453"/>
      <c r="J9" s="1453"/>
      <c r="K9" s="1453"/>
      <c r="L9" s="1453"/>
      <c r="M9" s="1453"/>
      <c r="N9" s="1452"/>
      <c r="O9" s="1452"/>
      <c r="P9" s="1452"/>
      <c r="Q9" s="1452"/>
      <c r="R9" s="1452"/>
      <c r="S9" s="1452"/>
      <c r="T9" s="1452"/>
      <c r="U9" s="1452"/>
      <c r="V9" s="1452"/>
      <c r="W9" s="1452"/>
      <c r="X9" s="1452"/>
    </row>
    <row r="10" spans="1:24" ht="7.2" customHeight="1" x14ac:dyDescent="0.3">
      <c r="N10" s="770"/>
      <c r="O10" s="770"/>
      <c r="P10" s="770"/>
      <c r="Q10" s="770"/>
      <c r="R10" s="770"/>
      <c r="S10" s="770"/>
      <c r="T10" s="770"/>
      <c r="U10" s="770"/>
      <c r="V10" s="770"/>
      <c r="W10" s="770"/>
      <c r="X10" s="770"/>
    </row>
    <row r="11" spans="1:24" s="2" customFormat="1" ht="21.6" customHeight="1" x14ac:dyDescent="0.3">
      <c r="A11" s="1454" t="s">
        <v>1370</v>
      </c>
      <c r="B11" s="1454"/>
      <c r="C11" s="1454"/>
      <c r="D11" s="1454"/>
      <c r="E11" s="1454"/>
      <c r="F11" s="1454"/>
      <c r="G11" s="1454"/>
      <c r="H11" s="1454"/>
      <c r="I11" s="1454"/>
      <c r="J11" s="1454"/>
      <c r="K11" s="1454"/>
      <c r="L11" s="1454"/>
      <c r="M11" s="1454"/>
      <c r="N11" s="1454"/>
      <c r="O11" s="1454"/>
      <c r="P11" s="1454"/>
      <c r="Q11" s="1454"/>
      <c r="R11" s="1454"/>
      <c r="S11" s="1454"/>
      <c r="T11" s="1454"/>
      <c r="U11" s="1471" t="s">
        <v>532</v>
      </c>
      <c r="V11" s="1471"/>
      <c r="W11" s="1471"/>
      <c r="X11" s="1471"/>
    </row>
    <row r="12" spans="1:24" s="2" customFormat="1" ht="15" customHeight="1" x14ac:dyDescent="0.3">
      <c r="A12" s="1455" t="s">
        <v>1244</v>
      </c>
      <c r="B12" s="1455"/>
      <c r="C12" s="1455"/>
      <c r="D12" s="1455"/>
      <c r="E12" s="1455"/>
      <c r="F12" s="1455"/>
      <c r="G12" s="1455"/>
      <c r="H12" s="1455"/>
      <c r="I12" s="1455"/>
      <c r="J12" s="1455"/>
      <c r="K12" s="1455"/>
      <c r="L12" s="1455"/>
      <c r="M12" s="1455"/>
      <c r="N12" s="1455"/>
      <c r="O12" s="1455"/>
      <c r="P12" s="1455"/>
      <c r="Q12" s="1455"/>
      <c r="R12" s="1455"/>
      <c r="S12" s="1455"/>
      <c r="T12" s="1455"/>
      <c r="U12" s="1471"/>
      <c r="V12" s="1471"/>
      <c r="W12" s="1471"/>
      <c r="X12" s="1471"/>
    </row>
    <row r="13" spans="1:24" ht="3" customHeight="1" x14ac:dyDescent="0.3">
      <c r="U13" s="1471"/>
      <c r="V13" s="1471"/>
      <c r="W13" s="1471"/>
      <c r="X13" s="1471"/>
    </row>
    <row r="14" spans="1:24" s="2" customFormat="1" ht="15" customHeight="1" x14ac:dyDescent="0.3">
      <c r="A14" s="1472" t="s">
        <v>1245</v>
      </c>
      <c r="B14" s="1472"/>
      <c r="C14" s="1472"/>
      <c r="D14" s="1472"/>
      <c r="E14" s="1456"/>
      <c r="F14" s="1456"/>
      <c r="G14" s="1456"/>
      <c r="H14" s="1456"/>
      <c r="I14" s="1456"/>
      <c r="S14" s="53" t="str">
        <f>IF(E14&lt;&gt;"",YEAR(E14),"")</f>
        <v/>
      </c>
      <c r="U14" s="1471"/>
      <c r="V14" s="1471"/>
      <c r="W14" s="1471"/>
      <c r="X14" s="1471"/>
    </row>
    <row r="15" spans="1:24" ht="3" customHeight="1" x14ac:dyDescent="0.3">
      <c r="I15" s="802"/>
      <c r="U15" s="1471"/>
      <c r="V15" s="1471"/>
      <c r="W15" s="1471"/>
      <c r="X15" s="1471"/>
    </row>
    <row r="16" spans="1:24" s="2" customFormat="1" ht="15" customHeight="1" x14ac:dyDescent="0.3">
      <c r="A16" s="1472" t="s">
        <v>1070</v>
      </c>
      <c r="B16" s="1472"/>
      <c r="C16" s="1472"/>
      <c r="D16" s="1472"/>
      <c r="E16" s="1456"/>
      <c r="F16" s="1456"/>
      <c r="G16" s="1456"/>
      <c r="H16" s="1456"/>
      <c r="I16" s="1456"/>
      <c r="U16" s="1471"/>
      <c r="V16" s="1471"/>
      <c r="W16" s="1471"/>
      <c r="X16" s="1471"/>
    </row>
    <row r="17" spans="1:24" ht="7.2" customHeight="1" x14ac:dyDescent="0.3">
      <c r="A17" s="801"/>
      <c r="B17" s="335"/>
      <c r="I17" s="803">
        <f>ROUNDUP((YEARFRAC(MAX(E14,DATEVALUE("1/1/"&amp;E28)),
MIN(E16,DATEVALUE("12/31/"&amp;E28))+1,4)*12),2)</f>
        <v>12</v>
      </c>
      <c r="U17" s="1471"/>
      <c r="V17" s="1471"/>
      <c r="W17" s="1471"/>
      <c r="X17" s="1471"/>
    </row>
    <row r="18" spans="1:24" s="2" customFormat="1" ht="15" customHeight="1" x14ac:dyDescent="0.3">
      <c r="A18" s="1455" t="s">
        <v>1246</v>
      </c>
      <c r="B18" s="1455"/>
      <c r="C18" s="1455"/>
      <c r="D18" s="1455"/>
      <c r="E18" s="1455"/>
      <c r="F18" s="1455"/>
      <c r="G18" s="1455"/>
      <c r="H18" s="1455"/>
      <c r="I18" s="1455"/>
      <c r="J18" s="1455"/>
      <c r="K18" s="1455"/>
      <c r="L18" s="1455"/>
      <c r="M18" s="1455"/>
      <c r="N18" s="1455"/>
      <c r="O18" s="1455"/>
      <c r="P18" s="1455"/>
      <c r="Q18" s="1455"/>
      <c r="R18" s="1455"/>
      <c r="S18" s="1455"/>
      <c r="T18" s="1455"/>
      <c r="U18" s="1471"/>
      <c r="V18" s="1471"/>
      <c r="W18" s="1471"/>
      <c r="X18" s="1471"/>
    </row>
    <row r="19" spans="1:24" ht="7.2" customHeight="1" x14ac:dyDescent="0.3">
      <c r="U19" s="1471"/>
      <c r="V19" s="1471"/>
      <c r="W19" s="1471"/>
      <c r="X19" s="1471"/>
    </row>
    <row r="20" spans="1:24" s="2" customFormat="1" ht="15.6" customHeight="1" x14ac:dyDescent="0.3">
      <c r="A20" s="1455" t="s">
        <v>1247</v>
      </c>
      <c r="B20" s="1455"/>
      <c r="C20" s="1455"/>
      <c r="D20" s="1455"/>
      <c r="E20" s="1455"/>
      <c r="F20" s="1455"/>
      <c r="G20" s="1455"/>
      <c r="H20" s="1455"/>
      <c r="I20" s="1455"/>
      <c r="J20" s="1455"/>
      <c r="K20" s="1455"/>
      <c r="L20" s="1455"/>
      <c r="M20" s="1460"/>
      <c r="N20" s="1460"/>
      <c r="O20" s="1460"/>
      <c r="P20" s="1460"/>
      <c r="Q20" s="1460"/>
      <c r="R20" s="1460"/>
      <c r="S20" s="8"/>
      <c r="T20" s="3"/>
      <c r="U20" s="1471"/>
      <c r="V20" s="1471"/>
      <c r="W20" s="1471"/>
      <c r="X20" s="1471"/>
    </row>
    <row r="21" spans="1:24" ht="15.6" customHeight="1" x14ac:dyDescent="0.3">
      <c r="A21" s="1463" t="s">
        <v>1372</v>
      </c>
      <c r="B21" s="1463"/>
      <c r="C21" s="1463"/>
      <c r="D21" s="1463"/>
      <c r="E21" s="1463"/>
      <c r="F21" s="1463"/>
      <c r="G21" s="1463"/>
      <c r="H21" s="1463"/>
      <c r="I21" s="1463"/>
      <c r="J21" s="1432"/>
      <c r="L21" s="554"/>
      <c r="M21" s="554"/>
      <c r="N21" s="554"/>
      <c r="O21" s="554"/>
      <c r="P21" s="554"/>
      <c r="Q21" s="554"/>
      <c r="R21" s="554"/>
      <c r="S21" s="554"/>
      <c r="T21" s="554"/>
    </row>
    <row r="22" spans="1:24" ht="12.6" customHeight="1" x14ac:dyDescent="0.3">
      <c r="A22" s="1431" t="s">
        <v>1373</v>
      </c>
      <c r="B22" s="1431"/>
      <c r="C22" s="1431"/>
      <c r="D22" s="1431"/>
      <c r="E22" s="1431"/>
      <c r="F22" s="1431"/>
      <c r="G22" s="1431"/>
      <c r="H22" s="1431"/>
      <c r="I22" s="1431"/>
      <c r="J22" s="1432"/>
      <c r="L22" s="554"/>
      <c r="M22" s="554"/>
      <c r="N22" s="554"/>
      <c r="O22" s="554"/>
      <c r="P22" s="554"/>
      <c r="Q22" s="554"/>
      <c r="R22" s="554"/>
      <c r="S22" s="554"/>
      <c r="T22" s="554"/>
    </row>
    <row r="23" spans="1:24" ht="25.8" customHeight="1" x14ac:dyDescent="0.3">
      <c r="A23" s="1461" t="s">
        <v>1371</v>
      </c>
      <c r="B23" s="1461"/>
      <c r="C23" s="1462" t="str">
        <f>IF(AND(X1=1,U1="Conventional",M20="",OR(B26&lt;&gt;"",B28&lt;&gt;"",B30&lt;&gt;"",B32&lt;&gt;"")),"Anwer Question 3 above.",
IF(AND(X1=1,U1="Conventional",M20="N/A"),"Error: Loan Type indicated as Conventional, 
Fannie or Freddie should be selected.",
IF(AND(X1=1,U1&lt;&gt;"Conventional",M20="",OR(B26&lt;&gt;"",B28&lt;&gt;"",B30&lt;&gt;"",B32&lt;&gt;"")),"Anwer Question 3 above (select N/A if not conventional)",
IF(AND(X1=1,J21="",OR(M20="Fannie",M20="Freddie")),"Anwer Question 3a above.",""))))</f>
        <v/>
      </c>
      <c r="D23" s="1462"/>
      <c r="E23" s="1462"/>
      <c r="F23" s="1462"/>
      <c r="G23" s="1462"/>
      <c r="H23" s="1462"/>
      <c r="I23" s="1462"/>
      <c r="J23" s="1462"/>
      <c r="K23" s="1462"/>
      <c r="L23" s="1462"/>
      <c r="M23" s="1462"/>
      <c r="N23" s="1462"/>
      <c r="O23" s="1462"/>
      <c r="P23" s="1462"/>
      <c r="Q23" s="1462"/>
      <c r="R23" s="581"/>
      <c r="S23" s="581"/>
      <c r="T23" s="581"/>
      <c r="W23" s="1430"/>
      <c r="X23" s="1430"/>
    </row>
    <row r="24" spans="1:24" ht="13.5" customHeight="1" x14ac:dyDescent="0.3">
      <c r="A24" s="1448" t="s">
        <v>533</v>
      </c>
      <c r="B24" s="1448"/>
      <c r="C24" s="1459" t="s">
        <v>1243</v>
      </c>
      <c r="D24" s="1459"/>
      <c r="E24" s="1459"/>
      <c r="F24" s="1459"/>
      <c r="G24" s="1459"/>
      <c r="H24" s="1459"/>
      <c r="I24" s="1459"/>
      <c r="J24" s="173"/>
      <c r="L24" s="228" t="s">
        <v>534</v>
      </c>
      <c r="N24" s="1440">
        <f>IF(AND(OR($M$20&lt;&gt;"Fannie",$M$20&lt;&gt;"Freddie"),$J$21="Yes",$B$38&lt;&gt;"N/A"),B38,
IF(L39=3,"Expert",
IF(L39=4,"YTD",
IF(L39=5,E30-2000,
IF(L39=6,E32-2000,
IF(L39=7,E30-2000&amp;"&amp;YTD",
IF(L39=8,E32-2000&amp;"&amp;"&amp;E30-2000&amp;"&amp;YTD",
IF(L39=9,E32-2000&amp;"&amp;"&amp;E30-2000,
0))))))))</f>
        <v>0</v>
      </c>
      <c r="O24" s="1440"/>
      <c r="P24" s="1440"/>
      <c r="Q24" s="1440"/>
      <c r="R24" s="85"/>
      <c r="S24" s="802"/>
      <c r="U24" s="1457" t="s">
        <v>535</v>
      </c>
      <c r="V24" s="1457"/>
      <c r="W24" s="1457"/>
      <c r="X24" s="497">
        <v>2026</v>
      </c>
    </row>
    <row r="25" spans="1:24" ht="13.5" customHeight="1" x14ac:dyDescent="0.3">
      <c r="B25" s="1430" t="s">
        <v>466</v>
      </c>
      <c r="C25" s="1430"/>
      <c r="D25" s="1430"/>
      <c r="F25" s="1430" t="s">
        <v>536</v>
      </c>
      <c r="G25" s="1430"/>
      <c r="H25" s="1430"/>
      <c r="I25" s="1430"/>
      <c r="K25" s="1149">
        <f>IF(OR(S111=2,S111=8,S111=13),"Hours per week",0)</f>
        <v>0</v>
      </c>
      <c r="L25" s="314" t="s">
        <v>537</v>
      </c>
      <c r="N25" s="1443" t="s">
        <v>461</v>
      </c>
      <c r="O25" s="1443"/>
      <c r="P25" s="1443"/>
      <c r="Q25" s="1443"/>
      <c r="R25" s="315" t="s">
        <v>78</v>
      </c>
      <c r="S25" s="1443" t="s">
        <v>462</v>
      </c>
      <c r="T25" s="1443"/>
      <c r="U25" s="1443"/>
      <c r="W25" s="1430" t="s">
        <v>538</v>
      </c>
      <c r="X25" s="1430"/>
    </row>
    <row r="26" spans="1:24" ht="13.2" customHeight="1" x14ac:dyDescent="0.3">
      <c r="A26" s="316" t="s">
        <v>465</v>
      </c>
      <c r="B26" s="1442"/>
      <c r="C26" s="1442"/>
      <c r="D26" s="1442"/>
      <c r="K26" s="317"/>
      <c r="L26" s="314" t="s">
        <v>465</v>
      </c>
      <c r="N26" s="1434">
        <f>ROUNDDOWN(
IF(S111=2,ROUNDDOWN(B26,2)*ROUNDDOWN(K26,2)*52/12,
IF(S111=3,ROUNDDOWN(B26,2)*52/12,
IF(S111=4,ROUNDDOWN(B26,2)*26/12,
IF(S111=5,ROUNDDOWN(B26,2)*2,
IF(S111=6,ROUNDDOWN(B26,2),
IF(S111=7,ROUNDDOWN(B26,2)/12,
IF(AND(S111=8,X109=TRUE),(ROUNDDOWN(B26,2)*ROUNDDOWN(K26,2)*43.3333)/12,
IF(AND(S111=9,X109=TRUE),ROUNDDOWN(B26,2)*43.3333/12,
IF(AND(S111=10,X109=TRUE),ROUNDDOWN(B26,2)*21.66/12,
IF(AND(S111=11,X109=TRUE),ROUNDDOWN(B26,2)*20/12,
IF(AND(S111=12,X109=TRUE),ROUNDDOWN(B26,2)*10/12,
IF(AND(S111=13,X109=TRUE),(ROUNDDOWN(B26,2)*ROUNDDOWN(K26,2)*39)/12,
IF(AND(S111=14,X109=TRUE),ROUNDDOWN(B26,2)*39/12,
IF(AND(S111=15,X109=TRUE),ROUNDDOWN(B26,2)*19.5/12,
IF(AND(S111=16,X109=TRUE),ROUNDDOWN(B26,2)*18/12,
IF(AND(S111=17,X109=TRUE),ROUNDDOWN(B26,2)*9/12,
0)))))))))))))))),2)</f>
        <v>0</v>
      </c>
      <c r="O26" s="1434"/>
      <c r="P26" s="1434"/>
      <c r="Q26" s="1434"/>
      <c r="R26" s="315" t="s">
        <v>92</v>
      </c>
      <c r="S26" s="1435">
        <f>IF(N26&gt;0,
IF(S111=2,"="&amp;ROUND(B26,2)&amp;"*"&amp;ROUND(K26,2)&amp;"*52/12",
IF(S111=3,"="&amp;ROUND(B26,2)&amp;"*52/12",
IF(S111=4,"="&amp;ROUND(B26,2)&amp;"*26/12",
IF(S111=5,"="&amp;ROUND(B26,2)&amp;"*2",
IF(S111=6,"="&amp;ROUND(B26,2),
IF(S111=7,"="&amp;ROUND(B26,2)&amp;"/12",
IF(S111=8,"="&amp;ROUND(B26,2)&amp;"*"&amp;ROUND(K26,2)&amp;"*43.3333/12",
IF(S111=9,"="&amp;ROUND(B26,2)&amp;"*43.3333/12",
IF(S111=10,"="&amp;ROUND(B26,2)&amp;"*21.66/12",
IF(S111=11,"="&amp;ROUND(B26,2)&amp;"*20/12",
IF(S111=12,"="&amp;ROUND(B26,2)&amp;"*10/12",
IF(S111=13,"="&amp;ROUND(B26,2)&amp;"*"&amp;ROUND(K26,2)&amp;"*39/12",
IF(S111=14,"="&amp;ROUND(B26,2)&amp;"*39/12",
IF(S111=15,"="&amp;ROUND(B26,2)&amp;"*19.5/12",
IF(S111=16,"="&amp;ROUND(B26,2)&amp;"*18/12",
IF(S111=17,"="&amp;ROUND(B26,2)&amp;"*9/12",
0)))))))))))))))),0)</f>
        <v>0</v>
      </c>
      <c r="T26" s="1435"/>
      <c r="U26" s="1435"/>
      <c r="W26" s="1434">
        <f>N26*12</f>
        <v>0</v>
      </c>
      <c r="X26" s="1434"/>
    </row>
    <row r="27" spans="1:24" ht="2.4" customHeight="1" x14ac:dyDescent="0.3">
      <c r="F27" s="315"/>
      <c r="L27" s="314"/>
      <c r="R27" s="315" t="s">
        <v>539</v>
      </c>
    </row>
    <row r="28" spans="1:24" ht="13.5" customHeight="1" x14ac:dyDescent="0.3">
      <c r="A28" s="316" t="str">
        <f>E28&amp;":"</f>
        <v>2026:</v>
      </c>
      <c r="B28" s="1442"/>
      <c r="C28" s="1442"/>
      <c r="D28" s="1442"/>
      <c r="E28" s="134">
        <f>IF(OR(X24&lt;2000,X24&gt;2099),2015,ROUND(X24,0))</f>
        <v>2026</v>
      </c>
      <c r="F28" s="1450" t="str">
        <f>IF(AND(OR($M$20&lt;&gt;"Fannie",$M$20&lt;&gt;"Freddie"),$J$21="Yes",$B$38&lt;&gt;"N/A",M110&lt;&gt;2),"- Using Validated Income, enter monthly 
amount that is verified with AUS only.",
IF(AND(OR($M$20&lt;&gt;"Fannie",$M$20&lt;&gt;"Freddie"),$J$21="Yes",$B$38&lt;&gt;"N/A",M110=2),"- Pay Omitted",
IF(C23&lt;&gt;"","- Errors in Section 1"&amp;CHAR(10),"")&amp;
IF(AND(B32&gt;0,X1=1,M20="Freddie"),"- "&amp;E32&amp;" Should be blank for Freddie loans"&amp;CHAR(10),"")&amp;
IF(M110=2,"- Pay omitted",
IF(AND(B33&gt;0,B28&gt;0,B30=0),"- "&amp;E30&amp;" field incomplete"&amp;CHAR(10),"")&amp;
IF(AND(D110=FALSE,SUM(B33,B30,B28)&lt;&gt;0,E14&lt;&gt;0,E16&lt;&gt;0,OR(
E14&gt;E16,
E14&gt;DATEVALUE("12/31/"&amp;IF(B28&gt;0,E28,IF(B30&gt;0,E30,E32))),
E14&gt;DATEVALUE("12/31/"&amp;IF(B33&gt;0,E32,IF(B30&gt;0,E30,E28))),
)),"- Invalid Start Date"&amp;CHAR(10),"")&amp;
IF(AND(D110=FALSE,SUM(B33,B30,B28)&lt;&gt;0,E14&lt;&gt;0,E16&lt;&gt;0,OR(
AND(B33&gt;0,B30=0,B28=0,E16&gt;DATEVALUE("12/31/"&amp;E32)),
AND(B30&gt;0,B28=0,E16&gt;DATEVALUE("12/31/"&amp;E30)),
AND(B28&gt;0,E16&gt;DATEVALUE("12/31/"&amp;E28)),
E16&lt;E14,
E16&gt;DATEVALUE("12/31/"&amp;IF(B28&gt;0,E28,IF(B30&gt;0,E30,E32))),
E16&lt;DATEVALUE("1/1/"&amp;IF(B33&gt;0,E32,IF(B30&gt;0,E30,E28))),
E16&gt;DATEVALUE("12/31/"&amp;IF(AND(B33&gt;0,B30=0,B28=0),E32,IF(AND(B30&gt;0,B28=0),E30,E28))),
E16&lt;DATEVALUE("1/1/"&amp;IF(B28&gt;0,E28,IF(B30&gt;0,E30,E32)))
)),"- Invalid pay date"&amp;CHAR(10),"")&amp;
IF(AND(D110=FALSE,SUM(B33,B30,B28)&lt;&gt;0,E14=0),"- Start Date field incomplete"&amp;CHAR(10),"")&amp;
IF(AND(D110=FALSE,SUM(B33,B30,B28)&lt;&gt;0,E16=0),"- Pay date field incomplete"&amp;CHAR(10),"")&amp;
IF(OR(AND(M110=9,N30&gt;0,N32&gt;0,N32&gt;N30),AND(M110=7,N28&gt;0,N30&gt;0,N30&gt;N28),AND(M110=8,OR(AND(N30&gt;0,N32&gt;0,N32&gt;N30),AND(N28&gt;0,N30&gt;0,N30&gt;N28)))),"- Invalid selection due to the decline"&amp;CHAR(10),
IF(AND(N30&gt;0,N28&gt;0,N30&gt;N28),"- Unstabilized decline, justification 
required in notes below."&amp;CHAR(10),"")&amp;
IF(AND(D110=FALSE,N26&gt;0,M110=3,L39&lt;&gt;3),"- Expert selected but does not appear to be supported by recent history, justification required in notes below."&amp;CHAR(10),
IF(IF(AND(M110=8,L39&lt;&gt;8,N38&gt;0,N38=N39,N36&gt;0,N32&gt;0,N30&gt;0,N32&gt;0),OR((ROUNDUP(N32/N30-1,2))*-100&gt;=26,(ROUNDUP(N30/N28-1,2))*-100&gt;=26)),"- Inconsistently steep increase in average pay, justification required in notes below."&amp;CHAR(10),IF(AND(M110&lt;&gt;L39,Q94&gt;S39,
IF(AND(N38&gt;0,N38=N39,N36&gt;0,M110=8,N32&gt;0,N30&gt;0,N28&gt;0),AND(ROUNDUP(N32/N30-1,2)*-100&lt;26,ROUNDUP(N30/N28-1,2)*-100&lt;26),TRUE)),"-  Unconservative selection, justification required in notes below."&amp;CHAR(10),""))))
&amp;
IF(AND(SUM(B33,B30,B28,B26)&gt;0,N24=0),"- Insufficient information to make a recommendation."&amp;CHAR(10),"")&amp;
IF(AND(X109=TRUE,OR(B26&lt;&gt;"",B28&lt;&gt;"",B30&lt;&gt;"",B32&lt;&gt;""),S14&gt;=X24-2),"*YTD calcs, Prior Year &amp; Percentages of increase/decrease may be incorrect due to 9/10 month pay structure."&amp;CHAR(10),"")&amp;
IF(AND(X109=TRUE,OR(B26&lt;&gt;"",B28&lt;&gt;"",B30&lt;&gt;"",B32&lt;&gt;""),S14&lt;X24-2),"*YTD calcs &amp; Percentages of increase/decrease may be incorrect due to 9/10 month pay structure."&amp;CHAR(10),"")&amp;
IF(AND(N32&gt;0,N30&gt;0,N32&gt;N30),"* "&amp;(ROUNDUP(N30/N32-1,2))*-100&amp;"% decline from '"&amp;E32-2000&amp;" to '"&amp;E30-2000&amp;CHAR(10),"")&amp;
IF(AND(N30&gt;0,N28&gt;0,N30&gt;N28),"* "&amp;(ROUNDUP(N28/N30-1,2))*-100&amp;"% decline from '"&amp;E30-2000&amp;" to '"&amp;E28-2000&amp;CHAR(10),"")&amp;
IF(AND(M20="Freddie",X111&lt;&gt;TRUE,N30&gt;0,N28&gt;0,N30&gt;N28,U39&gt;0,U39&lt;=0.1),CONCATENATE("    For 0% - 10% decreases, must not include the previous higher level unless there is documentation of a one-time occurrence","  (e.g., injury) that prevented the Borrower from working or earning full income for a period of time and evidence that the Borrower is back to the income amount that was previously earned.")&amp;CHAR(10),"")&amp;
IF(AND(M20="Freddie",X111&lt;&gt;TRUE,N30&gt;0,N28&gt;0,N30&gt;N28,U39&gt;0.1),CONCATENATE("Caution, greater than 10% decrease; must conduct further analysis and additional documentation may be necessary to determine whether the income is currently stable."," This analysis must include the reason for the declining trend, and support that the current income has stabilized.")&amp;CHAR(10),"")&amp;
IF(AND(N32&gt;0,N30&gt;0,N32&lt;N30),"* "&amp;(ROUNDDOWN(N30/N32-1,3))*100&amp;"% increase from '"&amp;E32-2000&amp;" to '"&amp;E30-2000&amp;CHAR(10),"")&amp;
IF(AND(N30&gt;0,N28&gt;0,N30&lt;N28),"* "&amp;(ROUNDDOWN(N28/N30-1,3))*100&amp;"% increase from '"&amp;E30-2000&amp;" to '"&amp;E28-2000&amp;CHAR(10),"")&amp;
IF(AND(M20="Freddie",N30&gt;0,N28&gt;0,N30&lt;N28,U39&gt;=0,U39&lt;=0.1),""&amp;CHAR(10),"")&amp;
IF(AND(M20="Freddie",X111&lt;&gt;TRUE,N30&gt;0,N28&gt;0,N30&lt;N28,U39&gt;0.1,U39&lt;=0.3),CONCATENATE("For 10% - 30% increases, if the increase is supported by the documented income breakdown and/or verification of pay raise, no additional analysis or documentation is required.","Otherwise, additional analysis is required, and additional documentation may be necessary to determine income stability and develop an accurate calculation of qualifying income.")&amp;CHAR(10),"")&amp;
IF(AND(M20="Freddie",X111&lt;&gt;TRUE,N30&gt;0,N28&gt;0,N30&lt;N28,U39&gt;0.3),CONCATENATE("    For Increases greater than 30%, additional analysis is required and additional documentation will likely be necessary to determine income stability and develop an accurate calculation of qualifying income."," The analysis and documentation must support the amount of income used to qualify the Borrower.")&amp;CHAR(10),"")&amp;
IF(AND(N28&gt;N26,N28&gt;0,N28&gt;W39,$I$17&lt;1,$I$17&lt;&gt;"",D110&lt;&gt;TRUE,M110=4),"- YTD should not be used when less than 1 month,
YTD income calc may also be off due to being unable to calculation properly over such limited time.",""))))</f>
        <v/>
      </c>
      <c r="G28" s="1450"/>
      <c r="H28" s="1450"/>
      <c r="I28" s="1450"/>
      <c r="J28" s="1450"/>
      <c r="K28" s="1450"/>
      <c r="L28" s="314" t="s">
        <v>544</v>
      </c>
      <c r="N28" s="1434">
        <f>IF(D110,ROUNDUP(ROUND(B28,2)/12,2),
IF(AND(
E14&lt;=DATEVALUE("12/31/"&amp;E28),
E16&gt;=DATEVALUE("1/1/"&amp;E28),
E16&gt;=E14
),ROUNDUP(ROUND(B28,2)/ROUNDUP((YEARFRAC(
MAX(E14,DATEVALUE("1/1/"&amp;E28)),
MIN(E16,DATEVALUE("12/31/"&amp;E28))+1,4
)*12),2),2),0))</f>
        <v>0</v>
      </c>
      <c r="O28" s="1434"/>
      <c r="P28" s="1434"/>
      <c r="Q28" s="1434"/>
      <c r="R28" s="315" t="s">
        <v>540</v>
      </c>
      <c r="S28" s="1435">
        <f>IF(N28&gt;0,
"="&amp;ROUND(B28,2)&amp;"/"&amp;IF(D110,12,ROUNDUP((YEARFRAC(
MAX(E14,DATEVALUE("1/1/"&amp;E28)),
MIN(E16,DATEVALUE("12/31/"&amp;E28))+1,4
)*12),2)),0)</f>
        <v>0</v>
      </c>
      <c r="T28" s="1435"/>
      <c r="U28" s="1435"/>
      <c r="W28" s="1434">
        <f>N28*12</f>
        <v>0</v>
      </c>
      <c r="X28" s="1434"/>
    </row>
    <row r="29" spans="1:24" ht="2.85" customHeight="1" x14ac:dyDescent="0.3">
      <c r="F29" s="1450"/>
      <c r="G29" s="1450"/>
      <c r="H29" s="1450"/>
      <c r="I29" s="1450"/>
      <c r="J29" s="1450"/>
      <c r="K29" s="1450"/>
      <c r="L29" s="314"/>
      <c r="R29" s="315" t="s">
        <v>80</v>
      </c>
    </row>
    <row r="30" spans="1:24" ht="13.5" customHeight="1" x14ac:dyDescent="0.3">
      <c r="A30" s="316" t="str">
        <f>E30&amp;":"</f>
        <v>2025:</v>
      </c>
      <c r="B30" s="1442"/>
      <c r="C30" s="1442"/>
      <c r="D30" s="1442"/>
      <c r="E30" s="134">
        <f>E28-1</f>
        <v>2025</v>
      </c>
      <c r="F30" s="1450"/>
      <c r="G30" s="1450"/>
      <c r="H30" s="1450"/>
      <c r="I30" s="1450"/>
      <c r="J30" s="1450"/>
      <c r="K30" s="1450"/>
      <c r="L30" s="314" t="str">
        <f>E30-2000&amp;":"</f>
        <v>25:</v>
      </c>
      <c r="N30" s="1434">
        <f>IF(D110,ROUNDUP(ROUND(B30,2)/12,2),
IF(AND(
E14&lt;=DATEVALUE("12/31/"&amp;E30),
E16&gt;=DATEVALUE("1/1/"&amp;E30),
E16&gt;=E14
),ROUNDUP(ROUND(B30,2)/ROUNDUP((YEARFRAC(
MAX(E14,DATEVALUE("1/1/"&amp;E30)),
MIN(E16,DATEVALUE("12/31/"&amp;E30))+1,4
)*12),2),2),0))</f>
        <v>0</v>
      </c>
      <c r="O30" s="1434"/>
      <c r="P30" s="1434"/>
      <c r="Q30" s="1434"/>
      <c r="R30" s="315" t="s">
        <v>463</v>
      </c>
      <c r="S30" s="1435">
        <f>IF(N30&gt;0,
"="&amp;ROUND(B30,2)&amp;"/"&amp;
IF(D110,12,
ROUNDUP((YEARFRAC(
MAX(E14,DATEVALUE("1/1/"&amp;E30)),
MIN(E16,DATEVALUE("12/31/"&amp;E30))+1,4
)*12),2)),0)</f>
        <v>0</v>
      </c>
      <c r="T30" s="1435"/>
      <c r="U30" s="1435"/>
      <c r="W30" s="1434">
        <f>N30*12</f>
        <v>0</v>
      </c>
      <c r="X30" s="1434"/>
    </row>
    <row r="31" spans="1:24" ht="2.85" customHeight="1" x14ac:dyDescent="0.3">
      <c r="F31" s="1450"/>
      <c r="G31" s="1450"/>
      <c r="H31" s="1450"/>
      <c r="I31" s="1450"/>
      <c r="J31" s="1450"/>
      <c r="K31" s="1450"/>
      <c r="L31" s="314"/>
      <c r="R31" s="315" t="str">
        <f>IF(X109=TRUE,"(10 mo.) Hourly","")</f>
        <v/>
      </c>
    </row>
    <row r="32" spans="1:24" ht="13.5" customHeight="1" x14ac:dyDescent="0.3">
      <c r="A32" s="316" t="str">
        <f>E32&amp;":"</f>
        <v>2024:</v>
      </c>
      <c r="B32" s="1442"/>
      <c r="C32" s="1442"/>
      <c r="D32" s="1442"/>
      <c r="E32" s="134">
        <f>E28-2</f>
        <v>2024</v>
      </c>
      <c r="F32" s="1450"/>
      <c r="G32" s="1450"/>
      <c r="H32" s="1450"/>
      <c r="I32" s="1450"/>
      <c r="J32" s="1450"/>
      <c r="K32" s="1450"/>
      <c r="L32" s="314" t="str">
        <f>E32-2000&amp;":"</f>
        <v>24:</v>
      </c>
      <c r="N32" s="1434">
        <f>IF(D110,ROUNDUP(ROUND(B33,2)/12,2),
IF(AND(
E14&lt;=DATEVALUE("12/31/"&amp;E32),
E16&gt;=DATEVALUE("1/1/"&amp;E32),
E16&gt;=E14
),ROUNDUP(ROUND(B33,2)/ROUNDUP((YEARFRAC(
MAX(E14,DATEVALUE("1/1/"&amp;E32)),
MIN(E16,DATEVALUE("12/31/"&amp;E32))+1,4
)*12),2),2),0))</f>
        <v>0</v>
      </c>
      <c r="O32" s="1434"/>
      <c r="P32" s="1434"/>
      <c r="Q32" s="1434"/>
      <c r="R32" s="315" t="str">
        <f>IF(X109=TRUE,"(10 mo.) Weekly","")</f>
        <v/>
      </c>
      <c r="S32" s="1435">
        <f>IF(N32&gt;0,
"="&amp;ROUND(B32,2)&amp;"/"&amp;
IF(D110,12,
ROUNDUP((YEARFRAC(
MAX(E14,DATEVALUE("1/1/"&amp;E32)),
MIN(E16,DATEVALUE("12/31/"&amp;E32))+1,4
)*12),2)),0)</f>
        <v>0</v>
      </c>
      <c r="T32" s="1435"/>
      <c r="U32" s="1435"/>
      <c r="W32" s="1434">
        <f>N32*12</f>
        <v>0</v>
      </c>
      <c r="X32" s="1434"/>
    </row>
    <row r="33" spans="1:24" ht="2.85" customHeight="1" x14ac:dyDescent="0.3">
      <c r="B33" s="24">
        <f>IF(AND(X1=1,M20="Freddie"),0,B32)</f>
        <v>0</v>
      </c>
      <c r="F33" s="1450"/>
      <c r="G33" s="1450"/>
      <c r="H33" s="1450"/>
      <c r="I33" s="1450"/>
      <c r="J33" s="1450"/>
      <c r="K33" s="1450"/>
      <c r="L33" s="314"/>
      <c r="N33" s="318">
        <f>ROUNDUP(
IF(S111=2,ROUND(B26,2)*ROUND(K26,2)*52/12,
IF(S111=3,ROUND(B26,2)*52/12,
IF(S111=4,ROUND(B26,2)*26/12,
IF(S111=5,ROUND(B26,2)*2,
IF(S111=6,ROUND(B26,2),
IF(S111=7,ROUND(B26,2)/12,
0)))))),2)</f>
        <v>0</v>
      </c>
      <c r="R33" s="315" t="str">
        <f>IF(X109=TRUE,"(10 mo.) Biweekly","")</f>
        <v/>
      </c>
    </row>
    <row r="34" spans="1:24" ht="13.5" customHeight="1" x14ac:dyDescent="0.3">
      <c r="A34" s="1430"/>
      <c r="B34" s="1430"/>
      <c r="C34" s="1430"/>
      <c r="D34" s="1430"/>
      <c r="F34" s="1450"/>
      <c r="G34" s="1450"/>
      <c r="H34" s="1450"/>
      <c r="I34" s="1450"/>
      <c r="J34" s="1450"/>
      <c r="K34" s="1450"/>
      <c r="L34" s="314" t="str">
        <f>E30-2000&amp;"&amp;YTD:"</f>
        <v>25&amp;YTD:</v>
      </c>
      <c r="N34" s="1434">
        <f>IF(AND(B30&gt;0,B28&gt;0,D110),ROUNDUP(ROUND((B30+B28),2)/24,2),
IF(AND(
E14&lt;=DATEVALUE("12/31/"&amp;E30),
E16&gt;=DATEVALUE("1/1/"&amp;E28),
E16&gt;=E14,
B30&gt;0,
B28&gt;0
),ROUNDUP((ROUND(B30,2)+ROUND(B28,2))/ROUNDUP((YEARFRAC(
MAX(E14,DATEVALUE("1/1/"&amp;E30)),
MIN(E16,DATEVALUE("12/31/"&amp;E28))+1,4
)*12),2),2),0))</f>
        <v>0</v>
      </c>
      <c r="O34" s="1434"/>
      <c r="P34" s="1434"/>
      <c r="Q34" s="1434"/>
      <c r="R34" s="315" t="str">
        <f>IF(X109=TRUE,"(10 mo.) Semimonthly","")</f>
        <v/>
      </c>
      <c r="S34" s="1435">
        <f>IF(N34&gt;0,
"=("&amp;ROUND(B30,2)&amp;"+"&amp;ROUND(B28,2)&amp;")/"&amp;IF(D110,24,ROUNDUP((YEARFRAC(
MAX(E14,DATEVALUE("1/1/"&amp;E30)),
MIN(E16,DATEVALUE("12/31/"&amp;E28))+1,4
)*12),2)),0)</f>
        <v>0</v>
      </c>
      <c r="T34" s="1435"/>
      <c r="U34" s="1435"/>
      <c r="W34" s="1434">
        <f>N34*12</f>
        <v>0</v>
      </c>
      <c r="X34" s="1434"/>
    </row>
    <row r="35" spans="1:24" ht="2.85" customHeight="1" x14ac:dyDescent="0.3">
      <c r="F35" s="1450"/>
      <c r="G35" s="1450"/>
      <c r="H35" s="1450"/>
      <c r="I35" s="1450"/>
      <c r="J35" s="1450"/>
      <c r="K35" s="1450"/>
      <c r="L35" s="314"/>
      <c r="N35" s="318">
        <f>IF(D110,ROUNDUP(ROUND(B28,2)/12,2),
IF(AND(
E14&lt;=DATEVALUE("12/31/"&amp;E28),
E16&gt;=DATEVALUE("1/1/"&amp;E28),
E16&gt;=E14
),ROUNDUP(ROUND(B28,2)/ROUNDUP((YEARFRAC(
MAX(E14,DATEVALUE("1/1/"&amp;E28)),
MIN(E16,DATEVALUE("12/31/"&amp;E28))+1,4
)*12),2),2),0))</f>
        <v>0</v>
      </c>
      <c r="R35" s="315" t="str">
        <f>IF(X109=TRUE,"(10 mo.) Monthly","")</f>
        <v/>
      </c>
    </row>
    <row r="36" spans="1:24" ht="13.5" customHeight="1" x14ac:dyDescent="0.3">
      <c r="F36" s="1450"/>
      <c r="G36" s="1450"/>
      <c r="H36" s="1450"/>
      <c r="I36" s="1450"/>
      <c r="J36" s="1450"/>
      <c r="K36" s="1450"/>
      <c r="L36" s="314" t="str">
        <f>E32-2000&amp;"&amp;"&amp;E30-2000&amp;"&amp;YTD:"</f>
        <v>24&amp;25&amp;YTD:</v>
      </c>
      <c r="N36" s="1434">
        <f>IF(AND(B33&gt;0,B30&gt;0,B28&gt;0,D110),ROUNDUP(ROUND((B33+B30+B28),2)/36,2),
IF(AND(
E14&lt;=DATEVALUE("12/31/"&amp;E32),
E16&gt;=DATEVALUE("1/1/"&amp;E28),
E16&gt;=E14,
B33&gt;0,
B30&gt;0,
B28&gt;0
),ROUNDUP((ROUND(B33,2)+ROUND(B30,2)+ROUND(B28,2))/ROUNDUP((YEARFRAC(
MAX(E14,DATEVALUE("1/1/"&amp;E32)),
MIN(E16,DATEVALUE("12/31/"&amp;E28))+1,4
)*12),2),2),0))</f>
        <v>0</v>
      </c>
      <c r="O36" s="1434"/>
      <c r="P36" s="1434"/>
      <c r="Q36" s="1434"/>
      <c r="R36" s="315" t="str">
        <f>IF(X109=TRUE,"(9 mo.) Hourly","")</f>
        <v/>
      </c>
      <c r="S36" s="1435">
        <f>IF(N36&gt;0,
"=("&amp;ROUND(B32,2)&amp;"+"&amp;ROUND(B30,2)&amp;"+"&amp;ROUND(B28,2)&amp;")/"&amp;IF(D110,36,ROUNDUP((YEARFRAC(
MAX(E14,DATEVALUE("1/1/"&amp;E32)),
MIN(E16,DATEVALUE("12/31/"&amp;E28))+1,4
)*12),2)),0)</f>
        <v>0</v>
      </c>
      <c r="T36" s="1435"/>
      <c r="U36" s="1435"/>
      <c r="W36" s="1434">
        <f>N36*12</f>
        <v>0</v>
      </c>
      <c r="X36" s="1434"/>
    </row>
    <row r="37" spans="1:24" ht="2.85" customHeight="1" x14ac:dyDescent="0.3">
      <c r="A37" s="1430"/>
      <c r="B37" s="1430"/>
      <c r="C37" s="1430"/>
      <c r="D37" s="1430"/>
      <c r="E37" s="1430"/>
      <c r="F37" s="1450"/>
      <c r="G37" s="1450"/>
      <c r="H37" s="1450"/>
      <c r="I37" s="1450"/>
      <c r="J37" s="1450"/>
      <c r="K37" s="1450"/>
      <c r="L37" s="314"/>
      <c r="N37" s="318">
        <f>IF(D110,ROUNDUP(ROUND(B30,2)/12,2),
IF(AND(
E14&lt;=DATEVALUE("12/31/"&amp;E30),
E16&gt;=DATEVALUE("1/1/"&amp;E30),
E16&gt;=E14
),ROUNDUP(ROUND(B30,2)/ROUNDUP((YEARFRAC(
MAX(E14,DATEVALUE("1/1/"&amp;E30)),
MIN(E16,DATEVALUE("12/31/"&amp;E30))+1,4
)*12),2),2),0))</f>
        <v>0</v>
      </c>
      <c r="R37" s="315" t="str">
        <f>IF(X109=TRUE,"(9 mo.) Weekly","")</f>
        <v/>
      </c>
    </row>
    <row r="38" spans="1:24" ht="13.5" customHeight="1" x14ac:dyDescent="0.3">
      <c r="A38" s="1447" t="s">
        <v>1369</v>
      </c>
      <c r="B38" s="1473"/>
      <c r="C38" s="1473"/>
      <c r="D38" s="1473"/>
      <c r="E38" s="1430"/>
      <c r="F38" s="1450"/>
      <c r="G38" s="1450"/>
      <c r="H38" s="1450"/>
      <c r="I38" s="1450"/>
      <c r="J38" s="1450"/>
      <c r="K38" s="1450"/>
      <c r="L38" s="314" t="str">
        <f>E32-2000&amp;"&amp;"&amp;E30-2000&amp;":"</f>
        <v>24&amp;25:</v>
      </c>
      <c r="N38" s="1434">
        <f>IF(AND(B33&gt;0,B30&gt;0,D110),ROUNDUP(ROUND((B33+B30),2)/24,2),
IF(AND(
E14&lt;=DATEVALUE("12/31/"&amp;E32),
E16&gt;=DATEVALUE("1/1/"&amp;E30),
E16&gt;=E14,
B33&gt;0,
B30&gt;0
),ROUNDUP((ROUND(B33,2)+ROUND(B30,2))/ROUNDUP((YEARFRAC(
MAX(E14,DATEVALUE("1/1/"&amp;E32)),
MIN(E16,DATEVALUE("12/31/"&amp;E30))+1,4
)*12),2),2),0))</f>
        <v>0</v>
      </c>
      <c r="O38" s="1434"/>
      <c r="P38" s="1434"/>
      <c r="Q38" s="1434"/>
      <c r="R38" s="315" t="str">
        <f>IF(X109=TRUE,"(9 mo.) Biweekly","")</f>
        <v/>
      </c>
      <c r="S38" s="1435">
        <f>IF(N38&gt;0,
"=("&amp;ROUND(B32,2)&amp;"+"&amp;ROUND(B30,2)&amp;")/"&amp;IF(D110,24,ROUNDUP((YEARFRAC(
MAX(E14,DATEVALUE("1/1/"&amp;E32)),
MIN(E16,DATEVALUE("12/31/"&amp;E30))+1,4
)*12),2)),0)</f>
        <v>0</v>
      </c>
      <c r="T38" s="1435"/>
      <c r="U38" s="1435"/>
      <c r="W38" s="1434">
        <f>N38*12</f>
        <v>0</v>
      </c>
      <c r="X38" s="1434"/>
    </row>
    <row r="39" spans="1:24" ht="27.6" customHeight="1" x14ac:dyDescent="0.3">
      <c r="A39" s="1447"/>
      <c r="B39" s="1439" t="s">
        <v>1368</v>
      </c>
      <c r="C39" s="1439"/>
      <c r="D39" s="1439"/>
      <c r="E39" s="1430"/>
      <c r="F39" s="1450"/>
      <c r="G39" s="1450"/>
      <c r="H39" s="1450"/>
      <c r="I39" s="1450"/>
      <c r="J39" s="1450"/>
      <c r="K39" s="1450"/>
      <c r="L39" s="804">
        <f>IF(AND(N28&gt;0,N28=N39),4,
IF(AND(N26&gt;0,N26&lt;N39),3,
IF(AND(N26&gt;0,ROUNDUP((YEARFRAC(MAX(E14,DATEVALUE("1/1/"&amp;E28)),MIN(E16,DATEVALUE("12/31/"&amp;E28))+1,4)*12),2)&gt;=6,N26&lt;=N28),3,
IF(AND(N26&gt;0,ROUNDUP((YEARFRAC(MAX(E14,DATEVALUE("1/1/"&amp;E30)),MIN(E16,DATEVALUE("12/31/"&amp;E28))+1,4)*12),2)&gt;=6,ROUNDUP((YEARFRAC(MAX(E14,DATEVALUE("1/1/"&amp;E28)),MIN(E16,DATEVALUE("12/31/"&amp;E28))+1,4)*12),2)&lt;6,N26&lt;=N34),3,
IF(AND(AND(N38&gt;0,N38=N39),N36&gt;0,IF(AND(N32&gt;0,N30&gt;0,N28&gt;0),AND((ROUNDUP(N32/N30-1,2))*-100&lt;26,(ROUNDUP(N30/N28-1,2))*-100&lt;26,N28&gt;N30,N30&gt;N32),FALSE)),8,
IF(AND(N38&gt;0,N38=N39),9,
IF(AND(N36&gt;0,N36=N39),8,
IF(AND(N34&gt;0,N34=N39),7,
IF(AND(N28&gt;0,N28=N39),4,
IF(AND(N30&gt;0,N30=N39),5,
2))))))))))</f>
        <v>2</v>
      </c>
      <c r="N39" s="318">
        <f>IF(SUM(N33:Q38)&gt;0,SMALL(N33:Q38,COUNTIF(N33:Q38,0)+1),0)</f>
        <v>0</v>
      </c>
      <c r="R39" s="315" t="str">
        <f>IF(X109=TRUE,"(9 mo.) Semimonthly","")</f>
        <v/>
      </c>
      <c r="S39" s="318">
        <f>IF(L39=3,N26,
IF(L39=4,N28,
IF(L39=5,N30,
IF(L39=7,N34,
IF(L39=8,N36,
IF(L39=9,N38,0))))))</f>
        <v>0</v>
      </c>
      <c r="U39" s="1064">
        <f>IF(AND($M$20="Freddie",N30&gt;0,N28&gt;0,N28&gt;N30),((N28/N30)-1),
IF(AND($M$20="Freddie",N30&gt;0,N28&gt;0,N28&lt;N30),(((N28/N30)-1)*-1),0))</f>
        <v>0</v>
      </c>
      <c r="W39" s="805" t="str">
        <f>IF(L39=3,N26,IF(L39=4,N28,IF(L39=5,N30,IF(L39=6,N32,IF(L39=7,N34,IF(L39=8,N36,IF(L39=9,N38,"")))))))</f>
        <v/>
      </c>
    </row>
    <row r="40" spans="1:24" ht="6" customHeight="1" x14ac:dyDescent="0.3">
      <c r="A40" s="1144"/>
      <c r="B40" s="1143"/>
      <c r="C40" s="1143"/>
      <c r="D40" s="1143"/>
      <c r="E40" s="300"/>
      <c r="F40" s="1146"/>
      <c r="G40" s="1146"/>
      <c r="H40" s="1146"/>
      <c r="I40" s="1146"/>
      <c r="J40" s="1146"/>
      <c r="K40" s="1146"/>
      <c r="L40" s="1142"/>
      <c r="N40" s="318"/>
      <c r="R40" s="315"/>
      <c r="S40" s="318"/>
      <c r="U40" s="1064"/>
      <c r="W40" s="805"/>
    </row>
    <row r="41" spans="1:24" ht="13.5" customHeight="1" x14ac:dyDescent="0.3">
      <c r="A41" s="1448" t="s">
        <v>541</v>
      </c>
      <c r="B41" s="1448"/>
      <c r="C41" s="1449" t="s">
        <v>847</v>
      </c>
      <c r="D41" s="1449"/>
      <c r="E41" s="1449"/>
      <c r="F41" s="1449"/>
      <c r="G41" s="1449"/>
      <c r="H41" s="1449"/>
      <c r="I41" s="1449"/>
      <c r="J41" s="1449"/>
      <c r="L41" s="228" t="s">
        <v>534</v>
      </c>
      <c r="N41" s="1440">
        <f>IF(AND(OR($M$20&lt;&gt;"Fannie",$M$20&lt;&gt;"Freddie"),$J$21="Yes",B53&lt;&gt;"N/A"),B53,
IF(L56=3,"Expert",
IF(L56=4,"YTD",
IF(L56=5,E47-2000,
IF(L56=6,E49-2000,
IF(L56=7,E47-2000&amp;"&amp;YTD",
IF(L56=8,E49-2000&amp;"&amp;"&amp;E47-2000&amp;"&amp;YTD",
IF(L56=9,E49-2000&amp;"&amp;"&amp;E47-2000,
0))))))))</f>
        <v>0</v>
      </c>
      <c r="O41" s="1440"/>
      <c r="P41" s="1440"/>
      <c r="Q41" s="1440"/>
      <c r="R41" s="315" t="str">
        <f>IF(X109=TRUE,"(9 mo.) Monthly","")</f>
        <v/>
      </c>
      <c r="W41" s="316"/>
      <c r="X41" s="319"/>
    </row>
    <row r="42" spans="1:24" ht="13.5" customHeight="1" x14ac:dyDescent="0.3">
      <c r="B42" s="1430" t="s">
        <v>466</v>
      </c>
      <c r="C42" s="1430"/>
      <c r="D42" s="1430"/>
      <c r="F42" s="1441" t="str">
        <f>IF(AND(OR($M$20&lt;&gt;"Fannie",$M$20&lt;&gt;"Freddie"),$J$21="Yes",B53&lt;&gt;"N/A",M111&lt;&gt;2),"- Using Validated Income, enter monthly 
amount that is verified with AUS only.",
IF(AND(OR($M$20&lt;&gt;"Fannie",$M$20&lt;&gt;"Freddie"),$J$21="Yes",B53&lt;&gt;"N/A",M111=2),"- Pay Omitted",
IF(M111=2,"- Pay omitted",
IF(AND(B49&gt;0,B45&gt;0,B47=0),"- "&amp;E47&amp;" field incomplete"&amp;CHAR(10),"")&amp;
IF(AND(D111=FALSE,SUM(B49,B47,B45)&lt;&gt;0,E14&lt;&gt;0,E16&lt;&gt;0,OR(
E14&gt;E16,
E14&gt;DATEVALUE("12/31/"&amp;IF(B45&gt;0,E45,IF(B47&gt;0,E47,E49))),
E14&gt;DATEVALUE("12/31/"&amp;IF(B49&gt;0,E49,IF(B47&gt;0,E47,E45))),
)),"- Invalid Start Date"&amp;CHAR(10),"")&amp;
IF(AND(D111=FALSE,SUM(B49,B47,B45)&lt;&gt;0,E14&lt;&gt;0,E16&lt;&gt;0,OR(
AND(B49&gt;0,B47=0,B45=0,E16&gt;DATEVALUE("12/31/"&amp;E49)),
AND(B47&gt;0,B45=0,E16&gt;DATEVALUE("12/31/"&amp;E47)),
AND(B45&gt;0,E16&gt;DATEVALUE("12/31/"&amp;E45)),
E16&lt;E14,
E16&gt;DATEVALUE("12/31/"&amp;IF(B45&gt;0,E45,IF(B47&gt;0,E47,E49))),
E16&lt;DATEVALUE("1/1/"&amp;IF(B49&gt;0,E49,IF(B47&gt;0,E47,E45))),
E16&gt;DATEVALUE("12/31/"&amp;IF(AND(B49&gt;0,B47=0,B45=0),E49,IF(AND(B47&gt;0,B45=0),E47,E45))),
E16&lt;DATEVALUE("1/1/"&amp;IF(B45&gt;0,E45,IF(B47&gt;0,E47,E49)))
)),"- Invalid pay date"&amp;CHAR(10),"")&amp;
IF(AND(D111=FALSE,SUM(B49,B47,B45)&lt;&gt;0,E14=0),"- Start Date field incomplete"&amp;CHAR(10),"")&amp;
IF(AND(D111=FALSE,SUM(B49,B47,B45)&lt;&gt;0,E16=0),"- Pay date field incomplete"&amp;CHAR(10),"")&amp;
IF(AND(X109=TRUE,OR(B45&lt;&gt;"",B47&lt;&gt;"",B49&lt;&gt;""),S14&gt;=X24-2),"*YTD calcs, Prior Year &amp; Percentages of increase/decrease may be incorrect due to 9/10 month pay structure."&amp;CHAR(10),"")&amp;
IF(AND(X109=TRUE,OR(B45&lt;&gt;"",B47&lt;&gt;"",B49&lt;&gt;""),S14&lt;X24-2),"*YTD calcs &amp; Percentages of increase/decrease may be incorrect due to 9/10 month pay structure."&amp;CHAR(10),"")&amp;
IF(OR(AND(M111=9,N47&gt;0,N49&gt;0,N49&gt;N47),AND(M111=7,N45&gt;0,N47&gt;0,N47&gt;N45),AND(M111=8,OR(AND(N47&gt;0,N49&gt;0,N49&gt;N47),AND(N45&gt;0,N47&gt;0,N47&gt;N45)))),"- Invalid selection due to the decline"&amp;CHAR(10),
IF(AND(N47&gt;0,N45&gt;0,N47&gt;N45),"- Unstabilized decline, justification required in notes below."&amp;CHAR(10),"")&amp;
IF(AND(D111=FALSE,N43&gt;0,M111=3,L56&lt;&gt;3),"- Expert selected but does not appear to be supported by recent history, justification required in notes below."&amp;CHAR(10),IF(IF(AND(M111=8,L56&lt;&gt;8,N55&gt;0,N55=N56,N53&gt;0,N49&gt;0,N47&gt;0,N49&gt;0),OR((ROUNDUP(N49/N47-1,2))*-100&gt;=26,(ROUNDUP(N47/N45-1,2))*-100&gt;=26)),"- Inconsistently steep increase in average pay, justification required in notes below."&amp;CHAR(10),IF(AND(M111&lt;&gt;L56,Q96&gt;S56,IF(AND(N55&gt;0,N55=N56,N53&gt;0,M111=8,N49&gt;0,N47&gt;0,N45&gt;0),AND(ROUNDUP(N49/N47-1,2)*-100&lt;26,ROUNDUP(N47/N45-1,2)*-100&lt;26),TRUE)),"-  Unconservative selection, justification required in notes below."&amp;CHAR(10),""))))
&amp;
IF(AND(SUM(B49,B47,B45,C43)&gt;0,N41=0),"- Insufficient information to make a recommendation."&amp;CHAR(10),"")&amp;
IF(AND(N49&gt;0,N47&gt;0,N49&gt;N47),"- "&amp;(ROUNDUP(N47/N49-1,2))*-100&amp;"% decline from '"&amp;E49-2000&amp;" to '"&amp;E47-2000&amp;CHAR(10),"")&amp;
IF(AND(N47&gt;0,N45&gt;0,N47&gt;N45),"- "&amp;(ROUNDUP(N45/N47-1,2))*-100&amp;"% decline from '"&amp;E47-2000&amp;" to '"&amp;E45-2000&amp;CHAR(10),"")&amp;
IF(AND(M20="Freddie",N47&gt;0,N45&gt;0,N47&gt;N45,U56&gt;0,U56&lt;=0.1),CONCATENATE("    For 0% - 10% decreases, must not include the previous higher level unless there is documentation of a one-time occurrence","  (e.g., injury) that prevented the Borrower from working or earning full income for a period of time and evidence that the Borrower is back to the income amount that was previously earned.")&amp;CHAR(10),"")&amp;
IF(AND(M20="Freddie",N47&gt;0,N45&gt;0,N47&gt;N45,U56&gt;0.1),CONCATENATE("Caution, greater than 10% decrease; must conduct further analysis and additional documentation may be necessary to determine whether the income is currently stable."," This analysis must include the reason for the declining trend, and support that the current income has stabilized.")&amp;CHAR(10),"")&amp;
IF(AND(N49&gt;0,N47&gt;0,N49&lt;N47),"* "&amp;(ROUNDDOWN(N47/N49-1,3))*100&amp;"% increase from '"&amp;E32-2000&amp;" to '"&amp;E30-2000&amp;CHAR(10),"")&amp;
IF(AND(N47&gt;0,N45&gt;0,N47&lt;N45),"* "&amp;(ROUNDDOWN(N45/N47-1,3))*100&amp;"% increase from '"&amp;E30-2000&amp;" to '"&amp;E28-2000&amp;CHAR(10),"")&amp;
IF(AND(M20="Freddie",N47&gt;0,N45&gt;0,N47&lt;N45,U56&gt;=0,U56&lt;=0.1),""&amp;CHAR(10),"")&amp;
IF(AND(M20="Freddie",N47&gt;0,N45&gt;0,N47&lt;N45,U56&gt;0.1,U56&lt;=0.3),CONCATENATE("For 10% - 30% increases, if the increase is supported by the documented income breakdown and/or verification of pay raise, no additional analysis or documentation is required .","Otherwise, additional analysis is required, and additional documentation may be necessary to determine income stability and develop an accurate calculation of qualifying income.")&amp;CHAR(10),"")&amp;
IF(AND(M20="Freddie",N47&gt;0,N45&gt;0,N47&lt;N45,U56&gt;0.3),CONCATENATE("    For Increases greater than 30%, additional analysis is required and additional documentation will likely be necessary to determine income stability and develop an accurate calculation of qualifying income."," The analysis and documentation must support the amount of income used to qualify the Borrower.")&amp;CHAR(10),"")&amp;
IF(AND(N45&gt;0,N45&gt;W56,$I$17&lt;1,$I$17&lt;&gt;"",D111&lt;&gt;TRUE,M111=4),"- YTD should not be used when less than 1 month,
YTD income calc may also be off due to being unable to calculation properly over such limited time."&amp;CHAR(10),"")&amp;
IF(AND(U1="FHA",OR(N51&gt;0,N53&gt;0),B45&gt;0,B47&gt;0),"- FHA Guidelines allow for last 2 years of income including YTD; consider using the calculation including YTD.",""))))</f>
        <v/>
      </c>
      <c r="G42" s="1441"/>
      <c r="H42" s="1441"/>
      <c r="I42" s="1441"/>
      <c r="J42" s="1441"/>
      <c r="K42" s="1441"/>
      <c r="L42" s="314" t="s">
        <v>537</v>
      </c>
      <c r="N42" s="1443" t="s">
        <v>461</v>
      </c>
      <c r="O42" s="1443"/>
      <c r="P42" s="1443"/>
      <c r="Q42" s="1443"/>
      <c r="R42" s="315"/>
      <c r="S42" s="1443" t="s">
        <v>462</v>
      </c>
      <c r="T42" s="1443"/>
      <c r="U42" s="1443"/>
      <c r="W42" s="1430" t="s">
        <v>538</v>
      </c>
      <c r="X42" s="1430"/>
    </row>
    <row r="43" spans="1:24" ht="12.75" hidden="1" customHeight="1" x14ac:dyDescent="0.3">
      <c r="A43" s="316" t="s">
        <v>465</v>
      </c>
      <c r="B43" s="320" t="str">
        <f>IF(C43&lt;&gt;"","$","")</f>
        <v/>
      </c>
      <c r="C43" s="1444"/>
      <c r="D43" s="1444"/>
      <c r="F43" s="1441"/>
      <c r="G43" s="1441"/>
      <c r="H43" s="1441"/>
      <c r="I43" s="1441"/>
      <c r="J43" s="1441"/>
      <c r="K43" s="1441"/>
      <c r="L43" s="314" t="s">
        <v>465</v>
      </c>
      <c r="N43" s="1434">
        <f>ROUNDUP(
IF(F43=2,ROUND(C43,2)*ROUND(K43,2)*52/12,
IF(F43=3,ROUND(C43,2)*52/12,
IF(F43=4,ROUND(C43,2)*26/12,
IF(F43=5,ROUND(C43,2)*2,
IF(F43=6,ROUND(C43,2),
IF(F43=7,ROUND(C43,2)/12,
0)))))),2)</f>
        <v>0</v>
      </c>
      <c r="O43" s="1434"/>
      <c r="P43" s="1434"/>
      <c r="Q43" s="1434"/>
      <c r="R43" s="315"/>
      <c r="S43" s="1435">
        <f>IF(N43&gt;0,
IF(F43=2,"="&amp;ROUND(C43,2)&amp;"*"&amp;ROUND(K43,2)&amp;"*52/12",
IF(F43=3,"="&amp;ROUND(C43,2)&amp;"*52/12",
IF(F43=4,"="&amp;ROUND(C43,2)&amp;"*26/12",
IF(F43=5,"="&amp;ROUND(C43,2)&amp;"*2",
IF(F43=6,"="&amp;ROUND(C43,2),
IF(F43=7,"="&amp;ROUND(C43,2)&amp;"/12",
0)))))),0)</f>
        <v>0</v>
      </c>
      <c r="T43" s="1435"/>
      <c r="U43" s="1435"/>
      <c r="W43" s="1434">
        <f>N43*12</f>
        <v>0</v>
      </c>
      <c r="X43" s="1434"/>
    </row>
    <row r="44" spans="1:24" ht="12.75" hidden="1" customHeight="1" x14ac:dyDescent="0.3">
      <c r="F44" s="1441"/>
      <c r="G44" s="1441"/>
      <c r="H44" s="1441"/>
      <c r="I44" s="1441"/>
      <c r="J44" s="1441"/>
      <c r="K44" s="1441"/>
      <c r="L44" s="314"/>
      <c r="R44" s="315"/>
    </row>
    <row r="45" spans="1:24" ht="13.5" customHeight="1" x14ac:dyDescent="0.3">
      <c r="A45" s="316" t="str">
        <f>E45&amp;":"</f>
        <v>2026:</v>
      </c>
      <c r="B45" s="1442"/>
      <c r="C45" s="1442"/>
      <c r="D45" s="1442"/>
      <c r="E45" s="134">
        <f>IF(OR(X24&lt;2000,X24&gt;2099),2015,ROUND(X24,0))</f>
        <v>2026</v>
      </c>
      <c r="F45" s="1441"/>
      <c r="G45" s="1441"/>
      <c r="H45" s="1441"/>
      <c r="I45" s="1441"/>
      <c r="J45" s="1441"/>
      <c r="K45" s="1441"/>
      <c r="L45" s="314" t="s">
        <v>544</v>
      </c>
      <c r="N45" s="1434">
        <f>IF(D111,ROUNDUP(ROUND(B45,2)/12,2),
IF(AND(
E14&lt;=DATEVALUE("12/31/"&amp;E45),
E16&gt;=DATEVALUE("1/1/"&amp;E45),
E16&gt;=E14
),ROUNDUP(ROUND(B45,2)/ROUNDUP((YEARFRAC(
MAX(E14,DATEVALUE("1/1/"&amp;E45)),
MIN(E16,DATEVALUE("12/31/"&amp;E45))+1,4
)*12),2),2),0))</f>
        <v>0</v>
      </c>
      <c r="O45" s="1434"/>
      <c r="P45" s="1434"/>
      <c r="Q45" s="1434"/>
      <c r="R45" s="315"/>
      <c r="S45" s="1435">
        <f>IF(N45&gt;0,
"="&amp;ROUND(B45,2)&amp;"/"&amp;IF(D111,12,ROUNDUP((YEARFRAC(
MAX(E14,DATEVALUE("1/1/"&amp;E45)),
MIN(E16,DATEVALUE("12/31/"&amp;E45))+1,4
)*12),2)),0)</f>
        <v>0</v>
      </c>
      <c r="T45" s="1435"/>
      <c r="U45" s="1435"/>
      <c r="W45" s="1434">
        <f>N45*12</f>
        <v>0</v>
      </c>
      <c r="X45" s="1434"/>
    </row>
    <row r="46" spans="1:24" ht="2.85" customHeight="1" x14ac:dyDescent="0.3">
      <c r="F46" s="1441"/>
      <c r="G46" s="1441"/>
      <c r="H46" s="1441"/>
      <c r="I46" s="1441"/>
      <c r="J46" s="1441"/>
      <c r="K46" s="1441"/>
      <c r="L46" s="314"/>
      <c r="R46" s="315"/>
    </row>
    <row r="47" spans="1:24" ht="13.5" customHeight="1" x14ac:dyDescent="0.3">
      <c r="A47" s="316" t="str">
        <f>E47&amp;":"</f>
        <v>2025:</v>
      </c>
      <c r="B47" s="1442"/>
      <c r="C47" s="1442"/>
      <c r="D47" s="1442"/>
      <c r="E47" s="134">
        <f>E45-1</f>
        <v>2025</v>
      </c>
      <c r="F47" s="1441"/>
      <c r="G47" s="1441"/>
      <c r="H47" s="1441"/>
      <c r="I47" s="1441"/>
      <c r="J47" s="1441"/>
      <c r="K47" s="1441"/>
      <c r="L47" s="314" t="str">
        <f>E47-2000&amp;":"</f>
        <v>25:</v>
      </c>
      <c r="N47" s="1434">
        <f>IF(D111,ROUNDUP(ROUND(B47,2)/12,2),
IF(AND(
E14&lt;=DATEVALUE("12/31/"&amp;E47),
E16&gt;=DATEVALUE("1/1/"&amp;E47),
E16&gt;=E14
),ROUNDUP(ROUND(B47,2)/ROUNDUP((YEARFRAC(
MAX(E14,DATEVALUE("1/1/"&amp;E47)),
MIN(E16,DATEVALUE("12/31/"&amp;E47))+1,4
)*12),2),2),0))</f>
        <v>0</v>
      </c>
      <c r="O47" s="1434"/>
      <c r="P47" s="1434"/>
      <c r="Q47" s="1434"/>
      <c r="R47" s="315"/>
      <c r="S47" s="1435">
        <f>IF(N47&gt;0,
"="&amp;ROUND(B47,2)&amp;"/"&amp;
IF(D111,12,
ROUNDUP((YEARFRAC(
MAX(E14,DATEVALUE("1/1/"&amp;E47)),
MIN(E16,DATEVALUE("12/31/"&amp;E47))+1,4
)*12),2)),0)</f>
        <v>0</v>
      </c>
      <c r="T47" s="1435"/>
      <c r="U47" s="1435"/>
      <c r="W47" s="1434">
        <f>N47*12</f>
        <v>0</v>
      </c>
      <c r="X47" s="1434"/>
    </row>
    <row r="48" spans="1:24" ht="2.85" customHeight="1" x14ac:dyDescent="0.3">
      <c r="F48" s="1441"/>
      <c r="G48" s="1441"/>
      <c r="H48" s="1441"/>
      <c r="I48" s="1441"/>
      <c r="J48" s="1441"/>
      <c r="K48" s="1441"/>
      <c r="L48" s="314"/>
    </row>
    <row r="49" spans="1:24" ht="13.5" customHeight="1" x14ac:dyDescent="0.3">
      <c r="A49" s="316" t="str">
        <f>E49&amp;":"</f>
        <v>2024:</v>
      </c>
      <c r="B49" s="1442"/>
      <c r="C49" s="1442"/>
      <c r="D49" s="1442"/>
      <c r="E49" s="134">
        <f>E45-2</f>
        <v>2024</v>
      </c>
      <c r="F49" s="1441"/>
      <c r="G49" s="1441"/>
      <c r="H49" s="1441"/>
      <c r="I49" s="1441"/>
      <c r="J49" s="1441"/>
      <c r="K49" s="1441"/>
      <c r="L49" s="314" t="str">
        <f>E49-2000&amp;":"</f>
        <v>24:</v>
      </c>
      <c r="N49" s="1434">
        <f>IF(D111,ROUNDUP(ROUND(B49,2)/12,2),
IF(AND(
E14&lt;=DATEVALUE("12/31/"&amp;E49),
E16&gt;=DATEVALUE("1/1/"&amp;E49),
E16&gt;=E14
),ROUNDUP(ROUND(B49,2)/ROUNDUP((YEARFRAC(
MAX(E14,DATEVALUE("1/1/"&amp;E49)),
MIN(E16,DATEVALUE("12/31/"&amp;E49))+1,4
)*12),2),2),0))</f>
        <v>0</v>
      </c>
      <c r="O49" s="1434"/>
      <c r="P49" s="1434"/>
      <c r="Q49" s="1434"/>
      <c r="S49" s="1435">
        <f>IF(N49&gt;0,
"="&amp;ROUND(B49,2)&amp;"/"&amp;
IF(D111,12,
ROUNDUP((YEARFRAC(
MAX(E14,DATEVALUE("1/1/"&amp;E49)),
MIN(E16,DATEVALUE("12/31/"&amp;E49))+1,4
)*12),2)),0)</f>
        <v>0</v>
      </c>
      <c r="T49" s="1435"/>
      <c r="U49" s="1435"/>
      <c r="W49" s="1434">
        <f>N49*12</f>
        <v>0</v>
      </c>
      <c r="X49" s="1434"/>
    </row>
    <row r="50" spans="1:24" ht="2.85" customHeight="1" x14ac:dyDescent="0.3">
      <c r="F50" s="1441"/>
      <c r="G50" s="1441"/>
      <c r="H50" s="1441"/>
      <c r="I50" s="1441"/>
      <c r="J50" s="1441"/>
      <c r="K50" s="1441"/>
      <c r="L50" s="314"/>
      <c r="N50" s="318">
        <f>ROUNDUP(
IF(F43=2,ROUND(C43,2)*ROUND(K43,2)*52/12,
IF(F43=3,ROUND(C43,2)*52/12,
IF(F43=4,ROUND(C43,2)*26/12,
IF(F43=5,ROUND(C43,2)*2,
IF(F43=6,ROUND(C43,2),
IF(F43=7,ROUND(C43,2)/12,
0)))))),2)</f>
        <v>0</v>
      </c>
    </row>
    <row r="51" spans="1:24" ht="13.5" customHeight="1" x14ac:dyDescent="0.3">
      <c r="A51" s="1430"/>
      <c r="B51" s="1430"/>
      <c r="C51" s="1430"/>
      <c r="D51" s="1430"/>
      <c r="F51" s="1441"/>
      <c r="G51" s="1441"/>
      <c r="H51" s="1441"/>
      <c r="I51" s="1441"/>
      <c r="J51" s="1441"/>
      <c r="K51" s="1441"/>
      <c r="L51" s="314" t="str">
        <f>E47-2000&amp;"&amp;YTD:"</f>
        <v>25&amp;YTD:</v>
      </c>
      <c r="N51" s="1434">
        <f>IF(AND(B47&gt;0,B45&gt;0,D111),ROUNDUP(ROUND((B47+B45),2)/24,2),
IF(AND(
E14&lt;=DATEVALUE("12/31/"&amp;E47),
E16&gt;=DATEVALUE("1/1/"&amp;E45),
E16&gt;=E14,
B47&gt;0,
B45&gt;0
),ROUNDUP((ROUND(B47,2)+ROUND(B45,2))/ROUNDUP((YEARFRAC(
MAX(E14,DATEVALUE("1/1/"&amp;E47)),
MIN(E16,DATEVALUE("12/31/"&amp;E45))+1,4
)*12),2),2),0))</f>
        <v>0</v>
      </c>
      <c r="O51" s="1434"/>
      <c r="P51" s="1434"/>
      <c r="Q51" s="1434"/>
      <c r="S51" s="1435">
        <f>IF(N51&gt;0,
"=("&amp;ROUND(B47,2)&amp;"+"&amp;ROUND(B45,2)&amp;")/"&amp;IF(D111,24,ROUNDUP((YEARFRAC(
MAX(E14,DATEVALUE("1/1/"&amp;E47)),
MIN(E16,DATEVALUE("12/31/"&amp;E45))+1,4
)*12),2)),0)</f>
        <v>0</v>
      </c>
      <c r="T51" s="1435"/>
      <c r="U51" s="1435"/>
      <c r="W51" s="1434">
        <f>N51*12</f>
        <v>0</v>
      </c>
      <c r="X51" s="1434"/>
    </row>
    <row r="52" spans="1:24" ht="2.85" customHeight="1" x14ac:dyDescent="0.3">
      <c r="A52" s="1430"/>
      <c r="B52" s="1430"/>
      <c r="C52" s="1430"/>
      <c r="D52" s="1430"/>
      <c r="E52" s="1430"/>
      <c r="F52" s="1441"/>
      <c r="G52" s="1441"/>
      <c r="H52" s="1441"/>
      <c r="I52" s="1441"/>
      <c r="J52" s="1441"/>
      <c r="K52" s="1441"/>
      <c r="L52" s="314"/>
      <c r="N52" s="318">
        <f>IF(D111,ROUNDUP(ROUND(B45,2)/12,2),
IF(AND(
E14&lt;=DATEVALUE("12/31/"&amp;E45),
E16&gt;=DATEVALUE("1/1/"&amp;E45),
E16&gt;=E14
),ROUNDUP(ROUND(B45,2)/ROUNDUP((YEARFRAC(
MAX(E14,DATEVALUE("1/1/"&amp;E45)),
MIN(E16,DATEVALUE("12/31/"&amp;E45))+1,4
)*12),2),2),0))</f>
        <v>0</v>
      </c>
    </row>
    <row r="53" spans="1:24" ht="13.5" customHeight="1" x14ac:dyDescent="0.3">
      <c r="A53" s="1447" t="s">
        <v>1369</v>
      </c>
      <c r="B53" s="1473"/>
      <c r="C53" s="1473"/>
      <c r="D53" s="1473"/>
      <c r="E53" s="1430"/>
      <c r="F53" s="1441"/>
      <c r="G53" s="1441"/>
      <c r="H53" s="1441"/>
      <c r="I53" s="1441"/>
      <c r="J53" s="1441"/>
      <c r="K53" s="1441"/>
      <c r="L53" s="314" t="str">
        <f>E49-2000&amp;"&amp;"&amp;E47-2000&amp;"&amp;YTD:"</f>
        <v>24&amp;25&amp;YTD:</v>
      </c>
      <c r="N53" s="1434">
        <f>IF(AND(B49&gt;0,B47&gt;0,B45&gt;0,D111),ROUNDUP(ROUND((B49+B47+B45),2)/36,2),
IF(AND(
E14&lt;=DATEVALUE("12/31/"&amp;E49),
E16&gt;=DATEVALUE("1/1/"&amp;E45),
E16&gt;=E14,
B49&gt;0,
B47&gt;0,
B45&gt;0
),ROUNDUP((ROUND(B49,2)+ROUND(B47,2)+ROUND(B45,2))/ROUNDUP((YEARFRAC(
MAX(E14,DATEVALUE("1/1/"&amp;E49)),
MIN(E16,DATEVALUE("12/31/"&amp;E45))+1,4
)*12),2),2),0))</f>
        <v>0</v>
      </c>
      <c r="O53" s="1434"/>
      <c r="P53" s="1434"/>
      <c r="Q53" s="1434"/>
      <c r="S53" s="1435">
        <f>IF(N53&gt;0,
"=("&amp;ROUND(B49,2)&amp;"+"&amp;ROUND(B47,2)&amp;"+"&amp;ROUND(B45,2)&amp;")/"&amp;IF(D111,36,ROUNDUP((YEARFRAC(
MAX(E14,DATEVALUE("1/1/"&amp;E49)),
MIN(E16,DATEVALUE("12/31/"&amp;E45))+1,4
)*12),2)),0)</f>
        <v>0</v>
      </c>
      <c r="T53" s="1435"/>
      <c r="U53" s="1435"/>
      <c r="W53" s="1434">
        <f>N53*12</f>
        <v>0</v>
      </c>
      <c r="X53" s="1434"/>
    </row>
    <row r="54" spans="1:24" ht="2.85" customHeight="1" x14ac:dyDescent="0.3">
      <c r="A54" s="1447"/>
      <c r="B54" s="1439" t="s">
        <v>1368</v>
      </c>
      <c r="C54" s="1439"/>
      <c r="D54" s="1439"/>
      <c r="E54" s="1430"/>
      <c r="F54" s="1441"/>
      <c r="G54" s="1441"/>
      <c r="H54" s="1441"/>
      <c r="I54" s="1441"/>
      <c r="J54" s="1441"/>
      <c r="K54" s="1441"/>
      <c r="L54" s="314"/>
      <c r="N54" s="318">
        <f>IF(D111,ROUNDUP(ROUND(B47,2)/12,2),
IF(AND(
E14&lt;=DATEVALUE("12/31/"&amp;E47),
E16&gt;=DATEVALUE("1/1/"&amp;E47),
E16&gt;=E14
),ROUNDUP(ROUND(B47,2)/ROUNDUP((YEARFRAC(
MAX(E14,DATEVALUE("1/1/"&amp;E47)),
MIN(E16,DATEVALUE("12/31/"&amp;E47))+1,4
)*12),2),2),0))</f>
        <v>0</v>
      </c>
    </row>
    <row r="55" spans="1:24" ht="13.5" customHeight="1" x14ac:dyDescent="0.3">
      <c r="A55" s="1447"/>
      <c r="B55" s="1439"/>
      <c r="C55" s="1439"/>
      <c r="D55" s="1439"/>
      <c r="E55" s="1430"/>
      <c r="F55" s="1441"/>
      <c r="G55" s="1441"/>
      <c r="H55" s="1441"/>
      <c r="I55" s="1441"/>
      <c r="J55" s="1441"/>
      <c r="K55" s="1441"/>
      <c r="L55" s="314" t="str">
        <f>E49-2000&amp;"&amp;"&amp;E47-2000&amp;":"</f>
        <v>24&amp;25:</v>
      </c>
      <c r="N55" s="1434">
        <f>IF(AND(B49&gt;0,B47&gt;0,D111),ROUNDUP(ROUND((B49+B47),2)/24,2),
IF(AND(
E14&lt;=DATEVALUE("12/31/"&amp;E49),
E16&gt;=DATEVALUE("1/1/"&amp;E47),
E16&gt;=E14,
B49&gt;0,
B47&gt;0
),ROUNDUP((ROUND(B49,2)+ROUND(B47,2))/ROUNDUP((YEARFRAC(
MAX(E14,DATEVALUE("1/1/"&amp;E49)),
MIN(E16,DATEVALUE("12/31/"&amp;E47))+1,4
)*12),2),2),0))</f>
        <v>0</v>
      </c>
      <c r="O55" s="1434"/>
      <c r="P55" s="1434"/>
      <c r="Q55" s="1434"/>
      <c r="S55" s="1435">
        <f>IF(N55&gt;0,
"=("&amp;ROUND(B49,2)&amp;"+"&amp;ROUND(B47,2)&amp;")/"&amp;IF(D111,24,ROUNDUP((YEARFRAC(
MAX(E14,DATEVALUE("1/1/"&amp;E49)),
MIN(E16,DATEVALUE("12/31/"&amp;E47))+1,4
)*12),2)),0)</f>
        <v>0</v>
      </c>
      <c r="T55" s="1435"/>
      <c r="U55" s="1435"/>
      <c r="W55" s="1434">
        <f>N55*12</f>
        <v>0</v>
      </c>
      <c r="X55" s="1434"/>
    </row>
    <row r="56" spans="1:24" ht="14.4" customHeight="1" x14ac:dyDescent="0.3">
      <c r="A56" s="1447"/>
      <c r="B56" s="1439"/>
      <c r="C56" s="1439"/>
      <c r="D56" s="1439"/>
      <c r="E56" s="1430"/>
      <c r="F56" s="1441"/>
      <c r="G56" s="1441"/>
      <c r="H56" s="1441"/>
      <c r="I56" s="1441"/>
      <c r="J56" s="1441"/>
      <c r="K56" s="1441"/>
      <c r="L56" s="804">
        <f>IF(AND(N43&gt;0,N43&lt;N56),3,
IF(AND(N43&gt;0,ROUNDUP((YEARFRAC(MAX(E14,DATEVALUE("1/1/"&amp;E45)),MIN(E16,DATEVALUE("12/31/"&amp;E45))+1,4)*12),2)&gt;=6,N43&lt;=N45),3,
IF(AND(N43&gt;0,ROUNDUP((YEARFRAC(MAX(E14,DATEVALUE("1/1/"&amp;E47)),MIN(E16,DATEVALUE("12/31/"&amp;E45))+1,4)*12),2)&gt;=6,ROUNDUP((YEARFRAC(MAX(E14,DATEVALUE("1/1/"&amp;E45)),MIN(E16,DATEVALUE("12/31/"&amp;E45))+1,4)*12),2)&lt;6,N43&lt;=N51),3,
IF(AND(AND(N55&gt;0,N55=N56),N53&gt;0,IF(AND(N49&gt;0,N47&gt;0,N45&gt;0),AND((ROUNDUP(N49/N47-1,2))*-100&lt;26,(ROUNDUP(N47/N45-1,2))*-100&lt;26,N45&gt;N47,N47&gt;N49),FALSE)),8,
IF(AND(N55&gt;0,N55=N56),9,
IF(AND(N53&gt;0,N53=N56),8,
IF(AND(N51&gt;0,N51=N56),7,
IF(AND(N45&gt;0,N45=N56),4,
IF(AND(N47&gt;0,N47=N56),5,
2)))))))))</f>
        <v>2</v>
      </c>
      <c r="M56" s="318"/>
      <c r="N56" s="318">
        <f>IF(SUM(N50:Q55)&gt;0,SMALL(N50:Q55,COUNTIF(N50:Q55,0)+1),0)</f>
        <v>0</v>
      </c>
      <c r="O56" s="318"/>
      <c r="P56" s="318"/>
      <c r="Q56" s="318"/>
      <c r="R56" s="318"/>
      <c r="S56" s="318">
        <f>IF(L56=3,N43,
IF(L56=4,N45,
IF(L56=5,N47,
IF(L56=7,N51,
IF(L56=8,N53,
IF(L56=9,N55,0))))))</f>
        <v>0</v>
      </c>
      <c r="U56" s="1064">
        <f>IF(AND($M$20="Freddie",N47&gt;0,N45&gt;0,N45&gt;N47),((N45/N47)-1),
IF(AND($M$20="Freddie",N47&gt;0,N45&gt;0,N45&lt;N47),(((N45/N47)-1)*-1),0))</f>
        <v>0</v>
      </c>
      <c r="W56" s="805" t="str">
        <f>IF(L56=3,N43,IF(L56=4,N45,IF(L56=5,N47,IF(L56=6,N49,IF(L56=7,N51,IF(L56=8,N53,IF(L56=9,N55,"")))))))</f>
        <v/>
      </c>
    </row>
    <row r="57" spans="1:24" ht="5.4" customHeight="1" x14ac:dyDescent="0.3">
      <c r="B57" s="1145"/>
      <c r="C57" s="1145"/>
      <c r="D57" s="1145"/>
      <c r="F57" s="1147"/>
      <c r="G57" s="1147"/>
      <c r="H57" s="1147"/>
      <c r="I57" s="1147"/>
      <c r="J57" s="1147"/>
      <c r="K57" s="1147"/>
      <c r="L57" s="804"/>
      <c r="M57" s="318"/>
      <c r="N57" s="318"/>
      <c r="O57" s="318"/>
      <c r="P57" s="318"/>
      <c r="Q57" s="318"/>
      <c r="R57" s="318"/>
      <c r="S57" s="318"/>
      <c r="U57" s="1064"/>
      <c r="W57" s="805"/>
    </row>
    <row r="58" spans="1:24" ht="13.2" customHeight="1" x14ac:dyDescent="0.3">
      <c r="A58" s="1448" t="s">
        <v>542</v>
      </c>
      <c r="B58" s="1448"/>
      <c r="C58" s="1449" t="s">
        <v>847</v>
      </c>
      <c r="D58" s="1449"/>
      <c r="E58" s="1449"/>
      <c r="F58" s="1449"/>
      <c r="G58" s="1449"/>
      <c r="H58" s="1449"/>
      <c r="I58" s="1449"/>
      <c r="J58" s="1449"/>
      <c r="L58" s="228" t="s">
        <v>534</v>
      </c>
      <c r="N58" s="1440">
        <f>IF(AND(OR($M$20&lt;&gt;"Fannie",$M$20&lt;&gt;"Freddie"),$J$21="Yes",B70&lt;&gt;"N/A"),B70,
IF(L73=3,"Expert",
IF(L73=4,"YTD",
IF(L73=5,E64-2000,
IF(L73=6,E66-2000,
IF(L73=7,E64-2000&amp;"&amp;YTD",
IF(L73=8,E66-2000&amp;"&amp;"&amp;E64-2000&amp;"&amp;YTD",
IF(L73=9,E66-2000&amp;"&amp;"&amp;E64-2000,
0))))))))</f>
        <v>0</v>
      </c>
      <c r="O58" s="1440"/>
      <c r="P58" s="1440"/>
      <c r="Q58" s="1440"/>
      <c r="R58" s="85"/>
      <c r="W58" s="316"/>
      <c r="X58" s="319"/>
    </row>
    <row r="59" spans="1:24" ht="13.5" customHeight="1" x14ac:dyDescent="0.3">
      <c r="B59" s="1430" t="s">
        <v>466</v>
      </c>
      <c r="C59" s="1430"/>
      <c r="D59" s="1430"/>
      <c r="F59" s="1441" t="str">
        <f>IF(AND(OR($M$20&lt;&gt;"Fannie",$M$20&lt;&gt;"Freddie"),$J$21="Yes",B70&lt;&gt;"N/A",M112&lt;&gt;2),"- Using Validated Income, enter monthly 
amount that is verified with AUS only.",
IF(AND(OR($M$20&lt;&gt;"Fannie",$M$20&lt;&gt;"Freddie"),$J$21="Yes",B70&lt;&gt;"N/A",M112=2),"- Pay Omitted",
IF(M112=2,"- Pay omitted",
IF(AND(B66&gt;0,B62&gt;0,B64=0),"- "&amp;E64&amp;" field incomplete"&amp;CHAR(10),"")&amp;
IF(AND(D112=FALSE,SUM(B66,B64,B62)&lt;&gt;0,E14&lt;&gt;0,E16&lt;&gt;0,OR(
E14&gt;E16,
E14&gt;DATEVALUE("12/31/"&amp;IF(B62&gt;0,E62,IF(B64&gt;0,E64,E66))),
E14&gt;DATEVALUE("12/31/"&amp;IF(B66&gt;0,E66,IF(B64&gt;0,E64,E62))),
)),"- Invalid Start Date"&amp;CHAR(10),"")&amp;
IF(AND(D112=FALSE,SUM(B66,B64,B62)&lt;&gt;0,E14&lt;&gt;0,E16&lt;&gt;0,OR(
AND(B66&gt;0,B64=0,B62=0,E16&gt;DATEVALUE("12/31/"&amp;E66)),
AND(B64&gt;0,B62=0,E16&gt;DATEVALUE("12/31/"&amp;E64)),
AND(B62&gt;0,E16&gt;DATEVALUE("12/31/"&amp;E62)),
E16&lt;E14,
E16&gt;DATEVALUE("12/31/"&amp;IF(B62&gt;0,E62,IF(B64&gt;0,E64,E66))),
E16&lt;DATEVALUE("1/1/"&amp;IF(B66&gt;0,E66,IF(B64&gt;0,E64,E62))),
E16&gt;DATEVALUE("12/31/"&amp;IF(AND(B66&gt;0,B64=0,B62=0),E66,IF(AND(B64&gt;0,B62=0),E64,E62))),
E16&lt;DATEVALUE("1/1/"&amp;IF(B62&gt;0,E62,IF(B64&gt;0,E64,E66)))
)),"- Invalid pay date"&amp;CHAR(10),"")&amp;
IF(AND(D112=FALSE,SUM(B66,B64,B62)&lt;&gt;0,E14=0),"- Start Date field incomplete"&amp;CHAR(10),"")&amp;
IF(AND(D112=FALSE,SUM(B66,B64,B62)&lt;&gt;0,E16=0),"- Pay date field incomplete"&amp;CHAR(10),"")&amp;
IF(AND(X109=TRUE,OR(B62&lt;&gt;"",B64&lt;&gt;"",B66&lt;&gt;""),S14&gt;=X24-2),"*YTD calcs, Prior Year &amp; Percentages of increase/decrease may be incorrect due to 9/10 month pay structure."&amp;CHAR(10),"")&amp;
IF(AND(X109=TRUE,OR(B62&lt;&gt;"",B64&lt;&gt;"",B66&lt;&gt;""),S14&lt;X24-2),"*YTD calcs &amp; Percentages of increase/decrease may be incorrect due to 9/10 month pay structure."&amp;CHAR(10),"")&amp;
IF(OR(AND(M112=9,N64&gt;0,N66&gt;0,N66&gt;N64),AND(M112=7,N62&gt;0,N64&gt;0,N64&gt;N62),AND(M112=8,OR(AND(N64&gt;0,N66&gt;0,N66&gt;N64),AND(N62&gt;0,N64&gt;0,N64&gt;N62)))),"- Invalid selection due to the decline"&amp;CHAR(10),
IF(AND(N64&gt;0,N62&gt;0,N64&gt;N62),"- Unstabilized decline, justification required in notes below"&amp;CHAR(10),"")&amp;
IF(AND(D112=FALSE,N60&gt;0,M112=3,L73&lt;&gt;3),"- Expert selected but does not appear to be supported by recent history, justification required in notes below"&amp;CHAR(10),IF(IF(AND(M112=8,L73&lt;&gt;8,N72&gt;0,N72=N73,N70&gt;0,N66&gt;0,N64&gt;0,N66&gt;0),OR((ROUNDUP(N66/N64-1,2))*-100&gt;=26,(ROUNDUP(N64/N62-1,2))*-100&gt;=26)),"- Inconsistently steep increase in average pay, justification required in notes below"&amp;CHAR(10),IF(AND(M112&lt;&gt;L73,Q98&gt;S73,IF(AND(N72&gt;0,N72=N73,N70&gt;0,M112=8,N66&gt;0,N64&gt;0,N62&gt;0),AND(ROUNDUP(N66/N64-1,2)*-100&lt;26,ROUNDUP(N64/N62-1,2)*-100&lt;26),TRUE)),"-  Unconservative selection, justification required in notes below"&amp;CHAR(10),""))))
&amp;
IF(AND(SUM(B66,B64,B62,C60)&gt;0,N58=0),"- Insufficient information to make a recommendation"&amp;CHAR(10),"")&amp;
IF(AND(N66&gt;0,N64&gt;0,N66&gt;N64),"- "&amp;(ROUNDUP(N64/N66-1,2))*-100&amp;"% decline from '"&amp;E66-2000&amp;" to '"&amp;E64-2000&amp;CHAR(10),"")&amp;
IF(AND(N64&gt;0,N62&gt;0,N64&gt;N62),"- "&amp;(ROUNDUP(N62/N64-1,2))*-100&amp;"% decline from '"&amp;E64-2000&amp;" to '"&amp;E62-2000&amp;CHAR(10),"")&amp;
IF(AND(M20="Freddie",N64&gt;0,N62&gt;0,N64&gt;N62,U73&gt;0,U73&lt;=0.1),CONCATENATE("    For 0% - 10% decreases, must not include the previous higher level unless there is documentation of a one-time occurrence","  (e.g., injury) that prevented the Borrower from working or earning full income for a period of time and evidence that the Borrower is back to the income amount that was previously earned.")&amp;CHAR(10),"")&amp;
IF(AND(M20="Freddie",N64&gt;0,N62&gt;0,N64&gt;N62,U73&gt;0.1),CONCATENATE("Caution, greater than 10% decrease; must conduct further analysis and additional documentation may be necessary to determine whether the income is currently stable."," This analysis must include the reason for the declining trend, and support that the current income has stabilized.")&amp;CHAR(10),"")&amp;
IF(AND(N66&gt;0,N30&gt;0,N66&lt;N64),"* "&amp;(ROUNDDOWN(N64/N66-1,3))*100&amp;"% increase from '"&amp;E32-2000&amp;" to '"&amp;E30-2000&amp;CHAR(10),"")&amp;
IF(AND(N30&gt;0,N62&gt;0,N64&lt;N62),"* "&amp;(ROUNDDOWN(N62/N64-1,3))*100&amp;"% increase from '"&amp;E30-2000&amp;" to '"&amp;E28-2000&amp;CHAR(10),"")&amp;
IF(AND(M20="Freddie",N64&gt;0,N62&gt;0,N64&lt;N62,U73&gt;=0,U73&lt;=0.1),""&amp;CHAR(10),"")&amp;
IF(AND(M20="Freddie",N64&gt;0,N62&gt;0,N64&lt;N62,U73&gt;0.1,U73&lt;=0.3),CONCATENATE("For 10% - 30% increases, if the increase is supported by the documented income breakdown and/or verification of pay raise, no additional analysis or documentation is required .","Otherwise, additional analysis is required, and additional documentation may be necessary to determine income stability and develop an accurate calculation of qualifying income.")&amp;CHAR(10),"")&amp;
IF(AND(M20="Freddie",N64&gt;0,N62&gt;0,N64&lt;N62,U73&gt;0.3),CONCATENATE("    For Increases greater than 30%, additional analysis is required and additional documentation will likely be necessary to determine income stability and develop an accurate calculation of qualifying income."," The analysis and documentation must support the amount of income used to qualify the Borrower.")&amp;CHAR(10),"")&amp;
IF(AND(N62&gt;0,N62&gt;W73,$I$17&lt;1,$I$17&lt;&gt;"",D112&lt;&gt;TRUE,M112=4),"- YTD should not be used when less than 1 month,
YTD income calc may also be off due to being unable to calculation properly over such limited time"&amp;CHAR(10),"")&amp;
IF(AND(U1="FHA",OR(N68&gt;0,N70&gt;0),B62&gt;0,B64&gt;0),"- FHA Guidelines allow for last 2 years of income including YTD; consider using the calculation including YTD.",""))))</f>
        <v/>
      </c>
      <c r="G59" s="1441"/>
      <c r="H59" s="1441"/>
      <c r="I59" s="1441"/>
      <c r="J59" s="1441"/>
      <c r="K59" s="1441"/>
      <c r="L59" s="314" t="s">
        <v>537</v>
      </c>
      <c r="N59" s="1443" t="s">
        <v>461</v>
      </c>
      <c r="O59" s="1443"/>
      <c r="P59" s="1443"/>
      <c r="Q59" s="1443"/>
      <c r="R59" s="315"/>
      <c r="S59" s="1443" t="s">
        <v>462</v>
      </c>
      <c r="T59" s="1443"/>
      <c r="U59" s="1443"/>
      <c r="W59" s="1430" t="s">
        <v>538</v>
      </c>
      <c r="X59" s="1430"/>
    </row>
    <row r="60" spans="1:24" ht="12.75" hidden="1" customHeight="1" x14ac:dyDescent="0.3">
      <c r="A60" s="316" t="s">
        <v>465</v>
      </c>
      <c r="B60" s="320" t="str">
        <f>IF(C60&lt;&gt;"","$","")</f>
        <v/>
      </c>
      <c r="C60" s="1444"/>
      <c r="D60" s="1444"/>
      <c r="F60" s="1441"/>
      <c r="G60" s="1441"/>
      <c r="H60" s="1441"/>
      <c r="I60" s="1441"/>
      <c r="J60" s="1441"/>
      <c r="K60" s="1441"/>
      <c r="L60" s="314" t="s">
        <v>465</v>
      </c>
      <c r="N60" s="1434">
        <f>ROUNDUP(
IF(F60=2,ROUND(C60,2)*ROUND(K60,2)*52/12,
IF(F60=3,ROUND(C60,2)*52/12,
IF(F60=4,ROUND(C60,2)*26/12,
IF(F60=5,ROUND(C60,2)*2,
IF(F60=6,ROUND(C60,2),
IF(F60=7,ROUND(C60,2)/12,
0)))))),2)</f>
        <v>0</v>
      </c>
      <c r="O60" s="1434"/>
      <c r="P60" s="1434"/>
      <c r="Q60" s="1434"/>
      <c r="R60" s="315"/>
      <c r="S60" s="1435">
        <f>IF(N60&gt;0,
IF(F60=2,"="&amp;ROUND(C60,2)&amp;"*"&amp;ROUND(K60,2)&amp;"*52/12",
IF(F60=3,"="&amp;ROUND(C60,2)&amp;"*52/12",
IF(F60=4,"="&amp;ROUND(C60,2)&amp;"*26/12",
IF(F60=5,"="&amp;ROUND(C60,2)&amp;"*2",
IF(F60=6,"="&amp;ROUND(C60,2),
IF(F60=7,"="&amp;ROUND(C60,2)&amp;"/12",
0)))))),0)</f>
        <v>0</v>
      </c>
      <c r="T60" s="1435"/>
      <c r="U60" s="1435"/>
      <c r="W60" s="1434">
        <f>N60*12</f>
        <v>0</v>
      </c>
      <c r="X60" s="1434"/>
    </row>
    <row r="61" spans="1:24" ht="12.75" hidden="1" customHeight="1" x14ac:dyDescent="0.3">
      <c r="F61" s="1441"/>
      <c r="G61" s="1441"/>
      <c r="H61" s="1441"/>
      <c r="I61" s="1441"/>
      <c r="J61" s="1441"/>
      <c r="K61" s="1441"/>
      <c r="L61" s="314"/>
      <c r="R61" s="315"/>
    </row>
    <row r="62" spans="1:24" ht="13.5" customHeight="1" x14ac:dyDescent="0.3">
      <c r="A62" s="316" t="str">
        <f>E62&amp;":"</f>
        <v>2026:</v>
      </c>
      <c r="B62" s="1446"/>
      <c r="C62" s="1446"/>
      <c r="D62" s="1446"/>
      <c r="E62" s="134">
        <f>IF(OR(X24&lt;2000,X24&gt;2099),2015,ROUND(X24,0))</f>
        <v>2026</v>
      </c>
      <c r="F62" s="1441"/>
      <c r="G62" s="1441"/>
      <c r="H62" s="1441"/>
      <c r="I62" s="1441"/>
      <c r="J62" s="1441"/>
      <c r="K62" s="1441"/>
      <c r="L62" s="314" t="s">
        <v>544</v>
      </c>
      <c r="N62" s="1434">
        <f>IF(D112,ROUNDUP(ROUND(B62,2)/12,2),
IF(AND(
E14&lt;=DATEVALUE("12/31/"&amp;E62),
E16&gt;=DATEVALUE("1/1/"&amp;E62),
E16&gt;=E14
),ROUNDUP(ROUND(B62,2)/ROUNDUP((YEARFRAC(
MAX(E14,DATEVALUE("1/1/"&amp;E62)),
MIN(E16,DATEVALUE("12/31/"&amp;E62))+1,4
)*12),2),2),0))</f>
        <v>0</v>
      </c>
      <c r="O62" s="1434"/>
      <c r="P62" s="1434"/>
      <c r="Q62" s="1434"/>
      <c r="R62" s="315"/>
      <c r="S62" s="1435">
        <f>IF(N62&gt;0,
"="&amp;ROUND(B62,2)&amp;"/"&amp;IF(D112,12,ROUNDUP((YEARFRAC(
MAX(E14,DATEVALUE("1/1/"&amp;E62)),
MIN(E16,DATEVALUE("12/31/"&amp;E62))+1,4
)*12),2)),0)</f>
        <v>0</v>
      </c>
      <c r="T62" s="1435"/>
      <c r="U62" s="1435"/>
      <c r="W62" s="1434">
        <f>N62*12</f>
        <v>0</v>
      </c>
      <c r="X62" s="1434"/>
    </row>
    <row r="63" spans="1:24" ht="2.85" customHeight="1" x14ac:dyDescent="0.3">
      <c r="F63" s="1441"/>
      <c r="G63" s="1441"/>
      <c r="H63" s="1441"/>
      <c r="I63" s="1441"/>
      <c r="J63" s="1441"/>
      <c r="K63" s="1441"/>
      <c r="L63" s="314"/>
      <c r="R63" s="315"/>
    </row>
    <row r="64" spans="1:24" ht="13.5" customHeight="1" x14ac:dyDescent="0.3">
      <c r="A64" s="316" t="str">
        <f>E64&amp;":"</f>
        <v>2025:</v>
      </c>
      <c r="B64" s="1442"/>
      <c r="C64" s="1442"/>
      <c r="D64" s="1442"/>
      <c r="E64" s="134">
        <f>E62-1</f>
        <v>2025</v>
      </c>
      <c r="F64" s="1441"/>
      <c r="G64" s="1441"/>
      <c r="H64" s="1441"/>
      <c r="I64" s="1441"/>
      <c r="J64" s="1441"/>
      <c r="K64" s="1441"/>
      <c r="L64" s="314" t="str">
        <f>E64-2000&amp;":"</f>
        <v>25:</v>
      </c>
      <c r="N64" s="1434">
        <f>IF(D112,ROUNDUP(ROUND(B64,2)/12,2),
IF(AND(
E14&lt;=DATEVALUE("12/31/"&amp;E64),
E16&gt;=DATEVALUE("1/1/"&amp;E64),
E16&gt;=E14
),ROUNDUP(ROUND(B64,2)/ROUNDUP((YEARFRAC(
MAX(E14,DATEVALUE("1/1/"&amp;E64)),
MIN(E16,DATEVALUE("12/31/"&amp;E64))+1,4
)*12),2),2),0))</f>
        <v>0</v>
      </c>
      <c r="O64" s="1434"/>
      <c r="P64" s="1434"/>
      <c r="Q64" s="1434"/>
      <c r="R64" s="315"/>
      <c r="S64" s="1435">
        <f>IF(N64&gt;0,
"="&amp;ROUND(B64,2)&amp;"/"&amp;
IF(D112,12,
ROUNDUP((YEARFRAC(
MAX(E14,DATEVALUE("1/1/"&amp;E64)),
MIN(E16,DATEVALUE("12/31/"&amp;E64))+1,4
)*12),2)),0)</f>
        <v>0</v>
      </c>
      <c r="T64" s="1435"/>
      <c r="U64" s="1435"/>
      <c r="W64" s="1434">
        <f>N64*12</f>
        <v>0</v>
      </c>
      <c r="X64" s="1434"/>
    </row>
    <row r="65" spans="1:24" ht="2.85" customHeight="1" x14ac:dyDescent="0.3">
      <c r="F65" s="1441"/>
      <c r="G65" s="1441"/>
      <c r="H65" s="1441"/>
      <c r="I65" s="1441"/>
      <c r="J65" s="1441"/>
      <c r="K65" s="1441"/>
      <c r="L65" s="314"/>
    </row>
    <row r="66" spans="1:24" ht="13.5" customHeight="1" x14ac:dyDescent="0.3">
      <c r="A66" s="316" t="str">
        <f>E66&amp;":"</f>
        <v>2024:</v>
      </c>
      <c r="B66" s="1442"/>
      <c r="C66" s="1442"/>
      <c r="D66" s="1442"/>
      <c r="E66" s="134">
        <f>E62-2</f>
        <v>2024</v>
      </c>
      <c r="F66" s="1441"/>
      <c r="G66" s="1441"/>
      <c r="H66" s="1441"/>
      <c r="I66" s="1441"/>
      <c r="J66" s="1441"/>
      <c r="K66" s="1441"/>
      <c r="L66" s="314" t="str">
        <f>E66-2000&amp;":"</f>
        <v>24:</v>
      </c>
      <c r="N66" s="1434">
        <f>IF(D112,ROUNDUP(ROUND(B66,2)/12,2),
IF(AND(
E14&lt;=DATEVALUE("12/31/"&amp;E66),
E16&gt;=DATEVALUE("1/1/"&amp;E66),
E16&gt;=E14
),ROUNDUP(ROUND(B66,2)/ROUNDUP((YEARFRAC(
MAX(E14,DATEVALUE("1/1/"&amp;E66)),
MIN(E16,DATEVALUE("12/31/"&amp;E66))+1,4
)*12),2),2),0))</f>
        <v>0</v>
      </c>
      <c r="O66" s="1434"/>
      <c r="P66" s="1434"/>
      <c r="Q66" s="1434"/>
      <c r="S66" s="1435">
        <f>IF(N66&gt;0,
"="&amp;ROUND(B66,2)&amp;"/"&amp;
IF(D112,12,
ROUNDUP((YEARFRAC(
MAX(E14,DATEVALUE("1/1/"&amp;E66)),
MIN(E16,DATEVALUE("12/31/"&amp;E66))+1,4
)*12),2)),0)</f>
        <v>0</v>
      </c>
      <c r="T66" s="1435"/>
      <c r="U66" s="1435"/>
      <c r="W66" s="1434">
        <f>N66*12</f>
        <v>0</v>
      </c>
      <c r="X66" s="1434"/>
    </row>
    <row r="67" spans="1:24" ht="2.85" customHeight="1" x14ac:dyDescent="0.3">
      <c r="F67" s="1441"/>
      <c r="G67" s="1441"/>
      <c r="H67" s="1441"/>
      <c r="I67" s="1441"/>
      <c r="J67" s="1441"/>
      <c r="K67" s="1441"/>
      <c r="L67" s="314"/>
      <c r="N67" s="318">
        <f>ROUNDUP(
IF(F60=2,ROUND(C60,2)*ROUND(K60,2)*52/12,
IF(F60=3,ROUND(C60,2)*52/12,
IF(F60=4,ROUND(C60,2)*26/12,
IF(F60=5,ROUND(C60,2)*2,
IF(F60=6,ROUND(C60,2),
IF(F60=7,ROUND(C60,2)/12,
0)))))),2)</f>
        <v>0</v>
      </c>
    </row>
    <row r="68" spans="1:24" ht="13.5" customHeight="1" x14ac:dyDescent="0.3">
      <c r="A68" s="1430"/>
      <c r="B68" s="1430"/>
      <c r="C68" s="1430"/>
      <c r="D68" s="1430"/>
      <c r="F68" s="1441"/>
      <c r="G68" s="1441"/>
      <c r="H68" s="1441"/>
      <c r="I68" s="1441"/>
      <c r="J68" s="1441"/>
      <c r="K68" s="1441"/>
      <c r="L68" s="314" t="str">
        <f>E64-2000&amp;"&amp;YTD:"</f>
        <v>25&amp;YTD:</v>
      </c>
      <c r="N68" s="1434">
        <f>IF(AND(B64&gt;0,B62&gt;0,D112),ROUNDUP(ROUND((B64+B62),2)/24,2),
IF(AND(
E14&lt;=DATEVALUE("12/31/"&amp;E64),
E16&gt;=DATEVALUE("1/1/"&amp;E62),
E16&gt;=E14,
B64&gt;0,
B62&gt;0
),ROUNDUP((ROUND(B64,2)+ROUND(B62,2))/ROUNDUP((YEARFRAC(
MAX(E14,DATEVALUE("1/1/"&amp;E64)),
MIN(E16,DATEVALUE("12/31/"&amp;E62))+1,4
)*12),2),2),0))</f>
        <v>0</v>
      </c>
      <c r="O68" s="1434"/>
      <c r="P68" s="1434"/>
      <c r="Q68" s="1434"/>
      <c r="S68" s="1435">
        <f>IF(N68&gt;0,
"=("&amp;ROUND(B64,2)&amp;"+"&amp;ROUND(B62,2)&amp;")/"&amp;IF(D112,24,ROUNDUP((YEARFRAC(
MAX(E14,DATEVALUE("1/1/"&amp;E64)),
MIN(E16,DATEVALUE("12/31/"&amp;E62))+1,4
)*12),2)),0)</f>
        <v>0</v>
      </c>
      <c r="T68" s="1435"/>
      <c r="U68" s="1435"/>
      <c r="W68" s="1434">
        <f>N68*12</f>
        <v>0</v>
      </c>
      <c r="X68" s="1434"/>
    </row>
    <row r="69" spans="1:24" ht="2.85" customHeight="1" x14ac:dyDescent="0.3">
      <c r="A69" s="1430"/>
      <c r="B69" s="1430"/>
      <c r="C69" s="1430"/>
      <c r="D69" s="1430"/>
      <c r="E69" s="1430"/>
      <c r="F69" s="1441"/>
      <c r="G69" s="1441"/>
      <c r="H69" s="1441"/>
      <c r="I69" s="1441"/>
      <c r="J69" s="1441"/>
      <c r="K69" s="1441"/>
      <c r="L69" s="314"/>
      <c r="N69" s="318">
        <f>IF(D112,ROUNDUP(ROUND(B62,2)/12,2),
IF(AND(
E14&lt;=DATEVALUE("12/31/"&amp;E62),
E16&gt;=DATEVALUE("1/1/"&amp;E62),
E16&gt;=E14
),ROUNDUP(ROUND(B62,2)/ROUNDUP((YEARFRAC(
MAX(E14,DATEVALUE("1/1/"&amp;E62)),
MIN(E16,DATEVALUE("12/31/"&amp;E62))+1,4
)*12),2),2),0))</f>
        <v>0</v>
      </c>
    </row>
    <row r="70" spans="1:24" ht="13.5" customHeight="1" x14ac:dyDescent="0.3">
      <c r="A70" s="1447" t="s">
        <v>1369</v>
      </c>
      <c r="B70" s="1473"/>
      <c r="C70" s="1473"/>
      <c r="D70" s="1473"/>
      <c r="E70" s="1430"/>
      <c r="F70" s="1441"/>
      <c r="G70" s="1441"/>
      <c r="H70" s="1441"/>
      <c r="I70" s="1441"/>
      <c r="J70" s="1441"/>
      <c r="K70" s="1441"/>
      <c r="L70" s="314" t="str">
        <f>E66-2000&amp;"&amp;"&amp;E64-2000&amp;"&amp;YTD:"</f>
        <v>24&amp;25&amp;YTD:</v>
      </c>
      <c r="N70" s="1434">
        <f>IF(AND(B66&gt;0,B64&gt;0,B62&gt;0,D112),ROUNDUP(ROUND((B66+B64+B62),2)/36,2),
IF(AND(
E14&lt;=DATEVALUE("12/31/"&amp;E66),
E16&gt;=DATEVALUE("1/1/"&amp;E62),
E16&gt;=E14,
B66&gt;0,
B64&gt;0,
B62&gt;0
),ROUNDUP((ROUND(B66,2)+ROUND(B64,2)+ROUND(B62,2))/ROUNDUP((YEARFRAC(
MAX(E14,DATEVALUE("1/1/"&amp;E66)),
MIN(E16,DATEVALUE("12/31/"&amp;E62))+1,4
)*12),2),2),0))</f>
        <v>0</v>
      </c>
      <c r="O70" s="1434"/>
      <c r="P70" s="1434"/>
      <c r="Q70" s="1434"/>
      <c r="S70" s="1435">
        <f>IF(N70&gt;0,
"=("&amp;ROUND(B66,2)&amp;"+"&amp;ROUND(B64,2)&amp;"+"&amp;ROUND(B62,2)&amp;")/"&amp;IF(D112,36,ROUNDUP((YEARFRAC(
MAX(E14,DATEVALUE("1/1/"&amp;E66)),
MIN(E16,DATEVALUE("12/31/"&amp;E62))+1,4
)*12),2)),0)</f>
        <v>0</v>
      </c>
      <c r="T70" s="1435"/>
      <c r="U70" s="1435"/>
      <c r="W70" s="1434">
        <f>N70*12</f>
        <v>0</v>
      </c>
      <c r="X70" s="1434"/>
    </row>
    <row r="71" spans="1:24" ht="2.85" customHeight="1" x14ac:dyDescent="0.3">
      <c r="A71" s="1447"/>
      <c r="B71" s="1439" t="s">
        <v>1368</v>
      </c>
      <c r="C71" s="1439"/>
      <c r="D71" s="1439"/>
      <c r="E71" s="1430"/>
      <c r="F71" s="1441"/>
      <c r="G71" s="1441"/>
      <c r="H71" s="1441"/>
      <c r="I71" s="1441"/>
      <c r="J71" s="1441"/>
      <c r="K71" s="1441"/>
      <c r="L71" s="314"/>
      <c r="N71" s="318">
        <f>IF(D112,ROUNDUP(ROUND(B64,2)/12,2),
IF(AND(
E14&lt;=DATEVALUE("12/31/"&amp;E64),
E16&gt;=DATEVALUE("1/1/"&amp;E64),
E16&gt;=E14
),ROUNDUP(ROUND(B64,2)/ROUNDUP((YEARFRAC(
MAX(E14,DATEVALUE("1/1/"&amp;E64)),
MIN(E16,DATEVALUE("12/31/"&amp;E64))+1,4
)*12),2),2),0))</f>
        <v>0</v>
      </c>
    </row>
    <row r="72" spans="1:24" ht="13.5" customHeight="1" x14ac:dyDescent="0.3">
      <c r="A72" s="1447"/>
      <c r="B72" s="1439"/>
      <c r="C72" s="1439"/>
      <c r="D72" s="1439"/>
      <c r="E72" s="1430"/>
      <c r="F72" s="1441"/>
      <c r="G72" s="1441"/>
      <c r="H72" s="1441"/>
      <c r="I72" s="1441"/>
      <c r="J72" s="1441"/>
      <c r="K72" s="1441"/>
      <c r="L72" s="314" t="str">
        <f>E66-2000&amp;"&amp;"&amp;E64-2000&amp;":"</f>
        <v>24&amp;25:</v>
      </c>
      <c r="N72" s="1434">
        <f>IF(AND(B66&gt;0,B64&gt;0,D112),ROUNDUP(ROUND((B66+B64),2)/24,2),
IF(AND(
E14&lt;=DATEVALUE("12/31/"&amp;E66),
E16&gt;=DATEVALUE("1/1/"&amp;E64),
E16&gt;=E14,
B66&gt;0,
B64&gt;0
),ROUNDUP((ROUND(B66,2)+ROUND(B64,2))/ROUNDUP((YEARFRAC(
MAX(E14,DATEVALUE("1/1/"&amp;E66)),
MIN(E16,DATEVALUE("12/31/"&amp;E64))+1,4
)*12),2),2),0))</f>
        <v>0</v>
      </c>
      <c r="O72" s="1434"/>
      <c r="P72" s="1434"/>
      <c r="Q72" s="1434"/>
      <c r="S72" s="1435">
        <f>IF(N72&gt;0,
"=("&amp;ROUND(B66,2)&amp;"+"&amp;ROUND(B64,2)&amp;")/"&amp;IF(D112,24,ROUNDUP((YEARFRAC(
MAX(E14,DATEVALUE("1/1/"&amp;E66)),
MIN(E16,DATEVALUE("12/31/"&amp;E64))+1,4
)*12),2)),0)</f>
        <v>0</v>
      </c>
      <c r="T72" s="1435"/>
      <c r="U72" s="1435"/>
      <c r="W72" s="1434">
        <f>N72*12</f>
        <v>0</v>
      </c>
      <c r="X72" s="1434"/>
    </row>
    <row r="73" spans="1:24" ht="13.2" customHeight="1" x14ac:dyDescent="0.3">
      <c r="A73" s="1447"/>
      <c r="B73" s="1439"/>
      <c r="C73" s="1439"/>
      <c r="D73" s="1439"/>
      <c r="E73" s="1430"/>
      <c r="F73" s="1441"/>
      <c r="G73" s="1441"/>
      <c r="H73" s="1441"/>
      <c r="I73" s="1441"/>
      <c r="J73" s="1441"/>
      <c r="K73" s="1441"/>
      <c r="L73" s="804">
        <f>IF(AND(N60&gt;0,N60&lt;N73),3,
IF(AND(N60&gt;0,ROUNDUP((YEARFRAC(MAX(E14,DATEVALUE("1/1/"&amp;E62)),MIN(E16,DATEVALUE("12/31/"&amp;E62))+1,4)*12),2)&gt;=6,N60&lt;=N62),3,
IF(AND(N60&gt;0,ROUNDUP((YEARFRAC(MAX(E14,DATEVALUE("1/1/"&amp;E64)),MIN(E16,DATEVALUE("12/31/"&amp;E62))+1,4)*12),2)&gt;=6,ROUNDUP((YEARFRAC(MAX(E14,DATEVALUE("1/1/"&amp;E62)),MIN(E16,DATEVALUE("12/31/"&amp;E62))+1,4)*12),2)&lt;6,N60&lt;=N68),3,
IF(AND(AND(N72&gt;0,N72=N73),N70&gt;0,IF(AND(N66&gt;0,N64&gt;0,N62&gt;0),AND((ROUNDUP(N66/N64-1,2))*-100&lt;26,(ROUNDUP(N64/N62-1,2))*-100&lt;26,N62&gt;N64,N64&gt;N66),FALSE)),8,
IF(AND(N72&gt;0,N72=N73),9,
IF(AND(N70&gt;0,N70=N73),8,
IF(AND(N68&gt;0,N68=N73),7,
IF(AND(N62&gt;0,N62=N73),4,
IF(AND(N64&gt;0,N64=N73),5,
2)))))))))</f>
        <v>2</v>
      </c>
      <c r="M73" s="318"/>
      <c r="N73" s="318">
        <f>IF(SUM(N67:Q72)&gt;0,SMALL(N67:Q72,COUNTIF(N67:Q72,0)+1),0)</f>
        <v>0</v>
      </c>
      <c r="O73" s="318"/>
      <c r="P73" s="318"/>
      <c r="Q73" s="318"/>
      <c r="R73" s="318"/>
      <c r="S73" s="318">
        <f>IF(L73=3,N60,
IF(L73=4,N62,
IF(L73=5,N64,
IF(L73=7,N68,
IF(L73=8,N70,
IF(L73=9,N72,0))))))</f>
        <v>0</v>
      </c>
      <c r="U73" s="1064">
        <f>IF(AND($M$20="Freddie",N64&gt;0,N62&gt;0,N62&gt;N64),((N62/N64)-1),
IF(AND($M$20="Freddie",N64&gt;0,N62&gt;0,N62&lt;N64),(((N62/N64)-1)*-1),0))</f>
        <v>0</v>
      </c>
      <c r="W73" s="805" t="str">
        <f>IF(L73=3,N60,IF(L73=4,N62,IF(L73=5,N64,IF(L73=6,N66,IF(L73=7,N68,IF(L73=8,N70,IF(L73=9,N72,"")))))))</f>
        <v/>
      </c>
    </row>
    <row r="74" spans="1:24" ht="5.4" customHeight="1" x14ac:dyDescent="0.3">
      <c r="B74" s="1145"/>
      <c r="C74" s="1145"/>
      <c r="D74" s="1145"/>
      <c r="F74" s="1147"/>
      <c r="G74" s="1147"/>
      <c r="H74" s="1147"/>
      <c r="I74" s="1147"/>
      <c r="J74" s="1147"/>
      <c r="K74" s="1147"/>
      <c r="L74" s="804"/>
      <c r="M74" s="318"/>
      <c r="N74" s="318"/>
      <c r="O74" s="318"/>
      <c r="P74" s="318"/>
      <c r="Q74" s="318"/>
      <c r="R74" s="318"/>
      <c r="S74" s="318"/>
      <c r="U74" s="1064"/>
      <c r="W74" s="805"/>
    </row>
    <row r="75" spans="1:24" ht="13.5" customHeight="1" x14ac:dyDescent="0.3">
      <c r="A75" s="1448" t="s">
        <v>543</v>
      </c>
      <c r="B75" s="1448"/>
      <c r="C75" s="1449" t="s">
        <v>847</v>
      </c>
      <c r="D75" s="1449"/>
      <c r="E75" s="1449"/>
      <c r="F75" s="1449"/>
      <c r="G75" s="1449"/>
      <c r="H75" s="1449"/>
      <c r="I75" s="1449"/>
      <c r="J75" s="1449"/>
      <c r="L75" s="228" t="s">
        <v>534</v>
      </c>
      <c r="N75" s="1440">
        <f>IF(AND(OR($M$20&lt;&gt;"Fannie",$M$20&lt;&gt;"Freddie"),$J$21="Yes",B87&lt;&gt;"N/A"),B87,
IF(L90=3,"Expert",
IF(L90=4,"YTD",
IF(L90=5,E81-2000,
IF(L90=6,E83-2000,
IF(L90=7,E81-2000&amp;"&amp;YTD",
IF(L90=8,E83-2000&amp;"&amp;"&amp;E81-2000&amp;"&amp;YTD",
IF(L90=9,E83-2000&amp;"&amp;"&amp;E81-2000,
0))))))))</f>
        <v>0</v>
      </c>
      <c r="O75" s="1440"/>
      <c r="P75" s="1440"/>
      <c r="Q75" s="1440"/>
      <c r="R75" s="85"/>
      <c r="W75" s="316"/>
      <c r="X75" s="319"/>
    </row>
    <row r="76" spans="1:24" ht="13.5" customHeight="1" x14ac:dyDescent="0.3">
      <c r="B76" s="1430" t="s">
        <v>466</v>
      </c>
      <c r="C76" s="1430"/>
      <c r="D76" s="1430"/>
      <c r="F76" s="1441" t="str">
        <f>IF(AND(OR($M$20&lt;&gt;"Fannie",$M$20&lt;&gt;"Freddie"),$J$21="Yes",B87&lt;&gt;"N/A",M113&lt;&gt;2),"- Using Validated Income, enter monthly 
amount that is verified with AUS only.",
IF(AND(OR($M$20&lt;&gt;"Fannie",$M$20&lt;&gt;"Freddie"),$J$21="Yes",B87&lt;&gt;"N/A",M113=2),"- Pay Omitted",
IF(M113=2,"- Pay omitted",
IF(AND(B83&gt;0,B79&gt;0,B81=0),"- "&amp;E81&amp;" field incomplete"&amp;CHAR(10),"")&amp;
IF(AND(D113=FALSE,SUM(B83,B81,B79)&lt;&gt;0,E14&lt;&gt;0,E16&lt;&gt;0,OR(
E14&gt;E16,
E14&gt;DATEVALUE("12/31/"&amp;IF(B79&gt;0,E79,IF(B81&gt;0,E81,E83))),
E14&gt;DATEVALUE("12/31/"&amp;IF(B83&gt;0,E83,IF(B81&gt;0,E81,E79))),
)),"- Invalid Start Date"&amp;CHAR(10),"")&amp;
IF(AND(D113=FALSE,SUM(B83,B81,B79)&lt;&gt;0,E14&lt;&gt;0,E16&lt;&gt;0,OR(
AND(B83&gt;0,B81=0,B79=0,E16&gt;DATEVALUE("12/31/"&amp;E83)),
AND(B81&gt;0,B79=0,E16&gt;DATEVALUE("12/31/"&amp;E81)),
AND(B79&gt;0,E16&gt;DATEVALUE("12/31/"&amp;E79)),
E16&lt;E14,
E16&gt;DATEVALUE("12/31/"&amp;IF(B79&gt;0,E79,IF(B81&gt;0,E81,E83))),
E16&lt;DATEVALUE("1/1/"&amp;IF(B83&gt;0,E83,IF(B81&gt;0,E81,E79))),
E16&gt;DATEVALUE("12/31/"&amp;IF(AND(B83&gt;0,B81=0,B79=0),E83,IF(AND(B81&gt;0,B79=0),E81,E79))),
E16&lt;DATEVALUE("1/1/"&amp;IF(B79&gt;0,E79,IF(B81&gt;0,E81,E83)))
)),"- Invalid pay date"&amp;CHAR(10),"")&amp;
IF(AND(D113=FALSE,SUM(B83,B81,B79)&lt;&gt;0,E14=0),"- Start Date field incomplete"&amp;CHAR(10),"")&amp;
IF(AND(D113=FALSE,SUM(B83,B81,B79)&lt;&gt;0,E16=0),"- Pay date field incomplete"&amp;CHAR(10),"")&amp;
IF(AND(X109=TRUE,OR(B79&lt;&gt;"",B81&lt;&gt;"",B83&lt;&gt;""),S14&gt;=X24-2),"*YTD calcs, Prior Year &amp; Percentages of increase/decrease may be incorrect due to 9/10 month pay structure."&amp;CHAR(10),"")&amp;
IF(AND(X109=TRUE,OR(B79&lt;&gt;"",B81&lt;&gt;"",B83&lt;&gt;""),S14&lt;X24-2),"*YTD calcs &amp; Percentages of increase/decrease may be incorrect due to 9/10 month pay structure."&amp;CHAR(10),"")&amp;
IF(OR(AND(M113=9,N81&gt;0,N83&gt;0,N83&gt;N81),AND(M113=7,N79&gt;0,N81&gt;0,N81&gt;N79),AND(M113=8,OR(AND(N81&gt;0,N83&gt;0,N83&gt;N81),AND(N79&gt;0,N81&gt;0,N81&gt;N79)))),"- Invalid selection due to the decline"&amp;CHAR(10),
IF(AND(N81&gt;0,N79&gt;0,N81&gt;N79),"- Unstabilized decline, justification required in notes below"&amp;CHAR(10),"")&amp;
IF(AND(D113=FALSE,N77&gt;0,M113=3,L90&lt;&gt;3),"- Expert selected but does not appear to be supported by recent history, justification required in notes below"&amp;CHAR(10),IF(IF(AND(M113=8,L90&lt;&gt;8,N89&gt;0,N89=N90,N87&gt;0,N83&gt;0,N81&gt;0,N83&gt;0),OR((ROUNDUP(N83/N81-1,2))*-100&gt;=26,(ROUNDUP(N81/N79-1,2))*-100&gt;=26)),"- Inconsistently steep increase in average pay, justification required in notes below"&amp;CHAR(10),IF(AND(M113&lt;&gt;L90,Q100&gt;S90,IF(AND(N89&gt;0,N89=N90,N87&gt;0,M113=8,N83&gt;0,N81&gt;0,N79&gt;0),AND(ROUNDUP(N83/N81-1,2)*-100&lt;26,ROUNDUP(N81/N79-1,2)*-100&lt;26),TRUE)),"-  Unconservative selection, justification required in notes below"&amp;CHAR(10),""))))
&amp;
IF(AND(SUM(B83,B81,B79,C77)&gt;0,N75=0),"- Insufficient information to make a recommendation"&amp;CHAR(10),"")&amp;
IF(AND(N83&gt;0,N81&gt;0,N83&gt;N81),"- "&amp;(ROUNDUP(N81/N83-1,2))*-100&amp;"% decline from '"&amp;E83-2000&amp;" to '"&amp;E81-2000&amp;CHAR(10),"")&amp;
IF(AND(N81&gt;0,N79&gt;0,N81&gt;N79),"- "&amp;(ROUNDUP(N79/N81-1,2))*-100&amp;"% decline from '"&amp;E81-2000&amp;" to '"&amp;E79-2000&amp;CHAR(10),"")&amp;
IF(AND(M20="Freddie",N81&gt;0,N79&gt;0,N81&gt;N79,U90&gt;0,U90&lt;=0.1),CONCATENATE("    For 0% - 10% decreases, must not include the previous higher level unless there is documentation of a one-time occurrence","  (e.g., injury) that prevented the Borrower from working or earning full income for a period of time and evidence that the Borrower is back to the income amount that was previously earned.")&amp;CHAR(10),"")&amp;
IF(AND(M20="Freddie",N81&gt;0,N79&gt;0,N81&gt;N79,U90&gt;0.1),CONCATENATE("Caution, greater than 10% decrease; must conduct further analysis and additional documentation may be necessary to determine whether the income is currently stable."," This analysis must include the reason for the declining trend, and support that the current income has stabilized.")&amp;CHAR(10),"")&amp;
IF(AND(N83&gt;0,N81&gt;0,N83&lt;N81),"* "&amp;(ROUNDDOWN(N81/N83-1,3))*100&amp;"% increase from '"&amp;E32-2000&amp;" to '"&amp;E30-2000&amp;CHAR(10),"")&amp;
IF(AND(N81&gt;0,N79&gt;0,N81&lt;N79),"* "&amp;(ROUNDDOWN(N79/N81-1,3))*100&amp;"% increase from '"&amp;E30-2000&amp;" to '"&amp;E28-2000&amp;CHAR(10),"")&amp;
IF(AND(M20="Freddie",N81&gt;0,N79&gt;0,N81&lt;N79,U90&gt;=0,U90&lt;=0.1),""&amp;CHAR(10),"")&amp;
IF(AND(M20="Freddie",N81&gt;0,N79&gt;0,N81&lt;N79,U90&gt;0.1,U90&lt;=0.3),CONCATENATE("For 10% - 30% increases, if the increase is supported by the documented income breakdown and/or verification of pay raise, no additional analysis or documentation is required .","Otherwise, additional analysis is required, and additional documentation may be necessary to determine income stability and develop an accurate calculation of qualifying income.")&amp;CHAR(10),"")&amp;
IF(AND(M20="Freddie",N81&gt;0,N79&gt;0,N81&lt;N79,U90&gt;0.3),CONCATENATE("    For Increases greater than 30%, additional analysis is required and additional documentation will likely be necessary to determine income stability and develop an accurate calculation of qualifying income."," The analysis and documentation must support the amount of income used to qualify the Borrower.")&amp;CHAR(10),"")&amp;
IF(AND(N79&gt;0,N79&gt;W90,$I$17&lt;1,$I$17&lt;&gt;"",D113&lt;&gt;TRUE,M113=4),"- YTD should not be used when less than 1 month, 
YTD income calc may also be off due to being unable to calculation properly over such limited time"&amp;CHAR(10),"")&amp;
IF(AND(U1="FHA",OR(N85&gt;0,N87&gt;0),B79&gt;0,B81&gt;0),"- FHA Guidelines allow for last 2 years of income including YTD; consider using the calculation including YTD.",""))))</f>
        <v/>
      </c>
      <c r="G76" s="1441"/>
      <c r="H76" s="1441"/>
      <c r="I76" s="1441"/>
      <c r="J76" s="1441"/>
      <c r="K76" s="1441"/>
      <c r="L76" s="314" t="s">
        <v>537</v>
      </c>
      <c r="N76" s="1443" t="s">
        <v>461</v>
      </c>
      <c r="O76" s="1443"/>
      <c r="P76" s="1443"/>
      <c r="Q76" s="1443"/>
      <c r="R76" s="315"/>
      <c r="S76" s="1443" t="s">
        <v>462</v>
      </c>
      <c r="T76" s="1443"/>
      <c r="U76" s="1443"/>
      <c r="W76" s="1430" t="s">
        <v>538</v>
      </c>
      <c r="X76" s="1430"/>
    </row>
    <row r="77" spans="1:24" ht="12.75" hidden="1" customHeight="1" x14ac:dyDescent="0.3">
      <c r="A77" s="316" t="s">
        <v>465</v>
      </c>
      <c r="B77" s="320" t="str">
        <f>IF(C77&lt;&gt;"","$","")</f>
        <v/>
      </c>
      <c r="C77" s="1444"/>
      <c r="D77" s="1444"/>
      <c r="F77" s="1441"/>
      <c r="G77" s="1441"/>
      <c r="H77" s="1441"/>
      <c r="I77" s="1441"/>
      <c r="J77" s="1441"/>
      <c r="K77" s="1441"/>
      <c r="L77" s="314" t="s">
        <v>465</v>
      </c>
      <c r="N77" s="1434">
        <f>ROUNDUP(
IF(F77=2,ROUND(C77,2)*ROUND(K77,2)*52/12,
IF(F77=3,ROUND(C77,2)*52/12,
IF(F77=4,ROUND(C77,2)*26/12,
IF(F77=5,ROUND(C77,2)*2,
IF(F77=6,ROUND(C77,2),
IF(F77=7,ROUND(C77,2)/12,
0)))))),2)</f>
        <v>0</v>
      </c>
      <c r="O77" s="1434"/>
      <c r="P77" s="1434"/>
      <c r="Q77" s="1434"/>
      <c r="R77" s="315"/>
      <c r="S77" s="1435">
        <f>IF(N77&gt;0,
IF(F77=2,"="&amp;ROUND(C77,2)&amp;"*"&amp;ROUND(K77,2)&amp;"*52/12",
IF(F77=3,"="&amp;ROUND(C77,2)&amp;"*52/12",
IF(F77=4,"="&amp;ROUND(C77,2)&amp;"*26/12",
IF(F77=5,"="&amp;ROUND(C77,2)&amp;"*2",
IF(F77=6,"="&amp;ROUND(C77,2),
IF(F77=7,"="&amp;ROUND(C77,2)&amp;"/12",
0)))))),0)</f>
        <v>0</v>
      </c>
      <c r="T77" s="1435"/>
      <c r="U77" s="1435"/>
      <c r="W77" s="1434">
        <f>N77*12</f>
        <v>0</v>
      </c>
      <c r="X77" s="1434"/>
    </row>
    <row r="78" spans="1:24" ht="12.75" hidden="1" customHeight="1" x14ac:dyDescent="0.3">
      <c r="F78" s="1441"/>
      <c r="G78" s="1441"/>
      <c r="H78" s="1441"/>
      <c r="I78" s="1441"/>
      <c r="J78" s="1441"/>
      <c r="K78" s="1441"/>
      <c r="L78" s="314"/>
      <c r="R78" s="315"/>
    </row>
    <row r="79" spans="1:24" ht="13.5" customHeight="1" x14ac:dyDescent="0.3">
      <c r="A79" s="316" t="str">
        <f>E79&amp;":"</f>
        <v>2026:</v>
      </c>
      <c r="B79" s="1442"/>
      <c r="C79" s="1442"/>
      <c r="D79" s="1442"/>
      <c r="E79" s="134">
        <f>IF(OR(X24&lt;2000,X24&gt;2099),2015,ROUND(X24,0))</f>
        <v>2026</v>
      </c>
      <c r="F79" s="1441"/>
      <c r="G79" s="1441"/>
      <c r="H79" s="1441"/>
      <c r="I79" s="1441"/>
      <c r="J79" s="1441"/>
      <c r="K79" s="1441"/>
      <c r="L79" s="314" t="s">
        <v>544</v>
      </c>
      <c r="N79" s="1434">
        <f>IF(D113,ROUNDUP(ROUND(B79,2)/12,2),
IF(AND(
E14&lt;=DATEVALUE("12/31/"&amp;E79),
E16&gt;=DATEVALUE("1/1/"&amp;E79),
E16&gt;=E14
),ROUNDUP(ROUND(B79,2)/ROUNDUP((YEARFRAC(
MAX(E14,DATEVALUE("1/1/"&amp;E79)),
MIN(E16,DATEVALUE("12/31/"&amp;E79))+1,4
)*12),2),2),0))</f>
        <v>0</v>
      </c>
      <c r="O79" s="1434"/>
      <c r="P79" s="1434"/>
      <c r="Q79" s="1434"/>
      <c r="R79" s="315"/>
      <c r="S79" s="1435">
        <f>IF(N79&gt;0,
"="&amp;ROUND(B79,2)&amp;"/"&amp;IF(D113,12,ROUNDUP((YEARFRAC(
MAX(E14,DATEVALUE("1/1/"&amp;E79)),
MIN(E16,DATEVALUE("12/31/"&amp;E79))+1,4
)*12),2)),0)</f>
        <v>0</v>
      </c>
      <c r="T79" s="1435"/>
      <c r="U79" s="1435"/>
      <c r="W79" s="1434">
        <f>N79*12</f>
        <v>0</v>
      </c>
      <c r="X79" s="1434"/>
    </row>
    <row r="80" spans="1:24" ht="2.85" customHeight="1" x14ac:dyDescent="0.3">
      <c r="B80" s="1445"/>
      <c r="C80" s="1445"/>
      <c r="D80" s="1445"/>
      <c r="F80" s="1441"/>
      <c r="G80" s="1441"/>
      <c r="H80" s="1441"/>
      <c r="I80" s="1441"/>
      <c r="J80" s="1441"/>
      <c r="K80" s="1441"/>
      <c r="L80" s="314"/>
      <c r="R80" s="315"/>
    </row>
    <row r="81" spans="1:24" ht="13.5" customHeight="1" x14ac:dyDescent="0.3">
      <c r="A81" s="316" t="str">
        <f>E81&amp;":"</f>
        <v>2025:</v>
      </c>
      <c r="B81" s="1442"/>
      <c r="C81" s="1442"/>
      <c r="D81" s="1442"/>
      <c r="E81" s="134">
        <f>E79-1</f>
        <v>2025</v>
      </c>
      <c r="F81" s="1441"/>
      <c r="G81" s="1441"/>
      <c r="H81" s="1441"/>
      <c r="I81" s="1441"/>
      <c r="J81" s="1441"/>
      <c r="K81" s="1441"/>
      <c r="L81" s="314" t="str">
        <f>E81-2000&amp;":"</f>
        <v>25:</v>
      </c>
      <c r="N81" s="1434">
        <f>IF(D113,ROUNDUP(ROUND(B81,2)/12,2),
IF(AND(
E14&lt;=DATEVALUE("12/31/"&amp;E81),
E16&gt;=DATEVALUE("1/1/"&amp;E81),
E16&gt;=E14
),ROUNDUP(ROUND(B81,2)/ROUNDUP((YEARFRAC(
MAX(E14,DATEVALUE("1/1/"&amp;E81)),
MIN(E16,DATEVALUE("12/31/"&amp;E81))+1,4
)*12),2),2),0))</f>
        <v>0</v>
      </c>
      <c r="O81" s="1434"/>
      <c r="P81" s="1434"/>
      <c r="Q81" s="1434"/>
      <c r="R81" s="315"/>
      <c r="S81" s="1435">
        <f>IF(N81&gt;0,
"="&amp;ROUND(B81,2)&amp;"/"&amp;
IF(D113,12,
ROUNDUP((YEARFRAC(
MAX(E14,DATEVALUE("1/1/"&amp;E81)),
MIN(E16,DATEVALUE("12/31/"&amp;E81))+1,4
)*12),2)),0)</f>
        <v>0</v>
      </c>
      <c r="T81" s="1435"/>
      <c r="U81" s="1435"/>
      <c r="W81" s="1434">
        <f>N81*12</f>
        <v>0</v>
      </c>
      <c r="X81" s="1434"/>
    </row>
    <row r="82" spans="1:24" ht="2.85" customHeight="1" x14ac:dyDescent="0.3">
      <c r="F82" s="1441"/>
      <c r="G82" s="1441"/>
      <c r="H82" s="1441"/>
      <c r="I82" s="1441"/>
      <c r="J82" s="1441"/>
      <c r="K82" s="1441"/>
      <c r="L82" s="314"/>
    </row>
    <row r="83" spans="1:24" ht="13.5" customHeight="1" x14ac:dyDescent="0.3">
      <c r="A83" s="316" t="str">
        <f>E83&amp;":"</f>
        <v>2024:</v>
      </c>
      <c r="B83" s="1442"/>
      <c r="C83" s="1442"/>
      <c r="D83" s="1442"/>
      <c r="E83" s="134">
        <f>E79-2</f>
        <v>2024</v>
      </c>
      <c r="F83" s="1441"/>
      <c r="G83" s="1441"/>
      <c r="H83" s="1441"/>
      <c r="I83" s="1441"/>
      <c r="J83" s="1441"/>
      <c r="K83" s="1441"/>
      <c r="L83" s="314" t="str">
        <f>E83-2000&amp;":"</f>
        <v>24:</v>
      </c>
      <c r="N83" s="1434">
        <f>IF(D113,ROUNDUP(ROUND(B83,2)/12,2),
IF(AND(
E14&lt;=DATEVALUE("12/31/"&amp;E83),
E16&gt;=DATEVALUE("1/1/"&amp;E83),
E16&gt;=E14
),ROUNDUP(ROUND(B83,2)/ROUNDUP((YEARFRAC(
MAX(E14,DATEVALUE("1/1/"&amp;E83)),
MIN(E16,DATEVALUE("12/31/"&amp;E83))+1,4
)*12),2),2),0))</f>
        <v>0</v>
      </c>
      <c r="O83" s="1434"/>
      <c r="P83" s="1434"/>
      <c r="Q83" s="1434"/>
      <c r="S83" s="1435">
        <f>IF(N83&gt;0,
"="&amp;ROUND(B83,2)&amp;"/"&amp;
IF(D113,12,
ROUNDUP((YEARFRAC(
MAX(E14,DATEVALUE("1/1/"&amp;E83)),
MIN(E16,DATEVALUE("12/31/"&amp;E83))+1,4
)*12),2)),0)</f>
        <v>0</v>
      </c>
      <c r="T83" s="1435"/>
      <c r="U83" s="1435"/>
      <c r="W83" s="1434">
        <f>N83*12</f>
        <v>0</v>
      </c>
      <c r="X83" s="1434"/>
    </row>
    <row r="84" spans="1:24" ht="2.85" customHeight="1" x14ac:dyDescent="0.3">
      <c r="F84" s="1441"/>
      <c r="G84" s="1441"/>
      <c r="H84" s="1441"/>
      <c r="I84" s="1441"/>
      <c r="J84" s="1441"/>
      <c r="K84" s="1441"/>
      <c r="L84" s="314"/>
      <c r="N84" s="318">
        <f>ROUNDUP(
IF(F77=2,ROUND(C77,2)*ROUND(K77,2)*52/12,
IF(F77=3,ROUND(C77,2)*52/12,
IF(F77=4,ROUND(C77,2)*26/12,
IF(F77=5,ROUND(C77,2)*2,
IF(F77=6,ROUND(C77,2),
IF(F77=7,ROUND(C77,2)/12,
0)))))),2)</f>
        <v>0</v>
      </c>
    </row>
    <row r="85" spans="1:24" ht="13.5" customHeight="1" x14ac:dyDescent="0.3">
      <c r="A85" s="1430"/>
      <c r="B85" s="1430"/>
      <c r="C85" s="1430"/>
      <c r="D85" s="1430"/>
      <c r="F85" s="1441"/>
      <c r="G85" s="1441"/>
      <c r="H85" s="1441"/>
      <c r="I85" s="1441"/>
      <c r="J85" s="1441"/>
      <c r="K85" s="1441"/>
      <c r="L85" s="314" t="str">
        <f>E81-2000&amp;"&amp;YTD:"</f>
        <v>25&amp;YTD:</v>
      </c>
      <c r="N85" s="1434">
        <f>IF(AND(B81&gt;0,B79&gt;0,D113),ROUNDUP(ROUND((B81+B79),2)/24,2),
IF(AND(
E14&lt;=DATEVALUE("12/31/"&amp;E81),
E16&gt;=DATEVALUE("1/1/"&amp;E79),
E16&gt;=E14,
B81&gt;0,
B79&gt;0
),ROUNDUP((ROUND(B81,2)+ROUND(B79,2))/ROUNDUP((YEARFRAC(
MAX(E14,DATEVALUE("1/1/"&amp;E81)),
MIN(E16,DATEVALUE("12/31/"&amp;E79))+1,4
)*12),2),2),0))</f>
        <v>0</v>
      </c>
      <c r="O85" s="1434"/>
      <c r="P85" s="1434"/>
      <c r="Q85" s="1434"/>
      <c r="S85" s="1435">
        <f>IF(N85&gt;0,
"=("&amp;ROUND(B81,2)&amp;"+"&amp;ROUND(B79,2)&amp;")/"&amp;IF(D113,24,ROUNDUP((YEARFRAC(
MAX(E14,DATEVALUE("1/1/"&amp;E81)),
MIN(E16,DATEVALUE("12/31/"&amp;E79))+1,4
)*12),2)),0)</f>
        <v>0</v>
      </c>
      <c r="T85" s="1435"/>
      <c r="U85" s="1435"/>
      <c r="W85" s="1434">
        <f>N85*12</f>
        <v>0</v>
      </c>
      <c r="X85" s="1434"/>
    </row>
    <row r="86" spans="1:24" ht="2.85" customHeight="1" x14ac:dyDescent="0.3">
      <c r="A86" s="1430"/>
      <c r="B86" s="1430"/>
      <c r="C86" s="1430"/>
      <c r="D86" s="1430"/>
      <c r="E86" s="1430"/>
      <c r="F86" s="1441"/>
      <c r="G86" s="1441"/>
      <c r="H86" s="1441"/>
      <c r="I86" s="1441"/>
      <c r="J86" s="1441"/>
      <c r="K86" s="1441"/>
      <c r="L86" s="314"/>
      <c r="N86" s="318">
        <f>IF(D113,ROUNDUP(ROUND(B79,2)/12,2),
IF(AND(
E14&lt;=DATEVALUE("12/31/"&amp;E79),
E16&gt;=DATEVALUE("1/1/"&amp;E79),
E16&gt;=E14
),ROUNDUP(ROUND(B79,2)/ROUNDUP((YEARFRAC(
MAX(E14,DATEVALUE("1/1/"&amp;E79)),
MIN(E16,DATEVALUE("12/31/"&amp;E79))+1,4
)*12),2),2),0))</f>
        <v>0</v>
      </c>
    </row>
    <row r="87" spans="1:24" ht="13.5" customHeight="1" x14ac:dyDescent="0.3">
      <c r="A87" s="1447" t="s">
        <v>1369</v>
      </c>
      <c r="B87" s="1473"/>
      <c r="C87" s="1473"/>
      <c r="D87" s="1473"/>
      <c r="E87" s="1430"/>
      <c r="F87" s="1441"/>
      <c r="G87" s="1441"/>
      <c r="H87" s="1441"/>
      <c r="I87" s="1441"/>
      <c r="J87" s="1441"/>
      <c r="K87" s="1441"/>
      <c r="L87" s="314" t="str">
        <f>E83-2000&amp;"&amp;"&amp;E81-2000&amp;"&amp;YTD:"</f>
        <v>24&amp;25&amp;YTD:</v>
      </c>
      <c r="N87" s="1434">
        <f>IF(AND(B83&gt;0,B81&gt;0,B79&gt;0,D113),ROUNDUP(ROUND((B83+B81+B79),2)/36,2),
IF(AND(
E14&lt;=DATEVALUE("12/31/"&amp;E83),
E16&gt;=DATEVALUE("1/1/"&amp;E79),
E16&gt;=E14,
B83&gt;0,
B81&gt;0,
B79&gt;0
),ROUNDUP((ROUND(B83,2)+ROUND(B81,2)+ROUND(B79,2))/ROUNDUP((YEARFRAC(
MAX(E14,DATEVALUE("1/1/"&amp;E83)),
MIN(E16,DATEVALUE("12/31/"&amp;E79))+1,4
)*12),2),2),0))</f>
        <v>0</v>
      </c>
      <c r="O87" s="1434"/>
      <c r="P87" s="1434"/>
      <c r="Q87" s="1434"/>
      <c r="S87" s="1435">
        <f>IF(N87&gt;0,
"=("&amp;ROUND(B83,2)&amp;"+"&amp;ROUND(B81,2)&amp;"+"&amp;ROUND(B79,2)&amp;")/"&amp;IF(D113,36,ROUNDUP((YEARFRAC(
MAX(E14,DATEVALUE("1/1/"&amp;E83)),
MIN(E16,DATEVALUE("12/31/"&amp;E79))+1,4
)*12),2)),0)</f>
        <v>0</v>
      </c>
      <c r="T87" s="1435"/>
      <c r="U87" s="1435"/>
      <c r="W87" s="1434">
        <f>N87*12</f>
        <v>0</v>
      </c>
      <c r="X87" s="1434"/>
    </row>
    <row r="88" spans="1:24" ht="2.85" customHeight="1" x14ac:dyDescent="0.3">
      <c r="A88" s="1447"/>
      <c r="B88" s="1439" t="s">
        <v>1368</v>
      </c>
      <c r="C88" s="1439"/>
      <c r="D88" s="1439"/>
      <c r="E88" s="1430"/>
      <c r="F88" s="1441"/>
      <c r="G88" s="1441"/>
      <c r="H88" s="1441"/>
      <c r="I88" s="1441"/>
      <c r="J88" s="1441"/>
      <c r="K88" s="1441"/>
      <c r="L88" s="314"/>
      <c r="N88" s="318">
        <f>IF(D113,ROUNDUP(ROUND(B81,2)/12,2),
IF(AND(
E14&lt;=DATEVALUE("12/31/"&amp;E81),
E16&gt;=DATEVALUE("1/1/"&amp;E81),
E16&gt;=E14
),ROUNDUP(ROUND(B81,2)/ROUNDUP((YEARFRAC(
MAX(E14,DATEVALUE("1/1/"&amp;E81)),
MIN(E16,DATEVALUE("12/31/"&amp;E81))+1,4
)*12),2),2),0))</f>
        <v>0</v>
      </c>
    </row>
    <row r="89" spans="1:24" ht="13.5" customHeight="1" x14ac:dyDescent="0.3">
      <c r="A89" s="1447"/>
      <c r="B89" s="1439"/>
      <c r="C89" s="1439"/>
      <c r="D89" s="1439"/>
      <c r="E89" s="1430"/>
      <c r="F89" s="1441"/>
      <c r="G89" s="1441"/>
      <c r="H89" s="1441"/>
      <c r="I89" s="1441"/>
      <c r="J89" s="1441"/>
      <c r="K89" s="1441"/>
      <c r="L89" s="314" t="str">
        <f>E83-2000&amp;"&amp;"&amp;E81-2000&amp;":"</f>
        <v>24&amp;25:</v>
      </c>
      <c r="N89" s="1434">
        <f>IF(AND(B83&gt;0,B81&gt;0,D113),ROUNDUP(ROUND((B83+B81),2)/24,2),
IF(AND(
E14&lt;=DATEVALUE("12/31/"&amp;E83),
E16&gt;=DATEVALUE("1/1/"&amp;E81),
E16&gt;=E14,
B83&gt;0,
B81&gt;0
),ROUNDUP((ROUND(B83,2)+ROUND(B81,2))/ROUNDUP((YEARFRAC(
MAX(E14,DATEVALUE("1/1/"&amp;E83)),
MIN(E16,DATEVALUE("12/31/"&amp;E81))+1,4
)*12),2),2),0))</f>
        <v>0</v>
      </c>
      <c r="O89" s="1434"/>
      <c r="P89" s="1434"/>
      <c r="Q89" s="1434"/>
      <c r="S89" s="1435">
        <f>IF(N89&gt;0,
"=("&amp;ROUND(B83,2)&amp;"+"&amp;ROUND(B81,2)&amp;")/"&amp;IF(D113,24,ROUNDUP((YEARFRAC(
MAX(E14,DATEVALUE("1/1/"&amp;E83)),
MIN(E16,DATEVALUE("12/31/"&amp;E81))+1,4
)*12),2)),0)</f>
        <v>0</v>
      </c>
      <c r="T89" s="1435"/>
      <c r="U89" s="1435"/>
      <c r="W89" s="1434">
        <f>N89*12</f>
        <v>0</v>
      </c>
      <c r="X89" s="1434"/>
    </row>
    <row r="90" spans="1:24" ht="12.6" customHeight="1" x14ac:dyDescent="0.3">
      <c r="A90" s="1447"/>
      <c r="B90" s="1439"/>
      <c r="C90" s="1439"/>
      <c r="D90" s="1439"/>
      <c r="E90" s="1430"/>
      <c r="F90" s="1441"/>
      <c r="G90" s="1441"/>
      <c r="H90" s="1441"/>
      <c r="I90" s="1441"/>
      <c r="J90" s="1441"/>
      <c r="K90" s="1441"/>
      <c r="L90" s="732">
        <f>IF(AND(N77&gt;0,N77&lt;N90),3,
IF(AND(N77&gt;0,ROUNDUP((YEARFRAC(MAX(E14,DATEVALUE("1/1/"&amp;E79)),MIN(E16,DATEVALUE("12/31/"&amp;E79))+1,4)*12),2)&gt;=6,N77&lt;=N79),3,
IF(AND(N77&gt;0,ROUNDUP((YEARFRAC(MAX(E14,DATEVALUE("1/1/"&amp;E81)),MIN(E16,DATEVALUE("12/31/"&amp;E79))+1,4)*12),2)&gt;=6,ROUNDUP((YEARFRAC(MAX(E14,DATEVALUE("1/1/"&amp;E79)),MIN(E16,DATEVALUE("12/31/"&amp;E79))+1,4)*12),2)&lt;6,N77&lt;=N85),3,
IF(AND(AND(N89&gt;0,N89=N90),N87&gt;0,IF(AND(N83&gt;0,N81&gt;0,N79&gt;0),AND((ROUNDUP(N83/N81-1,2))*-100&lt;26,(ROUNDUP(N81/N79-1,2))*-100&lt;26,N79&gt;N81,N81&gt;N83),FALSE)),8,
IF(AND(N89&gt;0,N89=N90),9,
IF(AND(N87&gt;0,N87=N90),8,
IF(AND(N85&gt;0,N85=N90),7,
IF(AND(N79&gt;0,N79=N90),4,
IF(AND(N81&gt;0,N81=N90),5,
2)))))))))</f>
        <v>2</v>
      </c>
      <c r="M90" s="318"/>
      <c r="N90" s="318">
        <f>IF(SUM(N84:Q89)&gt;0,SMALL(N84:Q89,COUNTIF(N84:Q89,0)+1),0)</f>
        <v>0</v>
      </c>
      <c r="O90" s="318"/>
      <c r="P90" s="318"/>
      <c r="Q90" s="318"/>
      <c r="R90" s="318"/>
      <c r="S90" s="337">
        <f>IF(L90=3,N77,
IF(L90=4,N79,
IF(L90=5,N81,
IF(L90=7,N85,
IF(L90=8,N87,
IF(L90=9,N89,0))))))</f>
        <v>0</v>
      </c>
      <c r="U90" s="1064">
        <f>IF(AND($M$20="Freddie",N81&gt;0,N79&gt;0,N79&gt;N81),((N79/N81)-1),
IF(AND($M$20="Freddie",N81&gt;0,N79&gt;0,N79&lt;N81),(((N79/N81)-1)*-1),0))</f>
        <v>0</v>
      </c>
      <c r="W90" s="805" t="str">
        <f>IF(L90=3,N77,IF(L90=4,N79,IF(L90=5,N81,IF(L90=6,N83,IF(L90=7,N85,IF(L90=8,N87,IF(L90=9,N89,"")))))))</f>
        <v/>
      </c>
    </row>
    <row r="91" spans="1:24" ht="11.4" customHeight="1" thickBot="1" x14ac:dyDescent="0.35">
      <c r="A91" s="946"/>
      <c r="B91" s="946"/>
      <c r="C91" s="946"/>
      <c r="D91" s="946"/>
      <c r="F91" s="945"/>
      <c r="G91" s="945"/>
      <c r="H91" s="945"/>
      <c r="I91" s="945"/>
      <c r="J91" s="945"/>
      <c r="K91" s="945"/>
      <c r="L91" s="732"/>
      <c r="M91" s="318"/>
      <c r="N91" s="318"/>
      <c r="O91" s="318"/>
      <c r="P91" s="318"/>
      <c r="Q91" s="318"/>
      <c r="R91" s="318"/>
      <c r="S91" s="337"/>
      <c r="W91" s="805"/>
    </row>
    <row r="92" spans="1:24" ht="7.2" customHeight="1" thickTop="1" x14ac:dyDescent="0.3">
      <c r="A92" s="946"/>
      <c r="B92" s="946"/>
      <c r="C92" s="946"/>
      <c r="D92" s="946"/>
      <c r="E92" s="303"/>
      <c r="F92" s="304"/>
      <c r="G92" s="304"/>
      <c r="H92" s="1467" t="s">
        <v>455</v>
      </c>
      <c r="I92" s="1467"/>
      <c r="J92" s="1467"/>
      <c r="K92" s="1467"/>
      <c r="L92" s="304"/>
      <c r="M92" s="304"/>
      <c r="N92" s="304"/>
      <c r="O92" s="304"/>
      <c r="P92" s="1469" t="s">
        <v>88</v>
      </c>
      <c r="Q92" s="1469"/>
      <c r="R92" s="1469"/>
      <c r="S92" s="1469"/>
      <c r="T92" s="305"/>
      <c r="W92" s="805"/>
    </row>
    <row r="93" spans="1:24" ht="16.2" customHeight="1" x14ac:dyDescent="0.3">
      <c r="A93" s="946"/>
      <c r="B93" s="946"/>
      <c r="C93" s="946"/>
      <c r="D93" s="946"/>
      <c r="E93" s="306"/>
      <c r="F93" s="2"/>
      <c r="G93" s="2"/>
      <c r="H93" s="1468"/>
      <c r="I93" s="1468"/>
      <c r="J93" s="1468"/>
      <c r="K93" s="1468"/>
      <c r="L93" s="2"/>
      <c r="M93" s="2"/>
      <c r="N93" s="2"/>
      <c r="O93" s="2"/>
      <c r="P93" s="1470"/>
      <c r="Q93" s="1470"/>
      <c r="R93" s="1470"/>
      <c r="S93" s="1470"/>
      <c r="T93" s="307"/>
      <c r="W93" s="805"/>
    </row>
    <row r="94" spans="1:24" ht="15.6" customHeight="1" x14ac:dyDescent="0.3">
      <c r="A94" s="946"/>
      <c r="B94" s="946"/>
      <c r="C94" s="946"/>
      <c r="D94" s="946"/>
      <c r="E94" s="306"/>
      <c r="F94" s="2"/>
      <c r="G94" s="170" t="s">
        <v>456</v>
      </c>
      <c r="H94" s="1466" t="str">
        <f>IF(AND(Q94&gt;0,ISBLANK(C24)),"Regular Pay",C24)</f>
        <v>Base Pay</v>
      </c>
      <c r="I94" s="1466"/>
      <c r="J94" s="1466"/>
      <c r="K94" s="1466"/>
      <c r="L94" s="1466"/>
      <c r="M94" s="1466"/>
      <c r="N94" s="1466"/>
      <c r="O94" s="1466"/>
      <c r="P94" s="2"/>
      <c r="Q94" s="1465">
        <f>IF(C23&lt;&gt;"",0,
IF(AND(OR($M$20&lt;&gt;"Fannie",$M$20&lt;&gt;"Freddie"),$J$21="Yes",$B$38&lt;&gt;"N/A",M110&lt;&gt;1),0,
IF(AND(OR($M$20&lt;&gt;"Fannie",$M$20&lt;&gt;"Freddie"),$J$21="Yes",$B$38&lt;&gt;"N/A",M110=1),N24,
IF(AND($N$28&gt;0,N28&gt;N26,$N$28&gt;$W$39,$I$17&lt;1,$I$17&lt;&gt;"",M110=4,D110&lt;&gt;TRUE),0,
IF(M110=2,0,
IF(M110=3,N26,
IF(M110=4,N28,
IF(M110=5,N30,
IF(M110=6,N32,
IF(M110=7,N34,
IF(M110=8,N36,
IF(M110=9,N38,
IF(M110=1,
IF(L39=2,0,
IF(L39=3,N26,
IF(L39=4,N28,
IF(L39=5,N30,
IF(L39=7,N34,
IF(L39=8,N36,
IF(L39=9,N38,0))))))))))))))))))))</f>
        <v>0</v>
      </c>
      <c r="R94" s="1465"/>
      <c r="S94" s="1465"/>
      <c r="T94" s="307"/>
      <c r="W94" s="805"/>
    </row>
    <row r="95" spans="1:24" ht="3.6" customHeight="1" x14ac:dyDescent="0.3">
      <c r="A95" s="946"/>
      <c r="B95" s="946"/>
      <c r="C95" s="946"/>
      <c r="D95" s="946"/>
      <c r="E95" s="308"/>
      <c r="T95" s="309"/>
      <c r="W95" s="805"/>
    </row>
    <row r="96" spans="1:24" ht="15.6" customHeight="1" x14ac:dyDescent="0.3">
      <c r="A96" s="946"/>
      <c r="B96" s="946"/>
      <c r="C96" s="946"/>
      <c r="D96" s="946"/>
      <c r="E96" s="306"/>
      <c r="F96" s="2"/>
      <c r="G96" s="170" t="s">
        <v>457</v>
      </c>
      <c r="H96" s="1466" t="str">
        <f>IF(AND(Q96&gt;0,ISBLANK(C41)),"Overtime",C41)</f>
        <v/>
      </c>
      <c r="I96" s="1466"/>
      <c r="J96" s="1466"/>
      <c r="K96" s="1466"/>
      <c r="L96" s="1466"/>
      <c r="M96" s="1466"/>
      <c r="N96" s="1466"/>
      <c r="O96" s="1466"/>
      <c r="P96" s="2"/>
      <c r="Q96" s="1465">
        <f>IF(C23&lt;&gt;"",0,
IF(AND(OR($M$20&lt;&gt;"Fannie",$M$20&lt;&gt;"Freddie"),$J$21="Yes",B53&lt;&gt;"N/A",M111&lt;&gt;1),0,
IF(AND(OR($M$20&lt;&gt;"Fannie",$M$20&lt;&gt;"Freddie"),$J$21="Yes",B53&lt;&gt;"N/A",M111=1),N41,
IF(AND($N$45&gt;0,$N$45&gt;$W$56,$I$17&lt;1,$I$17&lt;&gt;"",M111=4,D111&lt;&gt;TRUE),0,
IF(M111=2,0,
IF(M111=4,N45,
IF(M111=5,N47,
IF(M111=6,N49,
IF(M111=7,N51,
IF(M111=8,N53,
IF(M111=9,N55,
IF(M111=1,
IF(L56=2,0,
IF(L56=4,N45,
IF(L56=5,N47,
IF(L56=7,N51,
IF(L56=8,N53,
IF(L56=9,N55,0))))))))))))))))))</f>
        <v>0</v>
      </c>
      <c r="R96" s="1465"/>
      <c r="S96" s="1465"/>
      <c r="T96" s="307"/>
      <c r="W96" s="805"/>
    </row>
    <row r="97" spans="1:24" ht="3.6" customHeight="1" x14ac:dyDescent="0.3">
      <c r="A97" s="946"/>
      <c r="B97" s="946"/>
      <c r="C97" s="946"/>
      <c r="D97" s="946"/>
      <c r="E97" s="308"/>
      <c r="G97"/>
      <c r="H97"/>
      <c r="I97"/>
      <c r="T97" s="309"/>
      <c r="W97" s="805"/>
    </row>
    <row r="98" spans="1:24" ht="15.6" customHeight="1" x14ac:dyDescent="0.3">
      <c r="A98" s="946"/>
      <c r="B98" s="946"/>
      <c r="C98" s="946"/>
      <c r="D98" s="946"/>
      <c r="E98" s="306"/>
      <c r="F98" s="2"/>
      <c r="G98" s="170" t="s">
        <v>458</v>
      </c>
      <c r="H98" s="1466" t="str">
        <f>IF(AND(Q98&gt;0,ISBLANK(C58)),"Bonus",C58)</f>
        <v/>
      </c>
      <c r="I98" s="1466"/>
      <c r="J98" s="1466"/>
      <c r="K98" s="1466"/>
      <c r="L98" s="1466"/>
      <c r="M98" s="1466"/>
      <c r="N98" s="1466"/>
      <c r="O98" s="1466"/>
      <c r="P98" s="2"/>
      <c r="Q98" s="1465">
        <f>IF(C23&lt;&gt;"",0,
IF(AND(OR($M$20&lt;&gt;"Fannie",$M$20&lt;&gt;"Freddie"),$J$21="Yes",B70&lt;&gt;"N/A",M112&lt;&gt;1),0,
IF(AND(OR($M$20&lt;&gt;"Fannie",$M$20&lt;&gt;"Freddie"),$J$21="Yes",B70&lt;&gt;"N/A",M112=1),N58,
IF(AND($N$62&gt;0,$N$62&gt;$W$73,$I$17&lt;1,$I$17&lt;&gt;"",$D$112&lt;&gt;TRUE,M112=4),0,
IF(M112=2,0,
IF(M112=4,N62,
IF(M112=5,N64,
IF(M112=6,N66,
IF(M112=7,N68,
IF(M112=8,N70,
IF(M112=9,N72,
IF(M112=1,
IF(L73=2,0,
IF(L73=4,N62,
IF(L73=5,N64,
IF(L73=7,N68,
IF(L73=8,N70,
IF(L73=9,N72,0))))))))))))))))))</f>
        <v>0</v>
      </c>
      <c r="R98" s="1465"/>
      <c r="S98" s="1465"/>
      <c r="T98" s="307"/>
      <c r="W98" s="805"/>
    </row>
    <row r="99" spans="1:24" ht="3.6" customHeight="1" x14ac:dyDescent="0.3">
      <c r="A99" s="946"/>
      <c r="B99" s="946"/>
      <c r="C99" s="946"/>
      <c r="D99" s="946"/>
      <c r="E99" s="308"/>
      <c r="G99"/>
      <c r="H99"/>
      <c r="I99"/>
      <c r="T99" s="309"/>
      <c r="W99" s="805"/>
    </row>
    <row r="100" spans="1:24" ht="15.6" customHeight="1" x14ac:dyDescent="0.3">
      <c r="A100" s="946"/>
      <c r="B100" s="946"/>
      <c r="C100" s="946"/>
      <c r="D100" s="946"/>
      <c r="E100" s="306"/>
      <c r="F100" s="2"/>
      <c r="G100" s="170" t="s">
        <v>459</v>
      </c>
      <c r="H100" s="1466" t="str">
        <f>IF(AND(Q100&gt;0,ISBLANK(C75)),"Commission",C75)</f>
        <v/>
      </c>
      <c r="I100" s="1466"/>
      <c r="J100" s="1466"/>
      <c r="K100" s="1466"/>
      <c r="L100" s="1466"/>
      <c r="M100" s="1466"/>
      <c r="N100" s="1466"/>
      <c r="O100" s="1466"/>
      <c r="P100" s="2"/>
      <c r="Q100" s="1465">
        <f>IF(C23&lt;&gt;"",0,
IF(AND(OR($M$20&lt;&gt;"Fannie",$M$20&lt;&gt;"Freddie"),$J$21="Yes",B87&lt;&gt;"N/A",M113&lt;&gt;1),0,
IF(AND(OR($M$20&lt;&gt;"Fannie",$M$20&lt;&gt;"Freddie"),$J$21="Yes",B87&lt;&gt;"N/A",M113=1),N75,
IF(AND($N$79&gt;0,$N$79&gt;$W$90,$I$17&lt;1,$I$17&lt;&gt;"",M113=4),0,
IF(M113=2,0,
IF(M113=4,N79,
IF(M113=5,N81,
IF(M113=6,N83,
IF(M113=7,N85,
IF(M113=8,N87,
IF(M113=9,N89,
IF(M113=1,
IF(L90=2,0,
IF(L90=4,N79,
IF(L90=5,N81,
IF(L90=7,N85,
IF(L90=8,N87,
IF(L90=9,N89,0))))))))))))))))))</f>
        <v>0</v>
      </c>
      <c r="R100" s="1465"/>
      <c r="S100" s="1465"/>
      <c r="T100" s="307"/>
      <c r="W100" s="805"/>
    </row>
    <row r="101" spans="1:24" ht="3" customHeight="1" x14ac:dyDescent="0.3">
      <c r="A101" s="946"/>
      <c r="B101" s="946"/>
      <c r="C101" s="946"/>
      <c r="D101" s="946"/>
      <c r="E101" s="308"/>
      <c r="G101"/>
      <c r="H101"/>
      <c r="I101"/>
      <c r="T101" s="309"/>
      <c r="W101" s="805"/>
    </row>
    <row r="102" spans="1:24" ht="15.6" customHeight="1" thickBot="1" x14ac:dyDescent="0.35">
      <c r="A102" s="946"/>
      <c r="B102" s="946"/>
      <c r="C102" s="946"/>
      <c r="D102" s="946"/>
      <c r="E102" s="306"/>
      <c r="F102" s="2"/>
      <c r="G102"/>
      <c r="H102" s="8" t="s">
        <v>93</v>
      </c>
      <c r="I102" s="68"/>
      <c r="J102" s="3"/>
      <c r="K102" s="2"/>
      <c r="L102" s="10"/>
      <c r="M102" s="2"/>
      <c r="N102" s="2"/>
      <c r="O102" s="2"/>
      <c r="P102" s="310"/>
      <c r="Q102" s="1438">
        <f>SUM(Q94,Q96,Q98,Q100)</f>
        <v>0</v>
      </c>
      <c r="R102" s="1438"/>
      <c r="S102" s="1438"/>
      <c r="T102" s="307"/>
      <c r="W102" s="805"/>
    </row>
    <row r="103" spans="1:24" ht="7.8" customHeight="1" thickTop="1" thickBot="1" x14ac:dyDescent="0.35">
      <c r="A103" s="946"/>
      <c r="B103" s="946"/>
      <c r="C103" s="946"/>
      <c r="D103" s="946"/>
      <c r="E103" s="311"/>
      <c r="F103" s="312"/>
      <c r="G103" s="312"/>
      <c r="H103" s="312"/>
      <c r="I103" s="312"/>
      <c r="J103" s="312"/>
      <c r="K103" s="312"/>
      <c r="L103" s="312"/>
      <c r="M103" s="312"/>
      <c r="N103" s="312"/>
      <c r="O103" s="312"/>
      <c r="P103" s="312"/>
      <c r="Q103" s="312"/>
      <c r="R103" s="312"/>
      <c r="S103" s="312"/>
      <c r="T103" s="313"/>
      <c r="W103" s="805"/>
    </row>
    <row r="104" spans="1:24" ht="25.2" customHeight="1" thickTop="1" x14ac:dyDescent="0.3">
      <c r="A104" s="1437" t="s">
        <v>1073</v>
      </c>
      <c r="B104" s="1437"/>
      <c r="C104" s="1437"/>
      <c r="D104" s="1437"/>
      <c r="F104" s="945"/>
      <c r="G104" s="945"/>
      <c r="H104" s="945"/>
      <c r="I104" s="945"/>
      <c r="J104" s="945"/>
      <c r="K104" s="945"/>
      <c r="L104" s="732"/>
      <c r="M104" s="318"/>
      <c r="N104" s="318"/>
      <c r="O104" s="318"/>
      <c r="P104" s="318"/>
      <c r="Q104" s="318"/>
      <c r="R104" s="318"/>
      <c r="S104" s="337"/>
      <c r="W104" s="805"/>
    </row>
    <row r="105" spans="1:24" ht="15" customHeight="1" x14ac:dyDescent="0.3">
      <c r="A105" s="1436" t="s">
        <v>847</v>
      </c>
      <c r="B105" s="1436"/>
      <c r="C105" s="1436"/>
      <c r="D105" s="1436"/>
      <c r="E105" s="1436"/>
      <c r="F105" s="1436"/>
      <c r="G105" s="1436"/>
      <c r="H105" s="1436"/>
      <c r="I105" s="1436"/>
      <c r="J105" s="1436"/>
      <c r="K105" s="1436"/>
      <c r="L105" s="1436"/>
      <c r="M105" s="1436"/>
      <c r="N105" s="1436"/>
      <c r="O105" s="1436"/>
      <c r="P105" s="1436"/>
      <c r="Q105" s="1436"/>
      <c r="R105" s="1436"/>
      <c r="S105" s="1436"/>
      <c r="T105" s="1436"/>
      <c r="U105" s="1436"/>
      <c r="V105" s="1436"/>
      <c r="W105" s="1436"/>
      <c r="X105" s="1436"/>
    </row>
    <row r="106" spans="1:24" ht="15" customHeight="1" x14ac:dyDescent="0.3">
      <c r="A106" s="1436"/>
      <c r="B106" s="1436"/>
      <c r="C106" s="1436"/>
      <c r="D106" s="1436"/>
      <c r="E106" s="1436"/>
      <c r="F106" s="1436"/>
      <c r="G106" s="1436"/>
      <c r="H106" s="1436"/>
      <c r="I106" s="1436"/>
      <c r="J106" s="1436"/>
      <c r="K106" s="1436"/>
      <c r="L106" s="1436"/>
      <c r="M106" s="1436"/>
      <c r="N106" s="1436"/>
      <c r="O106" s="1436"/>
      <c r="P106" s="1436"/>
      <c r="Q106" s="1436"/>
      <c r="R106" s="1436"/>
      <c r="S106" s="1436"/>
      <c r="T106" s="1436"/>
      <c r="U106" s="1436"/>
      <c r="V106" s="1436"/>
      <c r="W106" s="1436"/>
      <c r="X106" s="1436"/>
    </row>
    <row r="107" spans="1:24" ht="15" customHeight="1" x14ac:dyDescent="0.3">
      <c r="A107" s="1436"/>
      <c r="B107" s="1436"/>
      <c r="C107" s="1436"/>
      <c r="D107" s="1436"/>
      <c r="E107" s="1436"/>
      <c r="F107" s="1436"/>
      <c r="G107" s="1436"/>
      <c r="H107" s="1436"/>
      <c r="I107" s="1436"/>
      <c r="J107" s="1436"/>
      <c r="K107" s="1436"/>
      <c r="L107" s="1436"/>
      <c r="M107" s="1436"/>
      <c r="N107" s="1436"/>
      <c r="O107" s="1436"/>
      <c r="P107" s="1436"/>
      <c r="Q107" s="1436"/>
      <c r="R107" s="1436"/>
      <c r="S107" s="1436"/>
      <c r="T107" s="1436"/>
      <c r="U107" s="1436"/>
      <c r="V107" s="1436"/>
      <c r="W107" s="1436"/>
      <c r="X107" s="1436"/>
    </row>
    <row r="108" spans="1:24" ht="15" customHeight="1" x14ac:dyDescent="0.3">
      <c r="A108" s="1436"/>
      <c r="B108" s="1436"/>
      <c r="C108" s="1436"/>
      <c r="D108" s="1436"/>
      <c r="E108" s="1436"/>
      <c r="F108" s="1436"/>
      <c r="G108" s="1436"/>
      <c r="H108" s="1436"/>
      <c r="I108" s="1436"/>
      <c r="J108" s="1436"/>
      <c r="K108" s="1436"/>
      <c r="L108" s="1436"/>
      <c r="M108" s="1436"/>
      <c r="N108" s="1436"/>
      <c r="O108" s="1436"/>
      <c r="P108" s="1436"/>
      <c r="Q108" s="1436"/>
      <c r="R108" s="1436"/>
      <c r="S108" s="1436"/>
      <c r="T108" s="1436"/>
      <c r="U108" s="1436"/>
      <c r="V108" s="1436"/>
      <c r="W108" s="1436"/>
      <c r="X108" s="1436"/>
    </row>
    <row r="109" spans="1:24" ht="15.75" hidden="1" customHeight="1" x14ac:dyDescent="0.3">
      <c r="A109" s="732"/>
      <c r="X109" s="1044" t="b">
        <v>0</v>
      </c>
    </row>
    <row r="110" spans="1:24" ht="5.25" hidden="1" customHeight="1" x14ac:dyDescent="0.3">
      <c r="D110" s="1045" t="b">
        <v>0</v>
      </c>
      <c r="M110" s="1045">
        <v>1</v>
      </c>
    </row>
    <row r="111" spans="1:24" hidden="1" x14ac:dyDescent="0.3">
      <c r="D111" s="1045" t="b">
        <v>0</v>
      </c>
      <c r="J111" s="1141" t="str">
        <f>IF(OR(U1="Conventional",AND(U1=0,OR(M20="Fannie",M20="Freddie"))),"Yes","")</f>
        <v/>
      </c>
      <c r="M111" s="1045">
        <v>1</v>
      </c>
      <c r="S111" s="1045">
        <v>1</v>
      </c>
      <c r="T111" s="1063"/>
      <c r="U111" s="1063"/>
      <c r="V111" s="1063"/>
      <c r="X111" s="1044" t="b">
        <v>0</v>
      </c>
    </row>
    <row r="112" spans="1:24" hidden="1" x14ac:dyDescent="0.3">
      <c r="D112" s="1045" t="b">
        <v>0</v>
      </c>
      <c r="J112" s="1141" t="str">
        <f>IF(OR(U1="Conventional",AND(U1=0,OR(M20="Fannie",M20="Freddie"))),"No","")</f>
        <v/>
      </c>
      <c r="M112" s="1045">
        <v>1</v>
      </c>
      <c r="S112" s="336"/>
    </row>
    <row r="113" spans="1:24" ht="12.75" hidden="1" customHeight="1" x14ac:dyDescent="0.3">
      <c r="D113" s="1045" t="b">
        <v>0</v>
      </c>
      <c r="M113" s="1045">
        <v>1</v>
      </c>
      <c r="S113" s="1135" t="str">
        <f>IF(AND(X1=1,U1="Conventional",M20="N/A"),"E","")</f>
        <v/>
      </c>
    </row>
    <row r="114" spans="1:24" hidden="1" x14ac:dyDescent="0.3">
      <c r="A114" s="318" t="str">
        <f ca="1">REPLACE(CELL("filename",A114),1,FIND("]",CELL("filename",A114)),"")</f>
        <v>Income Exp &amp; Avg, W2</v>
      </c>
    </row>
    <row r="115" spans="1:24" ht="12.6" hidden="1" customHeight="1" x14ac:dyDescent="0.3"/>
    <row r="119" spans="1:24" x14ac:dyDescent="0.3">
      <c r="W119" s="1433" t="str">
        <f>Version</f>
        <v>Version 2026.1</v>
      </c>
      <c r="X119" s="1433"/>
    </row>
    <row r="120" spans="1:24" ht="80.400000000000006" customHeight="1" x14ac:dyDescent="0.3"/>
  </sheetData>
  <sheetProtection algorithmName="SHA-512" hashValue="FSpvxYTwMElzDdedVLdkZLXaGhrzclXtsl0DIF4eqGKFoWQov0ygG1LDDO1T1iY1m66s0wB9AgfzZs91DXTESA==" saltValue="JwQpSlR9IGRD1UjSIQiz4g==" spinCount="100000" sheet="1" objects="1" scenarios="1" selectLockedCells="1"/>
  <mergeCells count="199">
    <mergeCell ref="A38:A39"/>
    <mergeCell ref="B38:D38"/>
    <mergeCell ref="B53:D53"/>
    <mergeCell ref="B70:D70"/>
    <mergeCell ref="B87:D87"/>
    <mergeCell ref="B39:D39"/>
    <mergeCell ref="A75:B75"/>
    <mergeCell ref="C75:J75"/>
    <mergeCell ref="B54:D56"/>
    <mergeCell ref="B71:D73"/>
    <mergeCell ref="A58:B58"/>
    <mergeCell ref="C58:J58"/>
    <mergeCell ref="B64:D64"/>
    <mergeCell ref="A70:A73"/>
    <mergeCell ref="A87:A90"/>
    <mergeCell ref="E69:E73"/>
    <mergeCell ref="E86:E90"/>
    <mergeCell ref="A69:D69"/>
    <mergeCell ref="A86:D86"/>
    <mergeCell ref="U1:W1"/>
    <mergeCell ref="Q96:S96"/>
    <mergeCell ref="H98:O98"/>
    <mergeCell ref="Q98:S98"/>
    <mergeCell ref="H100:O100"/>
    <mergeCell ref="Q100:S100"/>
    <mergeCell ref="N28:Q28"/>
    <mergeCell ref="S28:U28"/>
    <mergeCell ref="W28:X28"/>
    <mergeCell ref="N38:Q38"/>
    <mergeCell ref="E16:I16"/>
    <mergeCell ref="A18:T18"/>
    <mergeCell ref="A2:X2"/>
    <mergeCell ref="A3:X3"/>
    <mergeCell ref="H92:K93"/>
    <mergeCell ref="P92:S93"/>
    <mergeCell ref="U11:X20"/>
    <mergeCell ref="H94:O94"/>
    <mergeCell ref="Q94:S94"/>
    <mergeCell ref="H96:O96"/>
    <mergeCell ref="A6:B6"/>
    <mergeCell ref="A14:D14"/>
    <mergeCell ref="A16:D16"/>
    <mergeCell ref="A8:B8"/>
    <mergeCell ref="N5:X9"/>
    <mergeCell ref="A9:B9"/>
    <mergeCell ref="C9:M9"/>
    <mergeCell ref="A11:T11"/>
    <mergeCell ref="A24:B24"/>
    <mergeCell ref="A12:T12"/>
    <mergeCell ref="E14:I14"/>
    <mergeCell ref="N24:Q24"/>
    <mergeCell ref="U24:W24"/>
    <mergeCell ref="C6:K6"/>
    <mergeCell ref="C8:K8"/>
    <mergeCell ref="W23:X23"/>
    <mergeCell ref="C24:I24"/>
    <mergeCell ref="A20:L20"/>
    <mergeCell ref="M20:R20"/>
    <mergeCell ref="A23:B23"/>
    <mergeCell ref="C23:Q23"/>
    <mergeCell ref="A21:I21"/>
    <mergeCell ref="B25:D25"/>
    <mergeCell ref="F25:I25"/>
    <mergeCell ref="N25:Q25"/>
    <mergeCell ref="S25:U25"/>
    <mergeCell ref="W25:X25"/>
    <mergeCell ref="B30:D30"/>
    <mergeCell ref="N30:Q30"/>
    <mergeCell ref="S30:U30"/>
    <mergeCell ref="W30:X30"/>
    <mergeCell ref="N36:Q36"/>
    <mergeCell ref="B32:D32"/>
    <mergeCell ref="N32:Q32"/>
    <mergeCell ref="S32:U32"/>
    <mergeCell ref="W32:X32"/>
    <mergeCell ref="B26:D26"/>
    <mergeCell ref="N26:Q26"/>
    <mergeCell ref="S26:U26"/>
    <mergeCell ref="W26:X26"/>
    <mergeCell ref="B28:D28"/>
    <mergeCell ref="N58:Q58"/>
    <mergeCell ref="S53:U53"/>
    <mergeCell ref="S36:U36"/>
    <mergeCell ref="W36:X36"/>
    <mergeCell ref="N45:Q45"/>
    <mergeCell ref="S45:U45"/>
    <mergeCell ref="W45:X45"/>
    <mergeCell ref="B47:D47"/>
    <mergeCell ref="N47:Q47"/>
    <mergeCell ref="S47:U47"/>
    <mergeCell ref="W47:X47"/>
    <mergeCell ref="B42:D42"/>
    <mergeCell ref="S38:U38"/>
    <mergeCell ref="W38:X38"/>
    <mergeCell ref="A41:B41"/>
    <mergeCell ref="C41:J41"/>
    <mergeCell ref="N41:Q41"/>
    <mergeCell ref="F28:K39"/>
    <mergeCell ref="A34:D34"/>
    <mergeCell ref="N34:Q34"/>
    <mergeCell ref="S34:U34"/>
    <mergeCell ref="W34:X34"/>
    <mergeCell ref="B49:D49"/>
    <mergeCell ref="N49:Q49"/>
    <mergeCell ref="S49:U49"/>
    <mergeCell ref="W49:X49"/>
    <mergeCell ref="A51:D51"/>
    <mergeCell ref="F42:K56"/>
    <mergeCell ref="N42:Q42"/>
    <mergeCell ref="S42:U42"/>
    <mergeCell ref="W42:X42"/>
    <mergeCell ref="C43:D43"/>
    <mergeCell ref="N43:Q43"/>
    <mergeCell ref="S43:U43"/>
    <mergeCell ref="W43:X43"/>
    <mergeCell ref="B45:D45"/>
    <mergeCell ref="N53:Q53"/>
    <mergeCell ref="N51:Q51"/>
    <mergeCell ref="S51:U51"/>
    <mergeCell ref="W51:X51"/>
    <mergeCell ref="W53:X53"/>
    <mergeCell ref="N55:Q55"/>
    <mergeCell ref="S55:U55"/>
    <mergeCell ref="W55:X55"/>
    <mergeCell ref="A53:A56"/>
    <mergeCell ref="A52:D52"/>
    <mergeCell ref="E52:E56"/>
    <mergeCell ref="N64:Q64"/>
    <mergeCell ref="S64:U64"/>
    <mergeCell ref="W64:X64"/>
    <mergeCell ref="B59:D59"/>
    <mergeCell ref="F59:K73"/>
    <mergeCell ref="N59:Q59"/>
    <mergeCell ref="B62:D62"/>
    <mergeCell ref="N62:Q62"/>
    <mergeCell ref="B66:D66"/>
    <mergeCell ref="N66:Q66"/>
    <mergeCell ref="N70:Q70"/>
    <mergeCell ref="A68:D68"/>
    <mergeCell ref="S66:U66"/>
    <mergeCell ref="W66:X66"/>
    <mergeCell ref="N68:Q68"/>
    <mergeCell ref="S68:U68"/>
    <mergeCell ref="W68:X68"/>
    <mergeCell ref="S60:U60"/>
    <mergeCell ref="W60:X60"/>
    <mergeCell ref="N72:Q72"/>
    <mergeCell ref="S72:U72"/>
    <mergeCell ref="W72:X72"/>
    <mergeCell ref="S62:U62"/>
    <mergeCell ref="W62:X62"/>
    <mergeCell ref="S83:U83"/>
    <mergeCell ref="W83:X83"/>
    <mergeCell ref="N81:Q81"/>
    <mergeCell ref="S59:U59"/>
    <mergeCell ref="W59:X59"/>
    <mergeCell ref="C60:D60"/>
    <mergeCell ref="N60:Q60"/>
    <mergeCell ref="S81:U81"/>
    <mergeCell ref="W81:X81"/>
    <mergeCell ref="C77:D77"/>
    <mergeCell ref="N77:Q77"/>
    <mergeCell ref="S77:U77"/>
    <mergeCell ref="W77:X77"/>
    <mergeCell ref="S79:U79"/>
    <mergeCell ref="W79:X79"/>
    <mergeCell ref="B80:D80"/>
    <mergeCell ref="B81:D81"/>
    <mergeCell ref="S76:U76"/>
    <mergeCell ref="W76:X76"/>
    <mergeCell ref="N76:Q76"/>
    <mergeCell ref="B79:D79"/>
    <mergeCell ref="N79:Q79"/>
    <mergeCell ref="S70:U70"/>
    <mergeCell ref="W70:X70"/>
    <mergeCell ref="A37:E37"/>
    <mergeCell ref="E38:E39"/>
    <mergeCell ref="A22:I22"/>
    <mergeCell ref="J21:J22"/>
    <mergeCell ref="W119:X119"/>
    <mergeCell ref="N87:Q87"/>
    <mergeCell ref="S87:U87"/>
    <mergeCell ref="W87:X87"/>
    <mergeCell ref="N89:Q89"/>
    <mergeCell ref="S89:U89"/>
    <mergeCell ref="W89:X89"/>
    <mergeCell ref="A105:X108"/>
    <mergeCell ref="A104:D104"/>
    <mergeCell ref="Q102:S102"/>
    <mergeCell ref="B88:D90"/>
    <mergeCell ref="N75:Q75"/>
    <mergeCell ref="B76:D76"/>
    <mergeCell ref="F76:K90"/>
    <mergeCell ref="A85:D85"/>
    <mergeCell ref="N85:Q85"/>
    <mergeCell ref="S85:U85"/>
    <mergeCell ref="W85:X85"/>
    <mergeCell ref="B83:D83"/>
    <mergeCell ref="N83:Q83"/>
  </mergeCells>
  <conditionalFormatting sqref="L75">
    <cfRule type="expression" dxfId="1529" priority="88">
      <formula>M113=1</formula>
    </cfRule>
  </conditionalFormatting>
  <conditionalFormatting sqref="L76">
    <cfRule type="expression" dxfId="1528" priority="89">
      <formula>M113=2</formula>
    </cfRule>
  </conditionalFormatting>
  <conditionalFormatting sqref="N79:Q79">
    <cfRule type="expression" dxfId="1527" priority="56">
      <formula>AND(X109=TRUE,$N$79&gt;0)</formula>
    </cfRule>
    <cfRule type="expression" dxfId="1526" priority="90">
      <formula>OR(AND(M113=1,L90=4),M113=4)</formula>
    </cfRule>
  </conditionalFormatting>
  <conditionalFormatting sqref="L81">
    <cfRule type="expression" dxfId="1525" priority="91">
      <formula>OR(AND(M113=1,L90=5),M113=5)</formula>
    </cfRule>
  </conditionalFormatting>
  <conditionalFormatting sqref="L83">
    <cfRule type="expression" dxfId="1524" priority="93">
      <formula>OR(AND(M113=1,L90=6),M113=6)</formula>
    </cfRule>
  </conditionalFormatting>
  <conditionalFormatting sqref="L85">
    <cfRule type="expression" dxfId="1523" priority="95">
      <formula>OR(AND(M113=1,L90=7),M113=7)</formula>
    </cfRule>
  </conditionalFormatting>
  <conditionalFormatting sqref="N85:Q85">
    <cfRule type="expression" dxfId="1522" priority="47">
      <formula>AND(X109=TRUE,$N$85&gt;0)</formula>
    </cfRule>
    <cfRule type="expression" dxfId="1521" priority="96">
      <formula>OR(AND(M113=1,L90=7),M113=7)</formula>
    </cfRule>
  </conditionalFormatting>
  <conditionalFormatting sqref="L87">
    <cfRule type="expression" dxfId="1520" priority="97">
      <formula>OR(AND(M113=1,L90=8),M113=8)</formula>
    </cfRule>
  </conditionalFormatting>
  <conditionalFormatting sqref="N87:Q87">
    <cfRule type="expression" dxfId="1519" priority="44">
      <formula>AND(X109=TRUE,$N$87&gt;0)</formula>
    </cfRule>
    <cfRule type="expression" dxfId="1518" priority="98">
      <formula>OR(AND(M113=1,L90=8),M113=8)</formula>
    </cfRule>
  </conditionalFormatting>
  <conditionalFormatting sqref="L89">
    <cfRule type="expression" dxfId="1517" priority="99">
      <formula>OR(AND(M113=1,L90=9),M113=9)</formula>
    </cfRule>
  </conditionalFormatting>
  <conditionalFormatting sqref="L58">
    <cfRule type="expression" dxfId="1516" priority="101">
      <formula>M112=1</formula>
    </cfRule>
  </conditionalFormatting>
  <conditionalFormatting sqref="L59">
    <cfRule type="expression" dxfId="1515" priority="102">
      <formula>M112=2</formula>
    </cfRule>
  </conditionalFormatting>
  <conditionalFormatting sqref="N62:Q62">
    <cfRule type="expression" dxfId="1514" priority="57">
      <formula>AND(X109=TRUE,$N$62&gt;0)</formula>
    </cfRule>
    <cfRule type="expression" dxfId="1513" priority="103">
      <formula>OR(AND(M112=1,L73=4),M112=4)</formula>
    </cfRule>
  </conditionalFormatting>
  <conditionalFormatting sqref="L64">
    <cfRule type="expression" dxfId="1512" priority="104">
      <formula>OR(AND(M112=1,L73=5),M112=5)</formula>
    </cfRule>
  </conditionalFormatting>
  <conditionalFormatting sqref="N64:Q64">
    <cfRule type="expression" dxfId="1511" priority="54">
      <formula>AND(X109=TRUE,$S$14&gt;=$X$24-1,$N$64&gt;0)</formula>
    </cfRule>
    <cfRule type="expression" dxfId="1510" priority="105">
      <formula>OR(AND(M112=1,L73=5),M112=5)</formula>
    </cfRule>
  </conditionalFormatting>
  <conditionalFormatting sqref="L66">
    <cfRule type="expression" dxfId="1509" priority="106">
      <formula>OR(AND(M112=1,L73=6),M112=6)</formula>
    </cfRule>
  </conditionalFormatting>
  <conditionalFormatting sqref="N66:Q66">
    <cfRule type="expression" dxfId="1508" priority="51">
      <formula>AND(X109=TRUE,$S$14&gt;=$X$24-2,$N$66&gt;0)</formula>
    </cfRule>
    <cfRule type="expression" dxfId="1507" priority="107">
      <formula>OR(AND(M112=1,L73=6),M112=6)</formula>
    </cfRule>
  </conditionalFormatting>
  <conditionalFormatting sqref="L68">
    <cfRule type="expression" dxfId="1506" priority="108">
      <formula>OR(AND(M112=1,L73=7),M112=7)</formula>
    </cfRule>
  </conditionalFormatting>
  <conditionalFormatting sqref="N68:Q68">
    <cfRule type="expression" dxfId="1505" priority="48">
      <formula>AND(X109=TRUE,$N$68&gt;0)</formula>
    </cfRule>
    <cfRule type="expression" dxfId="1504" priority="109">
      <formula>OR(AND(M112=1,L73=7),M112=7)</formula>
    </cfRule>
  </conditionalFormatting>
  <conditionalFormatting sqref="L70">
    <cfRule type="expression" dxfId="1503" priority="110">
      <formula>OR(AND(M112=1,L73=8),M112=8)</formula>
    </cfRule>
  </conditionalFormatting>
  <conditionalFormatting sqref="N70:Q70">
    <cfRule type="expression" dxfId="1502" priority="45">
      <formula>AND(X109=TRUE,$N$70&gt;0)</formula>
    </cfRule>
    <cfRule type="expression" dxfId="1501" priority="111">
      <formula>OR(AND(M112=1,L73=8),M112=8)</formula>
    </cfRule>
  </conditionalFormatting>
  <conditionalFormatting sqref="L72">
    <cfRule type="expression" dxfId="1500" priority="112">
      <formula>OR(AND(M112=1,L73=9),M112=9)</formula>
    </cfRule>
  </conditionalFormatting>
  <conditionalFormatting sqref="N72:Q72">
    <cfRule type="expression" dxfId="1499" priority="42">
      <formula>AND(X109=TRUE,$S$14&gt;=$X$24-2,$N$72&gt;0)</formula>
    </cfRule>
    <cfRule type="expression" dxfId="1498" priority="113">
      <formula>OR(AND(M112=1,L73=9),M112=9)</formula>
    </cfRule>
  </conditionalFormatting>
  <conditionalFormatting sqref="L41">
    <cfRule type="expression" dxfId="1497" priority="114">
      <formula>M111=1</formula>
    </cfRule>
  </conditionalFormatting>
  <conditionalFormatting sqref="L42">
    <cfRule type="expression" dxfId="1496" priority="115">
      <formula>M111=2</formula>
    </cfRule>
  </conditionalFormatting>
  <conditionalFormatting sqref="L24">
    <cfRule type="expression" dxfId="1495" priority="127">
      <formula>M110=1</formula>
    </cfRule>
  </conditionalFormatting>
  <conditionalFormatting sqref="L25">
    <cfRule type="expression" dxfId="1494" priority="128">
      <formula>M110=2</formula>
    </cfRule>
  </conditionalFormatting>
  <conditionalFormatting sqref="L79">
    <cfRule type="expression" dxfId="1493" priority="130">
      <formula>OR(AND(M158=1,L90=4),M158=4)</formula>
    </cfRule>
  </conditionalFormatting>
  <conditionalFormatting sqref="U11:X20">
    <cfRule type="expression" dxfId="1492" priority="142">
      <formula>AND(A114&lt;&gt;"Income EXP &amp; AVG, W2",A114&lt;&gt;"Income EXP &amp; AVG, W2 (2)",A114&lt;&gt;"Income EXP &amp; AVG, W2 (3)",A114&lt;&gt;"Income EXP &amp; AVG, W2 (4)")</formula>
    </cfRule>
  </conditionalFormatting>
  <conditionalFormatting sqref="L28:Q28 S28:W28">
    <cfRule type="expression" dxfId="1491" priority="144">
      <formula>AND($N$28&gt;$N$26,$N$28&gt;0,$N$28&gt;$W$39,$I$17&lt;1,$I$17&lt;&gt;"",M110=4,D110&lt;&gt;TRUE)</formula>
    </cfRule>
    <cfRule type="expression" dxfId="1490" priority="162">
      <formula>AND($N$28&gt;$N$26,$N$28&gt;0,$N$28&gt;$W$39,$I$17&lt;1,$I$17&lt;&gt;"",D110&lt;&gt;TRUE)</formula>
    </cfRule>
  </conditionalFormatting>
  <conditionalFormatting sqref="L45:Q45 V45:W45">
    <cfRule type="expression" dxfId="1489" priority="145">
      <formula>AND($N$45&gt;0,$N$45&gt;$W$56,$I$17&lt;1,$I$17&lt;&gt;"",M111=4,D111&lt;&gt;TRUE)</formula>
    </cfRule>
    <cfRule type="expression" dxfId="1488" priority="146">
      <formula>AND($N$45&gt;0,$N$45&gt;$W$56,$I$17&lt;1,$I$17&lt;&gt;"",D111&lt;&gt;TRUE)</formula>
    </cfRule>
  </conditionalFormatting>
  <conditionalFormatting sqref="H94:O94 Q94:S94">
    <cfRule type="expression" dxfId="1487" priority="151">
      <formula>AND($N$28&gt;$N$26,$N$28&gt;0,$N$28&gt;$W$39,$I$17&lt;1,$I$17&lt;&gt;"",D110=4,XEY110&lt;&gt;TRUE)</formula>
    </cfRule>
  </conditionalFormatting>
  <conditionalFormatting sqref="Q96:S96">
    <cfRule type="expression" dxfId="1486" priority="152">
      <formula>AND($N$45&gt;0,$N$45&gt;$W$56,$I$17&lt;1,$I$17&lt;&gt;"",M111=4,D111&lt;&gt;TRUE)</formula>
    </cfRule>
  </conditionalFormatting>
  <conditionalFormatting sqref="R34 R39:R40">
    <cfRule type="expression" dxfId="1485" priority="155">
      <formula>AND($N$28&gt;$N$26,$N$28&gt;0,$N$28&gt;$W$39,$I$17&lt;1,$I$17&lt;&gt;"",S110=4,J110&lt;&gt;TRUE)</formula>
    </cfRule>
    <cfRule type="expression" dxfId="1484" priority="156">
      <formula>AND($N$28&gt;$N$26,$N$28&gt;0,$N$28&gt;$W$39,$I$17&lt;1,$I$17&lt;&gt;"",J110&lt;&gt;TRUE)</formula>
    </cfRule>
  </conditionalFormatting>
  <conditionalFormatting sqref="R28">
    <cfRule type="expression" dxfId="1483" priority="157">
      <formula>AND($N$28&gt;$N$26,$N$28&gt;0,$N$28&gt;$W$39,$I$17&lt;1,$I$17&lt;&gt;"",S90=4,J90&lt;&gt;TRUE)</formula>
    </cfRule>
    <cfRule type="expression" dxfId="1482" priority="158">
      <formula>AND($N$28&gt;$N$26,$N$28&gt;0,$N$28&gt;$W$39,$I$17&lt;1,$I$17&lt;&gt;"",J90&lt;&gt;TRUE)</formula>
    </cfRule>
  </conditionalFormatting>
  <conditionalFormatting sqref="A20 S20 M20">
    <cfRule type="expression" dxfId="1481" priority="86">
      <formula>$X$1=2</formula>
    </cfRule>
  </conditionalFormatting>
  <conditionalFormatting sqref="M20">
    <cfRule type="expression" dxfId="1480" priority="85">
      <formula>AND(X1=1,U1="Conventional",M20="N/A")</formula>
    </cfRule>
  </conditionalFormatting>
  <conditionalFormatting sqref="R45:U45">
    <cfRule type="expression" dxfId="1479" priority="160">
      <formula>AND($N$45&gt;0,$N$45&gt;$W$56,$I$17&lt;1,$I$17&lt;&gt;"",#REF!=4,J111&lt;&gt;TRUE)</formula>
    </cfRule>
    <cfRule type="expression" dxfId="1478" priority="161">
      <formula>AND($N$45&gt;0,$N$45&gt;$W$56,$I$17&lt;1,$I$17&lt;&gt;"",J111&lt;&gt;TRUE)</formula>
    </cfRule>
  </conditionalFormatting>
  <conditionalFormatting sqref="X28">
    <cfRule type="expression" dxfId="1477" priority="163">
      <formula>AND($N$28&gt;$N$26,$N$28&gt;0,$N$28&gt;$W$39,$I$17&lt;1,$I$17&lt;&gt;"",#REF!=4,P110&lt;&gt;TRUE)</formula>
    </cfRule>
    <cfRule type="expression" dxfId="1476" priority="2137">
      <formula>AND($N$28&gt;$N$26,$N$28&gt;0,$N$28&gt;$W$39,$I$17&lt;1,$I$17&lt;&gt;"",P110&lt;&gt;TRUE)</formula>
    </cfRule>
  </conditionalFormatting>
  <conditionalFormatting sqref="X45">
    <cfRule type="expression" dxfId="1475" priority="164">
      <formula>AND($N$45&gt;0,$N$45&gt;$W$56,$I$17&lt;1,$I$17&lt;&gt;"",#REF!=4,P111&lt;&gt;TRUE)</formula>
    </cfRule>
    <cfRule type="expression" dxfId="1474" priority="165">
      <formula>AND($N$45&gt;0,$N$45&gt;$W$56,$I$17&lt;1,$I$17&lt;&gt;"",P111&lt;&gt;TRUE)</formula>
    </cfRule>
  </conditionalFormatting>
  <conditionalFormatting sqref="X79">
    <cfRule type="expression" dxfId="1473" priority="166">
      <formula>AND($N$79&gt;0,$N$79&gt;$W$90,$I$17&lt;1,$I$17&lt;&gt;"",#REF!=4)</formula>
    </cfRule>
    <cfRule type="expression" dxfId="1472" priority="167">
      <formula>AND($N$79&gt;0,$N$79&gt;$W$90,$I$17&lt;1,$I$17&lt;&gt;"")</formula>
    </cfRule>
  </conditionalFormatting>
  <conditionalFormatting sqref="S20">
    <cfRule type="expression" dxfId="1471" priority="170">
      <formula>AND(Y1=1,W1="Conventional",S20="N/A")</formula>
    </cfRule>
  </conditionalFormatting>
  <conditionalFormatting sqref="B32:D32">
    <cfRule type="expression" dxfId="1470" priority="2138">
      <formula>AND($B$32&gt;0,$M$20="Freddie",$X$1=1)</formula>
    </cfRule>
    <cfRule type="expression" dxfId="1469" priority="2196">
      <formula>AND($X$1=1,$M$20="Freddie")</formula>
    </cfRule>
  </conditionalFormatting>
  <conditionalFormatting sqref="F42 F59">
    <cfRule type="expression" dxfId="1468" priority="74">
      <formula>AND($M$20="Freddie",N47&gt;0,N45&gt;0,N47&lt;N45,((N45/N47)-1)&gt;0.3)</formula>
    </cfRule>
    <cfRule type="expression" dxfId="1467" priority="75">
      <formula>AND($M$20="Freddie",N47&gt;0,N45&gt;0,N47&gt;N45,(((N45/N47)-1)*-1)&gt;0.1)</formula>
    </cfRule>
    <cfRule type="expression" dxfId="1466" priority="76">
      <formula>AND($M$20="Freddie",N47&gt;0,N45&gt;0,N47&lt;N45,((N45/N47)-1)&gt;=0,((N45/N47)-1)&lt;=0.1)</formula>
    </cfRule>
    <cfRule type="expression" dxfId="1465" priority="77">
      <formula>AND($M$20&lt;&gt;"Freddie",N47&gt;0,N45&gt;0,N47&lt;N45,((N45/N47)-1)&gt;=0)</formula>
    </cfRule>
  </conditionalFormatting>
  <conditionalFormatting sqref="F76:K90">
    <cfRule type="expression" dxfId="1464" priority="1" stopIfTrue="1">
      <formula>AND(OR($M$20&lt;&gt;"Fannie",$M$20&lt;&gt;"Freddie"),$J$21="Yes",$B$87&lt;&gt;"N/A")</formula>
    </cfRule>
    <cfRule type="expression" dxfId="1463" priority="66">
      <formula>AND($M$20="Freddie",N81&gt;0,N79&gt;0,N81&lt;N79,((N79/N81)-1)&gt;0.3)</formula>
    </cfRule>
    <cfRule type="expression" dxfId="1462" priority="67">
      <formula>AND($M$20="Freddie",N81&gt;0,N79&gt;0,N81&gt;N79,(((N79/N81)-1)*-1)&gt;0.1)</formula>
    </cfRule>
    <cfRule type="expression" dxfId="1461" priority="68">
      <formula>AND($M$20&lt;&gt;"Freddie",N81&gt;0,N79&gt;0,N81&lt;N79,((N79/N81)-1)&gt;=0)</formula>
    </cfRule>
    <cfRule type="expression" dxfId="1460" priority="69">
      <formula>AND($M$20="Freddie",N81&gt;0,N79&gt;0,N81&lt;N79,((N79/N81)-1)&gt;=0,((N79/N81)-1)&lt;=0.1)</formula>
    </cfRule>
  </conditionalFormatting>
  <conditionalFormatting sqref="K26">
    <cfRule type="expression" dxfId="1459" priority="2174">
      <formula>AND(OR(S111=2,S111=8,S111=13),$J$21="Yes",$B$38&lt;&gt;"N/A",OR($M$20="Fannie",$M$20="Freddie"))</formula>
    </cfRule>
    <cfRule type="expression" dxfId="1458" priority="2175">
      <formula>OR(S111=2,S111=8,S111=13)</formula>
    </cfRule>
  </conditionalFormatting>
  <conditionalFormatting sqref="B26:D26 B28:D28 B30:D30 B32:D32 N26:Q26 S26:U26 N28:Q28 S28:U28 N30:Q30 S30:U30 N32:Q32 S32:U32 N34:Q34 S34:U34 N36:Q36 S36:U36 N38:Q38 S38:U38 W38:X38 W36:X36 W34:X34 W32:X32 W30:X30 W28:X28 W26:X26">
    <cfRule type="expression" dxfId="1457" priority="59" stopIfTrue="1">
      <formula>AND(OR($M$20&lt;&gt;"Fannie",$M$20&lt;&gt;"Freddie"),$J$21="Yes",$B$38&lt;&gt;"N/A")</formula>
    </cfRule>
  </conditionalFormatting>
  <conditionalFormatting sqref="N24:Q24">
    <cfRule type="expression" dxfId="1456" priority="2221">
      <formula>AND(OR($M$20&lt;&gt;"Fannie",$M$20&lt;&gt;"Freddie"),$J$21="Yes",$B$38&lt;&gt;"")</formula>
    </cfRule>
  </conditionalFormatting>
  <conditionalFormatting sqref="B39:D39">
    <cfRule type="expression" dxfId="1455" priority="30">
      <formula>AND(OR($M$20&lt;&gt;"Fannie",$M$20&lt;&gt;"Freddie"),$J$21&lt;&gt;"Yes")</formula>
    </cfRule>
  </conditionalFormatting>
  <conditionalFormatting sqref="E38:E39 B39:D39 A38:A39 A37:E37">
    <cfRule type="expression" dxfId="1454" priority="28">
      <formula>AND(OR($M$20&lt;&gt;"Fannie",$M$20&lt;&gt;"Freddie"),$J$21="Yes",$B$38&lt;&gt;"N/A")</formula>
    </cfRule>
  </conditionalFormatting>
  <conditionalFormatting sqref="A21:J22">
    <cfRule type="expression" dxfId="1453" priority="21">
      <formula>AND($U$1&lt;&gt;"Conventional",$M$20&lt;&gt;"Fannie",$M$20&lt;&gt;"Freddie")</formula>
    </cfRule>
    <cfRule type="expression" dxfId="1452" priority="24">
      <formula>$X$1&lt;&gt;1</formula>
    </cfRule>
  </conditionalFormatting>
  <conditionalFormatting sqref="L28">
    <cfRule type="expression" dxfId="1451" priority="2234">
      <formula>OR(AND(M110=1,L39=4),M110=4)</formula>
    </cfRule>
  </conditionalFormatting>
  <conditionalFormatting sqref="L62">
    <cfRule type="expression" dxfId="1450" priority="2235">
      <formula>OR(AND(M142=1,L73=4),M142=4)</formula>
    </cfRule>
  </conditionalFormatting>
  <conditionalFormatting sqref="N81:Q81">
    <cfRule type="expression" dxfId="1449" priority="2258">
      <formula>AND(X109=TRUE,$S$14&gt;=$X$24-1,$N$81&gt;0)</formula>
    </cfRule>
    <cfRule type="expression" dxfId="1448" priority="2259">
      <formula>OR(AND(M113=1,L90=5),M113=5)</formula>
    </cfRule>
  </conditionalFormatting>
  <conditionalFormatting sqref="N83:Q83">
    <cfRule type="expression" dxfId="1447" priority="2260">
      <formula>AND(X109=TRUE,$S$14&gt;=$X$24-2,$N$83&gt;0)</formula>
    </cfRule>
    <cfRule type="expression" dxfId="1446" priority="2261">
      <formula>OR(AND(M113=1,L90=6),M113=6)</formula>
    </cfRule>
  </conditionalFormatting>
  <conditionalFormatting sqref="N89:Q89">
    <cfRule type="expression" dxfId="1445" priority="2262">
      <formula>AND(X109=TRUE,$S$14&gt;=$X$24-2,$N$89&gt;0)</formula>
    </cfRule>
    <cfRule type="expression" dxfId="1444" priority="2263">
      <formula>OR(AND(M113=1,L90=9),M113=9)</formula>
    </cfRule>
  </conditionalFormatting>
  <conditionalFormatting sqref="N45:Q45">
    <cfRule type="expression" dxfId="1443" priority="2264">
      <formula>AND(X109=TRUE,$N$45&gt;0)</formula>
    </cfRule>
    <cfRule type="expression" dxfId="1442" priority="2265">
      <formula>OR(AND(M111=1,L56=4),M111=4)</formula>
    </cfRule>
  </conditionalFormatting>
  <conditionalFormatting sqref="L47">
    <cfRule type="expression" dxfId="1441" priority="2266">
      <formula>OR(AND(M111=1,L56=5),M111=5)</formula>
    </cfRule>
  </conditionalFormatting>
  <conditionalFormatting sqref="N47:Q47">
    <cfRule type="expression" dxfId="1440" priority="2267">
      <formula>AND(X109=TRUE,$S$14&gt;=$X$24-1,$N$47&gt;0)</formula>
    </cfRule>
    <cfRule type="expression" dxfId="1439" priority="2268">
      <formula>OR(AND(M111=1,L56=5),M111=5)</formula>
    </cfRule>
  </conditionalFormatting>
  <conditionalFormatting sqref="L49">
    <cfRule type="expression" dxfId="1438" priority="2269">
      <formula>OR(AND(M111=1,L56=6),M111=6)</formula>
    </cfRule>
  </conditionalFormatting>
  <conditionalFormatting sqref="N49:Q49">
    <cfRule type="expression" dxfId="1437" priority="2270">
      <formula>AND(X109=TRUE,$S$14&gt;=$X$24-2,$N$49&gt;0)</formula>
    </cfRule>
    <cfRule type="expression" dxfId="1436" priority="2271">
      <formula>OR(AND(M111=1,L56=6),M111=6)</formula>
    </cfRule>
  </conditionalFormatting>
  <conditionalFormatting sqref="L51">
    <cfRule type="expression" dxfId="1435" priority="2272">
      <formula>OR(AND(M111=1,L56=7),M111=7)</formula>
    </cfRule>
  </conditionalFormatting>
  <conditionalFormatting sqref="N51:Q51">
    <cfRule type="expression" dxfId="1434" priority="2273">
      <formula>AND(X109=TRUE,$N$51&gt;0)</formula>
    </cfRule>
    <cfRule type="expression" dxfId="1433" priority="2274">
      <formula>OR(AND(M111=1,L56=7),M111=7)</formula>
    </cfRule>
  </conditionalFormatting>
  <conditionalFormatting sqref="L53">
    <cfRule type="expression" dxfId="1432" priority="2275">
      <formula>OR(AND(M111=1,L56=8),M111=8)</formula>
    </cfRule>
  </conditionalFormatting>
  <conditionalFormatting sqref="N53:Q53">
    <cfRule type="expression" dxfId="1431" priority="2276">
      <formula>AND(X109=TRUE,$N$53&gt;0)</formula>
    </cfRule>
    <cfRule type="expression" dxfId="1430" priority="2277">
      <formula>OR(AND(M111=1,L56=8),M111=8)</formula>
    </cfRule>
  </conditionalFormatting>
  <conditionalFormatting sqref="L55">
    <cfRule type="expression" dxfId="1429" priority="2278">
      <formula>OR(AND(M111=1,L56=9),M111=9)</formula>
    </cfRule>
  </conditionalFormatting>
  <conditionalFormatting sqref="N55:Q55">
    <cfRule type="expression" dxfId="1428" priority="2279">
      <formula>AND(X109=TRUE,$S$14&gt;=$X$24-2,$N$55&gt;0)</formula>
    </cfRule>
    <cfRule type="expression" dxfId="1427" priority="2280">
      <formula>OR(AND(M111=1,L56=9),M111=9)</formula>
    </cfRule>
  </conditionalFormatting>
  <conditionalFormatting sqref="L26">
    <cfRule type="expression" dxfId="1426" priority="2281">
      <formula>OR(AND(M110=1,L39=3),M110=3)</formula>
    </cfRule>
  </conditionalFormatting>
  <conditionalFormatting sqref="N28:Q28">
    <cfRule type="expression" dxfId="1425" priority="2282">
      <formula>AND(X109=TRUE,$N$28&gt;0)</formula>
    </cfRule>
    <cfRule type="expression" dxfId="1424" priority="2283">
      <formula>OR(AND(M110=1,L39=4),M110=4)</formula>
    </cfRule>
  </conditionalFormatting>
  <conditionalFormatting sqref="L30">
    <cfRule type="expression" dxfId="1423" priority="2284">
      <formula>OR(AND(M110=1,L39=5),M110=5)</formula>
    </cfRule>
  </conditionalFormatting>
  <conditionalFormatting sqref="N30:Q30">
    <cfRule type="expression" dxfId="1422" priority="2285">
      <formula>AND(X109=TRUE,$S$14&gt;=$X$24-1,$N$30&gt;0)</formula>
    </cfRule>
    <cfRule type="expression" dxfId="1421" priority="2286">
      <formula>OR(AND(M110=1,L39=5),M110=5)</formula>
    </cfRule>
  </conditionalFormatting>
  <conditionalFormatting sqref="L32">
    <cfRule type="expression" dxfId="1420" priority="2287">
      <formula>OR(AND(M110=1,L39=6),M110=6)</formula>
    </cfRule>
  </conditionalFormatting>
  <conditionalFormatting sqref="N32:Q32">
    <cfRule type="expression" dxfId="1419" priority="2288">
      <formula>AND(X109=TRUE,$S$14&gt;=$X$24-2,$N$32&gt;0)</formula>
    </cfRule>
    <cfRule type="expression" dxfId="1418" priority="2289">
      <formula>OR(AND(M110=1,L39=6),M110=6)</formula>
    </cfRule>
  </conditionalFormatting>
  <conditionalFormatting sqref="L34">
    <cfRule type="expression" dxfId="1417" priority="2290">
      <formula>OR(AND(M110=1,L39=7),M110=7)</formula>
    </cfRule>
  </conditionalFormatting>
  <conditionalFormatting sqref="N34:Q34">
    <cfRule type="expression" dxfId="1416" priority="2291">
      <formula>AND(X109=TRUE,$N$34&gt;0)</formula>
    </cfRule>
    <cfRule type="expression" dxfId="1415" priority="2292">
      <formula>OR(AND(M110=1,L39=7),M110=7)</formula>
    </cfRule>
  </conditionalFormatting>
  <conditionalFormatting sqref="L36">
    <cfRule type="expression" dxfId="1414" priority="2293">
      <formula>OR(AND(M110=1,L39=8),M110=8)</formula>
    </cfRule>
  </conditionalFormatting>
  <conditionalFormatting sqref="N36:Q36">
    <cfRule type="expression" dxfId="1413" priority="2294">
      <formula>AND(X109=TRUE,$N$36&gt;0)</formula>
    </cfRule>
    <cfRule type="expression" dxfId="1412" priority="2295">
      <formula>OR(AND(M110=1,L39=8),M110=8)</formula>
    </cfRule>
  </conditionalFormatting>
  <conditionalFormatting sqref="L38">
    <cfRule type="expression" dxfId="1411" priority="2296">
      <formula>OR(AND(M110=1,L39=9),M110=9)</formula>
    </cfRule>
  </conditionalFormatting>
  <conditionalFormatting sqref="N38:Q38">
    <cfRule type="expression" dxfId="1410" priority="2297">
      <formula>AND(X109=TRUE,$S$14&gt;=$X$24-2,$N$38&gt;0)</formula>
    </cfRule>
    <cfRule type="expression" dxfId="1409" priority="2298">
      <formula>OR(AND(M110=1,L39=9),M110=9)</formula>
    </cfRule>
  </conditionalFormatting>
  <conditionalFormatting sqref="N26:Q26">
    <cfRule type="expression" dxfId="1408" priority="2299">
      <formula>OR(AND(M110=1,L39=3),M110=3)</formula>
    </cfRule>
  </conditionalFormatting>
  <conditionalFormatting sqref="L79:W79">
    <cfRule type="expression" dxfId="1407" priority="2304">
      <formula>AND($N$79&gt;0,$N$79&gt;$W$90,$I$17&lt;1,$I$17&lt;&gt;"",M113=4)</formula>
    </cfRule>
    <cfRule type="expression" dxfId="1406" priority="2305">
      <formula>AND($N$79&gt;0,$N$79&gt;$W$90,$I$17&lt;1,$I$17&lt;&gt;"")</formula>
    </cfRule>
  </conditionalFormatting>
  <conditionalFormatting sqref="L62:W62">
    <cfRule type="expression" dxfId="1405" priority="2306">
      <formula>AND($N$62&gt;0,$N$62&gt;$W$73,$I$17&lt;1,$I$17&lt;&gt;"",$D$112&lt;&gt;TRUE,M112=4)</formula>
    </cfRule>
    <cfRule type="expression" dxfId="1404" priority="2307">
      <formula>AND($N$62&gt;0,$N$62&gt;$W$73,$I$17&lt;1,$I$17&lt;&gt;"",$D$112&lt;&gt;TRUE)</formula>
    </cfRule>
  </conditionalFormatting>
  <conditionalFormatting sqref="Q98:S98">
    <cfRule type="expression" dxfId="1403" priority="2308">
      <formula>AND($N$62&gt;0,$N$62&gt;$W$73,$I$17&lt;1,$I$17&lt;&gt;"",$D$112&lt;&gt;TRUE,M112=4)</formula>
    </cfRule>
  </conditionalFormatting>
  <conditionalFormatting sqref="Q100:S100">
    <cfRule type="expression" dxfId="1402" priority="2309">
      <formula>AND($N$79&gt;0,$N$79&gt;$W$90,$I$17&lt;1,$I$17&lt;&gt;"",M113=4)</formula>
    </cfRule>
  </conditionalFormatting>
  <conditionalFormatting sqref="X62">
    <cfRule type="expression" dxfId="1401" priority="2312">
      <formula>AND($N$62&gt;0,$N$62&gt;$W$73,$I$17&lt;1,$I$17&lt;&gt;"",$D$112&lt;&gt;TRUE,#REF!=4)</formula>
    </cfRule>
    <cfRule type="expression" dxfId="1400" priority="2313">
      <formula>AND($N$62&gt;0,$N$62&gt;$W$73,$I$17&lt;1,$I$17&lt;&gt;"",$D$112&lt;&gt;TRUE)</formula>
    </cfRule>
  </conditionalFormatting>
  <conditionalFormatting sqref="F28">
    <cfRule type="expression" dxfId="1399" priority="2315" stopIfTrue="1">
      <formula>AND(OR($M$20&lt;&gt;"Fannie",$M$20&lt;&gt;"Freddie"),$J$21="Yes",$B$38&lt;&gt;"N/A")</formula>
    </cfRule>
    <cfRule type="expression" dxfId="1398" priority="2316">
      <formula>AND($M$20="Freddie",X111&lt;&gt;TRUE,N30&gt;0,N28&gt;0,N30&gt;N28,(((N28/N30)-1)*-1)&gt;0.1)</formula>
    </cfRule>
    <cfRule type="expression" dxfId="1397" priority="2317">
      <formula>AND($M$20="Freddie",X111&lt;&gt;TRUE,N30&gt;0,N28&gt;0,N30&lt;N28,((N28/N30)-1)&gt;0.3)</formula>
    </cfRule>
    <cfRule type="expression" dxfId="1396" priority="2318">
      <formula>AND($M$20="Freddie",N30&gt;0,N28&gt;0,N30&lt;N28,((N28/N30)-1)&gt;=0,((N28/N30)-1)&lt;=0.1)</formula>
    </cfRule>
    <cfRule type="expression" dxfId="1395" priority="2319">
      <formula>AND($M$20&lt;&gt;"Freddie",N30&gt;0,N28&gt;0,N30&lt;N28,((N28/N30)-1)&gt;=0)</formula>
    </cfRule>
  </conditionalFormatting>
  <conditionalFormatting sqref="L45">
    <cfRule type="expression" dxfId="1394" priority="2320">
      <formula>OR(AND(M126=1,L56=4),M126=4)</formula>
    </cfRule>
  </conditionalFormatting>
  <conditionalFormatting sqref="B45:D45 B47:D47 B49:D50 N45:Q45 N47:Q47 N49:Q49 N51:Q51 N53:Q53 N55:Q55 S45:U45 S47:U47 S49:U49 S51:U51 S53:U53 S55:U55 W55:X55 W53:X53 W51:X51 W49:X49 W47:X47 W45:X45">
    <cfRule type="expression" dxfId="1393" priority="20">
      <formula>AND(OR($M$20&lt;&gt;"Fannie",$M$20&lt;&gt;"Freddie"),$J$21="Yes",$B$53&lt;&gt;"N/A")</formula>
    </cfRule>
  </conditionalFormatting>
  <conditionalFormatting sqref="B62:D62 B64:D64 B66:D66 N62:Q62 N64:Q64 N66:Q66 N68:Q68 N70:Q70 N72:Q72 S72:U72 S70:U70 S68:U68 S66:U66 S64:U64 S62:U62 W62:X62 W64:X64 W66:X66 W68:X68 W70:X70 W72:X72">
    <cfRule type="expression" dxfId="1392" priority="19">
      <formula>AND(OR($M$20&lt;&gt;"Fannie",$M$20&lt;&gt;"Freddie"),$J$21="Yes",$B$70&lt;&gt;"N/A")</formula>
    </cfRule>
  </conditionalFormatting>
  <conditionalFormatting sqref="B79:D79 B81:D81 B83:D83 N79:Q79 N81:Q81 N83:Q83 N85:Q85 N87:Q87 N89:Q89 S79:U79 S81:U81 S83:U83 S85:U85 S87:U87 S89:U89 W89:X89 W87:X87 W85:X85 W83:X83 W81:X81 W79:X79">
    <cfRule type="expression" dxfId="1391" priority="18">
      <formula>AND(OR($M$20&lt;&gt;"Fannie",$M$20&lt;&gt;"Freddie"),$J$21="Yes",$B$87&lt;&gt;"N/A")</formula>
    </cfRule>
  </conditionalFormatting>
  <conditionalFormatting sqref="A52:E56">
    <cfRule type="expression" dxfId="1390" priority="8">
      <formula>AND(OR($M$20&lt;&gt;"Fannie",$M$20&lt;&gt;"Freddie"),$J$21="Yes",$B$53="N/A")</formula>
    </cfRule>
    <cfRule type="expression" dxfId="1389" priority="17">
      <formula>AND(OR($M$20&lt;&gt;"Fannie",$M$20&lt;&gt;"Freddie"),$J$21&lt;&gt;"Yes")</formula>
    </cfRule>
  </conditionalFormatting>
  <conditionalFormatting sqref="A37:E39">
    <cfRule type="expression" dxfId="1388" priority="7">
      <formula>AND(OR($M$20&lt;&gt;"Fannie",$M$20&lt;&gt;"Freddie"),$J$21="Yes",$B$38="N/A")</formula>
    </cfRule>
    <cfRule type="expression" dxfId="1387" priority="16">
      <formula>AND(OR($M$20&lt;&gt;"Fannie",$M$20&lt;&gt;"Freddie"),$J$21&lt;&gt;"Yes")</formula>
    </cfRule>
  </conditionalFormatting>
  <conditionalFormatting sqref="A69:E73">
    <cfRule type="expression" dxfId="1386" priority="9">
      <formula>AND(OR($M$20&lt;&gt;"Fannie",$M$20&lt;&gt;"Freddie"),$J$21="Yes",$B$70="N/A")</formula>
    </cfRule>
    <cfRule type="expression" dxfId="1385" priority="15">
      <formula>AND(OR($M$20&lt;&gt;"Fannie",$M$20&lt;&gt;"Freddie"),$J$21&lt;&gt;"Yes")</formula>
    </cfRule>
  </conditionalFormatting>
  <conditionalFormatting sqref="A86:E90">
    <cfRule type="expression" dxfId="1384" priority="10">
      <formula>AND(OR($M$20&lt;&gt;"Fannie",$M$20&lt;&gt;"Freddie"),$J$21="Yes",$B$87="N/A")</formula>
    </cfRule>
    <cfRule type="expression" dxfId="1383" priority="14">
      <formula>AND(OR($M$20&lt;&gt;"Fannie",$M$20&lt;&gt;"Freddie"),$J$21&lt;&gt;"Yes")</formula>
    </cfRule>
  </conditionalFormatting>
  <conditionalFormatting sqref="A52:D52 E52:E56 B54:D56 A53:A56">
    <cfRule type="expression" dxfId="1382" priority="13">
      <formula>AND(OR($M$20&lt;&gt;"Fannie",$M$20&lt;&gt;"Freddie"),$J$21="Yes",$B$53&lt;&gt;"N/A")</formula>
    </cfRule>
  </conditionalFormatting>
  <conditionalFormatting sqref="A69:D69 E69:E73 B71:D73 A70:A73">
    <cfRule type="expression" dxfId="1381" priority="12">
      <formula>AND(OR($M$20&lt;&gt;"Fannie",$M$20&lt;&gt;"Freddie"),$J$21="Yes",$B$70&lt;&gt;"N/A")</formula>
    </cfRule>
  </conditionalFormatting>
  <conditionalFormatting sqref="A86:D86 A87:A90 E86:E90 B88:D90">
    <cfRule type="expression" dxfId="1380" priority="11">
      <formula>AND(OR($M$20&lt;&gt;"Fannie",$M$20&lt;&gt;"Freddie"),$J$21="Yes",$B$87&lt;&gt;"N/A")</formula>
    </cfRule>
  </conditionalFormatting>
  <conditionalFormatting sqref="N41:Q41">
    <cfRule type="expression" dxfId="1379" priority="6">
      <formula>AND(OR($M$20&lt;&gt;"Fannie",$M$20&lt;&gt;"Freddie"),$J$21="Yes",$B$53&lt;&gt;"")</formula>
    </cfRule>
  </conditionalFormatting>
  <conditionalFormatting sqref="N58:Q58">
    <cfRule type="expression" dxfId="1378" priority="5">
      <formula>AND(OR($M$20&lt;&gt;"Fannie",$M$20&lt;&gt;"Freddie"),$J$21="Yes",$B$70&lt;&gt;"")</formula>
    </cfRule>
  </conditionalFormatting>
  <conditionalFormatting sqref="N75:Q75">
    <cfRule type="expression" dxfId="1377" priority="4">
      <formula>AND(OR($M$20&lt;&gt;"Fannie",$M$20&lt;&gt;"Freddie"),$J$21="Yes",$B$87&lt;&gt;"")</formula>
    </cfRule>
  </conditionalFormatting>
  <conditionalFormatting sqref="F42:K56">
    <cfRule type="expression" dxfId="1376" priority="3" stopIfTrue="1">
      <formula>AND(OR($M$20&lt;&gt;"Fannie",$M$20&lt;&gt;"Freddie"),$J$21="Yes",$B$53&lt;&gt;"N/A")</formula>
    </cfRule>
  </conditionalFormatting>
  <conditionalFormatting sqref="F59:K73">
    <cfRule type="expression" dxfId="1375" priority="2" stopIfTrue="1">
      <formula>AND(OR($M$20&lt;&gt;"Fannie",$M$20&lt;&gt;"Freddie"),$J$21="Yes",$B$70&lt;&gt;"N/A")</formula>
    </cfRule>
  </conditionalFormatting>
  <dataValidations disablePrompts="1" count="3">
    <dataValidation type="custom" allowBlank="1" showInputMessage="1" showErrorMessage="1" errorTitle="Incorrect Entry Type" error="A dollar amount should be entered in this field (ex. 25 or 25.50)" sqref="B83:D83 B28:D28 B30:D30 B32:D32 B45:D45 B47:D47 B49:D49 B62:D62 B64:D64 B66:D66 B79:D79 B81:D81 B26:D26" xr:uid="{CADBC994-60A0-4BFB-B7CE-7100E7B002C6}">
      <formula1>CELL("format")="C2"</formula1>
    </dataValidation>
    <dataValidation type="list" allowBlank="1" showInputMessage="1" showErrorMessage="1" sqref="M20" xr:uid="{97D5511A-B8CC-4E04-9EA9-E8A086E9F5C7}">
      <formula1>"Fannie, Freddie, N/A"</formula1>
    </dataValidation>
    <dataValidation type="list" allowBlank="1" showInputMessage="1" showErrorMessage="1" sqref="J21" xr:uid="{2737EC5F-716B-439E-8F59-B242E56B6031}">
      <formula1>$J$111:$J$112</formula1>
    </dataValidation>
  </dataValidations>
  <printOptions horizontalCentered="1"/>
  <pageMargins left="0.25" right="0.25" top="0.25" bottom="0.25" header="0.3" footer="0.3"/>
  <pageSetup paperSize="5" scale="7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9586" r:id="rId4" name="Drop Down 2">
              <controlPr defaultSize="0" autoLine="0" autoPict="0">
                <anchor moveWithCells="1">
                  <from>
                    <xdr:col>4</xdr:col>
                    <xdr:colOff>30480</xdr:colOff>
                    <xdr:row>24</xdr:row>
                    <xdr:rowOff>160020</xdr:rowOff>
                  </from>
                  <to>
                    <xdr:col>9</xdr:col>
                    <xdr:colOff>22860</xdr:colOff>
                    <xdr:row>26</xdr:row>
                    <xdr:rowOff>7620</xdr:rowOff>
                  </to>
                </anchor>
              </controlPr>
            </control>
          </mc:Choice>
        </mc:AlternateContent>
        <mc:AlternateContent xmlns:mc="http://schemas.openxmlformats.org/markup-compatibility/2006">
          <mc:Choice Requires="x14">
            <control shapeId="1219587" r:id="rId5" name="Check Box 3">
              <controlPr defaultSize="0" autoFill="0" autoLine="0" autoPict="0">
                <anchor moveWithCells="1">
                  <from>
                    <xdr:col>0</xdr:col>
                    <xdr:colOff>312420</xdr:colOff>
                    <xdr:row>33</xdr:row>
                    <xdr:rowOff>0</xdr:rowOff>
                  </from>
                  <to>
                    <xdr:col>2</xdr:col>
                    <xdr:colOff>312420</xdr:colOff>
                    <xdr:row>33</xdr:row>
                    <xdr:rowOff>160020</xdr:rowOff>
                  </to>
                </anchor>
              </controlPr>
            </control>
          </mc:Choice>
        </mc:AlternateContent>
        <mc:AlternateContent xmlns:mc="http://schemas.openxmlformats.org/markup-compatibility/2006">
          <mc:Choice Requires="x14">
            <control shapeId="1219588" r:id="rId6" name="Option Button 4">
              <controlPr defaultSize="0" autoFill="0" autoLine="0" autoPict="0">
                <anchor moveWithCells="1">
                  <from>
                    <xdr:col>11</xdr:col>
                    <xdr:colOff>769620</xdr:colOff>
                    <xdr:row>23</xdr:row>
                    <xdr:rowOff>7620</xdr:rowOff>
                  </from>
                  <to>
                    <xdr:col>12</xdr:col>
                    <xdr:colOff>160020</xdr:colOff>
                    <xdr:row>24</xdr:row>
                    <xdr:rowOff>0</xdr:rowOff>
                  </to>
                </anchor>
              </controlPr>
            </control>
          </mc:Choice>
        </mc:AlternateContent>
        <mc:AlternateContent xmlns:mc="http://schemas.openxmlformats.org/markup-compatibility/2006">
          <mc:Choice Requires="x14">
            <control shapeId="1219589" r:id="rId7" name="Option Button 5">
              <controlPr defaultSize="0" autoFill="0" autoLine="0" autoPict="0">
                <anchor moveWithCells="1">
                  <from>
                    <xdr:col>11</xdr:col>
                    <xdr:colOff>769620</xdr:colOff>
                    <xdr:row>24</xdr:row>
                    <xdr:rowOff>7620</xdr:rowOff>
                  </from>
                  <to>
                    <xdr:col>12</xdr:col>
                    <xdr:colOff>160020</xdr:colOff>
                    <xdr:row>25</xdr:row>
                    <xdr:rowOff>0</xdr:rowOff>
                  </to>
                </anchor>
              </controlPr>
            </control>
          </mc:Choice>
        </mc:AlternateContent>
        <mc:AlternateContent xmlns:mc="http://schemas.openxmlformats.org/markup-compatibility/2006">
          <mc:Choice Requires="x14">
            <control shapeId="1219590" r:id="rId8" name="Option Button 6">
              <controlPr defaultSize="0" autoFill="0" autoLine="0" autoPict="0">
                <anchor moveWithCells="1">
                  <from>
                    <xdr:col>11</xdr:col>
                    <xdr:colOff>769620</xdr:colOff>
                    <xdr:row>25</xdr:row>
                    <xdr:rowOff>7620</xdr:rowOff>
                  </from>
                  <to>
                    <xdr:col>12</xdr:col>
                    <xdr:colOff>160020</xdr:colOff>
                    <xdr:row>26</xdr:row>
                    <xdr:rowOff>0</xdr:rowOff>
                  </to>
                </anchor>
              </controlPr>
            </control>
          </mc:Choice>
        </mc:AlternateContent>
        <mc:AlternateContent xmlns:mc="http://schemas.openxmlformats.org/markup-compatibility/2006">
          <mc:Choice Requires="x14">
            <control shapeId="1219591" r:id="rId9" name="Option Button 7">
              <controlPr defaultSize="0" autoFill="0" autoLine="0" autoPict="0">
                <anchor moveWithCells="1">
                  <from>
                    <xdr:col>11</xdr:col>
                    <xdr:colOff>769620</xdr:colOff>
                    <xdr:row>27</xdr:row>
                    <xdr:rowOff>7620</xdr:rowOff>
                  </from>
                  <to>
                    <xdr:col>12</xdr:col>
                    <xdr:colOff>160020</xdr:colOff>
                    <xdr:row>28</xdr:row>
                    <xdr:rowOff>0</xdr:rowOff>
                  </to>
                </anchor>
              </controlPr>
            </control>
          </mc:Choice>
        </mc:AlternateContent>
        <mc:AlternateContent xmlns:mc="http://schemas.openxmlformats.org/markup-compatibility/2006">
          <mc:Choice Requires="x14">
            <control shapeId="1219592" r:id="rId10" name="Option Button 8">
              <controlPr defaultSize="0" autoFill="0" autoLine="0" autoPict="0">
                <anchor moveWithCells="1">
                  <from>
                    <xdr:col>11</xdr:col>
                    <xdr:colOff>769620</xdr:colOff>
                    <xdr:row>29</xdr:row>
                    <xdr:rowOff>7620</xdr:rowOff>
                  </from>
                  <to>
                    <xdr:col>12</xdr:col>
                    <xdr:colOff>160020</xdr:colOff>
                    <xdr:row>30</xdr:row>
                    <xdr:rowOff>0</xdr:rowOff>
                  </to>
                </anchor>
              </controlPr>
            </control>
          </mc:Choice>
        </mc:AlternateContent>
        <mc:AlternateContent xmlns:mc="http://schemas.openxmlformats.org/markup-compatibility/2006">
          <mc:Choice Requires="x14">
            <control shapeId="1219593" r:id="rId11" name="Option Button 9">
              <controlPr defaultSize="0" autoFill="0" autoLine="0" autoPict="0">
                <anchor moveWithCells="1">
                  <from>
                    <xdr:col>11</xdr:col>
                    <xdr:colOff>769620</xdr:colOff>
                    <xdr:row>31</xdr:row>
                    <xdr:rowOff>7620</xdr:rowOff>
                  </from>
                  <to>
                    <xdr:col>12</xdr:col>
                    <xdr:colOff>160020</xdr:colOff>
                    <xdr:row>32</xdr:row>
                    <xdr:rowOff>0</xdr:rowOff>
                  </to>
                </anchor>
              </controlPr>
            </control>
          </mc:Choice>
        </mc:AlternateContent>
        <mc:AlternateContent xmlns:mc="http://schemas.openxmlformats.org/markup-compatibility/2006">
          <mc:Choice Requires="x14">
            <control shapeId="1219594" r:id="rId12" name="Option Button 10">
              <controlPr defaultSize="0" autoFill="0" autoLine="0" autoPict="0">
                <anchor moveWithCells="1">
                  <from>
                    <xdr:col>11</xdr:col>
                    <xdr:colOff>769620</xdr:colOff>
                    <xdr:row>33</xdr:row>
                    <xdr:rowOff>7620</xdr:rowOff>
                  </from>
                  <to>
                    <xdr:col>12</xdr:col>
                    <xdr:colOff>160020</xdr:colOff>
                    <xdr:row>34</xdr:row>
                    <xdr:rowOff>0</xdr:rowOff>
                  </to>
                </anchor>
              </controlPr>
            </control>
          </mc:Choice>
        </mc:AlternateContent>
        <mc:AlternateContent xmlns:mc="http://schemas.openxmlformats.org/markup-compatibility/2006">
          <mc:Choice Requires="x14">
            <control shapeId="1219595" r:id="rId13" name="Option Button 11">
              <controlPr defaultSize="0" autoFill="0" autoLine="0" autoPict="0">
                <anchor moveWithCells="1">
                  <from>
                    <xdr:col>11</xdr:col>
                    <xdr:colOff>769620</xdr:colOff>
                    <xdr:row>35</xdr:row>
                    <xdr:rowOff>7620</xdr:rowOff>
                  </from>
                  <to>
                    <xdr:col>12</xdr:col>
                    <xdr:colOff>160020</xdr:colOff>
                    <xdr:row>36</xdr:row>
                    <xdr:rowOff>0</xdr:rowOff>
                  </to>
                </anchor>
              </controlPr>
            </control>
          </mc:Choice>
        </mc:AlternateContent>
        <mc:AlternateContent xmlns:mc="http://schemas.openxmlformats.org/markup-compatibility/2006">
          <mc:Choice Requires="x14">
            <control shapeId="1219596" r:id="rId14" name="Option Button 12">
              <controlPr defaultSize="0" autoFill="0" autoLine="0" autoPict="0">
                <anchor moveWithCells="1">
                  <from>
                    <xdr:col>11</xdr:col>
                    <xdr:colOff>769620</xdr:colOff>
                    <xdr:row>37</xdr:row>
                    <xdr:rowOff>7620</xdr:rowOff>
                  </from>
                  <to>
                    <xdr:col>12</xdr:col>
                    <xdr:colOff>160020</xdr:colOff>
                    <xdr:row>38</xdr:row>
                    <xdr:rowOff>0</xdr:rowOff>
                  </to>
                </anchor>
              </controlPr>
            </control>
          </mc:Choice>
        </mc:AlternateContent>
        <mc:AlternateContent xmlns:mc="http://schemas.openxmlformats.org/markup-compatibility/2006">
          <mc:Choice Requires="x14">
            <control shapeId="1219597" r:id="rId15" name="Check Box 13">
              <controlPr defaultSize="0" autoFill="0" autoLine="0" autoPict="0">
                <anchor moveWithCells="1">
                  <from>
                    <xdr:col>0</xdr:col>
                    <xdr:colOff>312420</xdr:colOff>
                    <xdr:row>50</xdr:row>
                    <xdr:rowOff>0</xdr:rowOff>
                  </from>
                  <to>
                    <xdr:col>2</xdr:col>
                    <xdr:colOff>312420</xdr:colOff>
                    <xdr:row>50</xdr:row>
                    <xdr:rowOff>160020</xdr:rowOff>
                  </to>
                </anchor>
              </controlPr>
            </control>
          </mc:Choice>
        </mc:AlternateContent>
        <mc:AlternateContent xmlns:mc="http://schemas.openxmlformats.org/markup-compatibility/2006">
          <mc:Choice Requires="x14">
            <control shapeId="1219598" r:id="rId16" name="Option Button 14">
              <controlPr defaultSize="0" autoFill="0" autoLine="0" autoPict="0">
                <anchor moveWithCells="1">
                  <from>
                    <xdr:col>11</xdr:col>
                    <xdr:colOff>769620</xdr:colOff>
                    <xdr:row>40</xdr:row>
                    <xdr:rowOff>7620</xdr:rowOff>
                  </from>
                  <to>
                    <xdr:col>12</xdr:col>
                    <xdr:colOff>160020</xdr:colOff>
                    <xdr:row>41</xdr:row>
                    <xdr:rowOff>0</xdr:rowOff>
                  </to>
                </anchor>
              </controlPr>
            </control>
          </mc:Choice>
        </mc:AlternateContent>
        <mc:AlternateContent xmlns:mc="http://schemas.openxmlformats.org/markup-compatibility/2006">
          <mc:Choice Requires="x14">
            <control shapeId="1219599" r:id="rId17" name="Option Button 15">
              <controlPr defaultSize="0" autoFill="0" autoLine="0" autoPict="0">
                <anchor moveWithCells="1">
                  <from>
                    <xdr:col>11</xdr:col>
                    <xdr:colOff>769620</xdr:colOff>
                    <xdr:row>41</xdr:row>
                    <xdr:rowOff>7620</xdr:rowOff>
                  </from>
                  <to>
                    <xdr:col>12</xdr:col>
                    <xdr:colOff>160020</xdr:colOff>
                    <xdr:row>42</xdr:row>
                    <xdr:rowOff>0</xdr:rowOff>
                  </to>
                </anchor>
              </controlPr>
            </control>
          </mc:Choice>
        </mc:AlternateContent>
        <mc:AlternateContent xmlns:mc="http://schemas.openxmlformats.org/markup-compatibility/2006">
          <mc:Choice Requires="x14">
            <control shapeId="1219600" r:id="rId18" name="Option Button 16">
              <controlPr defaultSize="0" autoFill="0" autoLine="0" autoPict="0">
                <anchor moveWithCells="1">
                  <from>
                    <xdr:col>13</xdr:col>
                    <xdr:colOff>38100</xdr:colOff>
                    <xdr:row>41</xdr:row>
                    <xdr:rowOff>106680</xdr:rowOff>
                  </from>
                  <to>
                    <xdr:col>13</xdr:col>
                    <xdr:colOff>251460</xdr:colOff>
                    <xdr:row>44</xdr:row>
                    <xdr:rowOff>99060</xdr:rowOff>
                  </to>
                </anchor>
              </controlPr>
            </control>
          </mc:Choice>
        </mc:AlternateContent>
        <mc:AlternateContent xmlns:mc="http://schemas.openxmlformats.org/markup-compatibility/2006">
          <mc:Choice Requires="x14">
            <control shapeId="1219601" r:id="rId19" name="Option Button 17">
              <controlPr defaultSize="0" autoFill="0" autoLine="0" autoPict="0">
                <anchor moveWithCells="1">
                  <from>
                    <xdr:col>11</xdr:col>
                    <xdr:colOff>769620</xdr:colOff>
                    <xdr:row>42</xdr:row>
                    <xdr:rowOff>7620</xdr:rowOff>
                  </from>
                  <to>
                    <xdr:col>12</xdr:col>
                    <xdr:colOff>160020</xdr:colOff>
                    <xdr:row>45</xdr:row>
                    <xdr:rowOff>0</xdr:rowOff>
                  </to>
                </anchor>
              </controlPr>
            </control>
          </mc:Choice>
        </mc:AlternateContent>
        <mc:AlternateContent xmlns:mc="http://schemas.openxmlformats.org/markup-compatibility/2006">
          <mc:Choice Requires="x14">
            <control shapeId="1219602" r:id="rId20" name="Option Button 18">
              <controlPr defaultSize="0" autoFill="0" autoLine="0" autoPict="0">
                <anchor moveWithCells="1">
                  <from>
                    <xdr:col>11</xdr:col>
                    <xdr:colOff>769620</xdr:colOff>
                    <xdr:row>46</xdr:row>
                    <xdr:rowOff>7620</xdr:rowOff>
                  </from>
                  <to>
                    <xdr:col>12</xdr:col>
                    <xdr:colOff>160020</xdr:colOff>
                    <xdr:row>47</xdr:row>
                    <xdr:rowOff>0</xdr:rowOff>
                  </to>
                </anchor>
              </controlPr>
            </control>
          </mc:Choice>
        </mc:AlternateContent>
        <mc:AlternateContent xmlns:mc="http://schemas.openxmlformats.org/markup-compatibility/2006">
          <mc:Choice Requires="x14">
            <control shapeId="1219603" r:id="rId21" name="Option Button 19">
              <controlPr defaultSize="0" autoFill="0" autoLine="0" autoPict="0">
                <anchor moveWithCells="1">
                  <from>
                    <xdr:col>11</xdr:col>
                    <xdr:colOff>769620</xdr:colOff>
                    <xdr:row>48</xdr:row>
                    <xdr:rowOff>7620</xdr:rowOff>
                  </from>
                  <to>
                    <xdr:col>12</xdr:col>
                    <xdr:colOff>160020</xdr:colOff>
                    <xdr:row>49</xdr:row>
                    <xdr:rowOff>0</xdr:rowOff>
                  </to>
                </anchor>
              </controlPr>
            </control>
          </mc:Choice>
        </mc:AlternateContent>
        <mc:AlternateContent xmlns:mc="http://schemas.openxmlformats.org/markup-compatibility/2006">
          <mc:Choice Requires="x14">
            <control shapeId="1219604" r:id="rId22" name="Option Button 20">
              <controlPr defaultSize="0" autoFill="0" autoLine="0" autoPict="0">
                <anchor moveWithCells="1">
                  <from>
                    <xdr:col>11</xdr:col>
                    <xdr:colOff>769620</xdr:colOff>
                    <xdr:row>50</xdr:row>
                    <xdr:rowOff>7620</xdr:rowOff>
                  </from>
                  <to>
                    <xdr:col>12</xdr:col>
                    <xdr:colOff>160020</xdr:colOff>
                    <xdr:row>51</xdr:row>
                    <xdr:rowOff>0</xdr:rowOff>
                  </to>
                </anchor>
              </controlPr>
            </control>
          </mc:Choice>
        </mc:AlternateContent>
        <mc:AlternateContent xmlns:mc="http://schemas.openxmlformats.org/markup-compatibility/2006">
          <mc:Choice Requires="x14">
            <control shapeId="1219605" r:id="rId23" name="Option Button 21">
              <controlPr defaultSize="0" autoFill="0" autoLine="0" autoPict="0">
                <anchor moveWithCells="1">
                  <from>
                    <xdr:col>11</xdr:col>
                    <xdr:colOff>769620</xdr:colOff>
                    <xdr:row>52</xdr:row>
                    <xdr:rowOff>7620</xdr:rowOff>
                  </from>
                  <to>
                    <xdr:col>12</xdr:col>
                    <xdr:colOff>160020</xdr:colOff>
                    <xdr:row>53</xdr:row>
                    <xdr:rowOff>0</xdr:rowOff>
                  </to>
                </anchor>
              </controlPr>
            </control>
          </mc:Choice>
        </mc:AlternateContent>
        <mc:AlternateContent xmlns:mc="http://schemas.openxmlformats.org/markup-compatibility/2006">
          <mc:Choice Requires="x14">
            <control shapeId="1219606" r:id="rId24" name="Option Button 22">
              <controlPr defaultSize="0" autoFill="0" autoLine="0" autoPict="0">
                <anchor moveWithCells="1">
                  <from>
                    <xdr:col>11</xdr:col>
                    <xdr:colOff>769620</xdr:colOff>
                    <xdr:row>54</xdr:row>
                    <xdr:rowOff>7620</xdr:rowOff>
                  </from>
                  <to>
                    <xdr:col>12</xdr:col>
                    <xdr:colOff>160020</xdr:colOff>
                    <xdr:row>55</xdr:row>
                    <xdr:rowOff>0</xdr:rowOff>
                  </to>
                </anchor>
              </controlPr>
            </control>
          </mc:Choice>
        </mc:AlternateContent>
        <mc:AlternateContent xmlns:mc="http://schemas.openxmlformats.org/markup-compatibility/2006">
          <mc:Choice Requires="x14">
            <control shapeId="1219607" r:id="rId25" name="Check Box 23">
              <controlPr defaultSize="0" autoFill="0" autoLine="0" autoPict="0">
                <anchor moveWithCells="1">
                  <from>
                    <xdr:col>0</xdr:col>
                    <xdr:colOff>312420</xdr:colOff>
                    <xdr:row>67</xdr:row>
                    <xdr:rowOff>0</xdr:rowOff>
                  </from>
                  <to>
                    <xdr:col>2</xdr:col>
                    <xdr:colOff>312420</xdr:colOff>
                    <xdr:row>67</xdr:row>
                    <xdr:rowOff>160020</xdr:rowOff>
                  </to>
                </anchor>
              </controlPr>
            </control>
          </mc:Choice>
        </mc:AlternateContent>
        <mc:AlternateContent xmlns:mc="http://schemas.openxmlformats.org/markup-compatibility/2006">
          <mc:Choice Requires="x14">
            <control shapeId="1219608" r:id="rId26" name="Option Button 24">
              <controlPr defaultSize="0" autoFill="0" autoLine="0" autoPict="0">
                <anchor moveWithCells="1">
                  <from>
                    <xdr:col>11</xdr:col>
                    <xdr:colOff>769620</xdr:colOff>
                    <xdr:row>57</xdr:row>
                    <xdr:rowOff>7620</xdr:rowOff>
                  </from>
                  <to>
                    <xdr:col>12</xdr:col>
                    <xdr:colOff>160020</xdr:colOff>
                    <xdr:row>58</xdr:row>
                    <xdr:rowOff>0</xdr:rowOff>
                  </to>
                </anchor>
              </controlPr>
            </control>
          </mc:Choice>
        </mc:AlternateContent>
        <mc:AlternateContent xmlns:mc="http://schemas.openxmlformats.org/markup-compatibility/2006">
          <mc:Choice Requires="x14">
            <control shapeId="1219609" r:id="rId27" name="Option Button 25">
              <controlPr defaultSize="0" autoFill="0" autoLine="0" autoPict="0">
                <anchor moveWithCells="1">
                  <from>
                    <xdr:col>11</xdr:col>
                    <xdr:colOff>769620</xdr:colOff>
                    <xdr:row>58</xdr:row>
                    <xdr:rowOff>7620</xdr:rowOff>
                  </from>
                  <to>
                    <xdr:col>12</xdr:col>
                    <xdr:colOff>160020</xdr:colOff>
                    <xdr:row>59</xdr:row>
                    <xdr:rowOff>0</xdr:rowOff>
                  </to>
                </anchor>
              </controlPr>
            </control>
          </mc:Choice>
        </mc:AlternateContent>
        <mc:AlternateContent xmlns:mc="http://schemas.openxmlformats.org/markup-compatibility/2006">
          <mc:Choice Requires="x14">
            <control shapeId="1219610" r:id="rId28" name="Option Button 26">
              <controlPr defaultSize="0" autoFill="0" autoLine="0" autoPict="0">
                <anchor moveWithCells="1">
                  <from>
                    <xdr:col>13</xdr:col>
                    <xdr:colOff>7620</xdr:colOff>
                    <xdr:row>58</xdr:row>
                    <xdr:rowOff>83820</xdr:rowOff>
                  </from>
                  <to>
                    <xdr:col>13</xdr:col>
                    <xdr:colOff>213360</xdr:colOff>
                    <xdr:row>61</xdr:row>
                    <xdr:rowOff>76200</xdr:rowOff>
                  </to>
                </anchor>
              </controlPr>
            </control>
          </mc:Choice>
        </mc:AlternateContent>
        <mc:AlternateContent xmlns:mc="http://schemas.openxmlformats.org/markup-compatibility/2006">
          <mc:Choice Requires="x14">
            <control shapeId="1219611" r:id="rId29" name="Option Button 27">
              <controlPr defaultSize="0" autoFill="0" autoLine="0" autoPict="0">
                <anchor moveWithCells="1">
                  <from>
                    <xdr:col>11</xdr:col>
                    <xdr:colOff>769620</xdr:colOff>
                    <xdr:row>59</xdr:row>
                    <xdr:rowOff>7620</xdr:rowOff>
                  </from>
                  <to>
                    <xdr:col>12</xdr:col>
                    <xdr:colOff>160020</xdr:colOff>
                    <xdr:row>62</xdr:row>
                    <xdr:rowOff>0</xdr:rowOff>
                  </to>
                </anchor>
              </controlPr>
            </control>
          </mc:Choice>
        </mc:AlternateContent>
        <mc:AlternateContent xmlns:mc="http://schemas.openxmlformats.org/markup-compatibility/2006">
          <mc:Choice Requires="x14">
            <control shapeId="1219612" r:id="rId30" name="Option Button 28">
              <controlPr defaultSize="0" autoFill="0" autoLine="0" autoPict="0">
                <anchor moveWithCells="1">
                  <from>
                    <xdr:col>11</xdr:col>
                    <xdr:colOff>769620</xdr:colOff>
                    <xdr:row>63</xdr:row>
                    <xdr:rowOff>7620</xdr:rowOff>
                  </from>
                  <to>
                    <xdr:col>12</xdr:col>
                    <xdr:colOff>160020</xdr:colOff>
                    <xdr:row>64</xdr:row>
                    <xdr:rowOff>0</xdr:rowOff>
                  </to>
                </anchor>
              </controlPr>
            </control>
          </mc:Choice>
        </mc:AlternateContent>
        <mc:AlternateContent xmlns:mc="http://schemas.openxmlformats.org/markup-compatibility/2006">
          <mc:Choice Requires="x14">
            <control shapeId="1219613" r:id="rId31" name="Option Button 29">
              <controlPr defaultSize="0" autoFill="0" autoLine="0" autoPict="0">
                <anchor moveWithCells="1">
                  <from>
                    <xdr:col>11</xdr:col>
                    <xdr:colOff>769620</xdr:colOff>
                    <xdr:row>65</xdr:row>
                    <xdr:rowOff>7620</xdr:rowOff>
                  </from>
                  <to>
                    <xdr:col>12</xdr:col>
                    <xdr:colOff>160020</xdr:colOff>
                    <xdr:row>66</xdr:row>
                    <xdr:rowOff>0</xdr:rowOff>
                  </to>
                </anchor>
              </controlPr>
            </control>
          </mc:Choice>
        </mc:AlternateContent>
        <mc:AlternateContent xmlns:mc="http://schemas.openxmlformats.org/markup-compatibility/2006">
          <mc:Choice Requires="x14">
            <control shapeId="1219614" r:id="rId32" name="Option Button 30">
              <controlPr defaultSize="0" autoFill="0" autoLine="0" autoPict="0">
                <anchor moveWithCells="1">
                  <from>
                    <xdr:col>11</xdr:col>
                    <xdr:colOff>769620</xdr:colOff>
                    <xdr:row>67</xdr:row>
                    <xdr:rowOff>7620</xdr:rowOff>
                  </from>
                  <to>
                    <xdr:col>12</xdr:col>
                    <xdr:colOff>160020</xdr:colOff>
                    <xdr:row>68</xdr:row>
                    <xdr:rowOff>0</xdr:rowOff>
                  </to>
                </anchor>
              </controlPr>
            </control>
          </mc:Choice>
        </mc:AlternateContent>
        <mc:AlternateContent xmlns:mc="http://schemas.openxmlformats.org/markup-compatibility/2006">
          <mc:Choice Requires="x14">
            <control shapeId="1219615" r:id="rId33" name="Option Button 31">
              <controlPr defaultSize="0" autoFill="0" autoLine="0" autoPict="0">
                <anchor moveWithCells="1">
                  <from>
                    <xdr:col>11</xdr:col>
                    <xdr:colOff>769620</xdr:colOff>
                    <xdr:row>69</xdr:row>
                    <xdr:rowOff>7620</xdr:rowOff>
                  </from>
                  <to>
                    <xdr:col>12</xdr:col>
                    <xdr:colOff>160020</xdr:colOff>
                    <xdr:row>70</xdr:row>
                    <xdr:rowOff>0</xdr:rowOff>
                  </to>
                </anchor>
              </controlPr>
            </control>
          </mc:Choice>
        </mc:AlternateContent>
        <mc:AlternateContent xmlns:mc="http://schemas.openxmlformats.org/markup-compatibility/2006">
          <mc:Choice Requires="x14">
            <control shapeId="1219616" r:id="rId34" name="Option Button 32">
              <controlPr defaultSize="0" autoFill="0" autoLine="0" autoPict="0">
                <anchor moveWithCells="1">
                  <from>
                    <xdr:col>11</xdr:col>
                    <xdr:colOff>769620</xdr:colOff>
                    <xdr:row>71</xdr:row>
                    <xdr:rowOff>7620</xdr:rowOff>
                  </from>
                  <to>
                    <xdr:col>12</xdr:col>
                    <xdr:colOff>160020</xdr:colOff>
                    <xdr:row>72</xdr:row>
                    <xdr:rowOff>0</xdr:rowOff>
                  </to>
                </anchor>
              </controlPr>
            </control>
          </mc:Choice>
        </mc:AlternateContent>
        <mc:AlternateContent xmlns:mc="http://schemas.openxmlformats.org/markup-compatibility/2006">
          <mc:Choice Requires="x14">
            <control shapeId="1219617" r:id="rId35" name="Check Box 33">
              <controlPr defaultSize="0" autoFill="0" autoLine="0" autoPict="0">
                <anchor moveWithCells="1">
                  <from>
                    <xdr:col>0</xdr:col>
                    <xdr:colOff>312420</xdr:colOff>
                    <xdr:row>84</xdr:row>
                    <xdr:rowOff>0</xdr:rowOff>
                  </from>
                  <to>
                    <xdr:col>2</xdr:col>
                    <xdr:colOff>312420</xdr:colOff>
                    <xdr:row>84</xdr:row>
                    <xdr:rowOff>160020</xdr:rowOff>
                  </to>
                </anchor>
              </controlPr>
            </control>
          </mc:Choice>
        </mc:AlternateContent>
        <mc:AlternateContent xmlns:mc="http://schemas.openxmlformats.org/markup-compatibility/2006">
          <mc:Choice Requires="x14">
            <control shapeId="1219618" r:id="rId36" name="Option Button 34">
              <controlPr defaultSize="0" autoFill="0" autoLine="0" autoPict="0">
                <anchor moveWithCells="1">
                  <from>
                    <xdr:col>11</xdr:col>
                    <xdr:colOff>769620</xdr:colOff>
                    <xdr:row>74</xdr:row>
                    <xdr:rowOff>7620</xdr:rowOff>
                  </from>
                  <to>
                    <xdr:col>12</xdr:col>
                    <xdr:colOff>160020</xdr:colOff>
                    <xdr:row>75</xdr:row>
                    <xdr:rowOff>0</xdr:rowOff>
                  </to>
                </anchor>
              </controlPr>
            </control>
          </mc:Choice>
        </mc:AlternateContent>
        <mc:AlternateContent xmlns:mc="http://schemas.openxmlformats.org/markup-compatibility/2006">
          <mc:Choice Requires="x14">
            <control shapeId="1219619" r:id="rId37" name="Option Button 35">
              <controlPr defaultSize="0" autoFill="0" autoLine="0" autoPict="0">
                <anchor moveWithCells="1">
                  <from>
                    <xdr:col>11</xdr:col>
                    <xdr:colOff>769620</xdr:colOff>
                    <xdr:row>75</xdr:row>
                    <xdr:rowOff>7620</xdr:rowOff>
                  </from>
                  <to>
                    <xdr:col>12</xdr:col>
                    <xdr:colOff>160020</xdr:colOff>
                    <xdr:row>76</xdr:row>
                    <xdr:rowOff>0</xdr:rowOff>
                  </to>
                </anchor>
              </controlPr>
            </control>
          </mc:Choice>
        </mc:AlternateContent>
        <mc:AlternateContent xmlns:mc="http://schemas.openxmlformats.org/markup-compatibility/2006">
          <mc:Choice Requires="x14">
            <control shapeId="1219620" r:id="rId38" name="Option Button 36">
              <controlPr defaultSize="0" autoFill="0" autoLine="0" autoPict="0">
                <anchor moveWithCells="1">
                  <from>
                    <xdr:col>13</xdr:col>
                    <xdr:colOff>30480</xdr:colOff>
                    <xdr:row>75</xdr:row>
                    <xdr:rowOff>106680</xdr:rowOff>
                  </from>
                  <to>
                    <xdr:col>13</xdr:col>
                    <xdr:colOff>228600</xdr:colOff>
                    <xdr:row>78</xdr:row>
                    <xdr:rowOff>99060</xdr:rowOff>
                  </to>
                </anchor>
              </controlPr>
            </control>
          </mc:Choice>
        </mc:AlternateContent>
        <mc:AlternateContent xmlns:mc="http://schemas.openxmlformats.org/markup-compatibility/2006">
          <mc:Choice Requires="x14">
            <control shapeId="1219621" r:id="rId39" name="Option Button 37">
              <controlPr defaultSize="0" autoFill="0" autoLine="0" autoPict="0">
                <anchor moveWithCells="1">
                  <from>
                    <xdr:col>11</xdr:col>
                    <xdr:colOff>769620</xdr:colOff>
                    <xdr:row>76</xdr:row>
                    <xdr:rowOff>7620</xdr:rowOff>
                  </from>
                  <to>
                    <xdr:col>12</xdr:col>
                    <xdr:colOff>160020</xdr:colOff>
                    <xdr:row>79</xdr:row>
                    <xdr:rowOff>0</xdr:rowOff>
                  </to>
                </anchor>
              </controlPr>
            </control>
          </mc:Choice>
        </mc:AlternateContent>
        <mc:AlternateContent xmlns:mc="http://schemas.openxmlformats.org/markup-compatibility/2006">
          <mc:Choice Requires="x14">
            <control shapeId="1219622" r:id="rId40" name="Option Button 38">
              <controlPr defaultSize="0" autoFill="0" autoLine="0" autoPict="0">
                <anchor moveWithCells="1">
                  <from>
                    <xdr:col>11</xdr:col>
                    <xdr:colOff>769620</xdr:colOff>
                    <xdr:row>80</xdr:row>
                    <xdr:rowOff>7620</xdr:rowOff>
                  </from>
                  <to>
                    <xdr:col>12</xdr:col>
                    <xdr:colOff>160020</xdr:colOff>
                    <xdr:row>81</xdr:row>
                    <xdr:rowOff>0</xdr:rowOff>
                  </to>
                </anchor>
              </controlPr>
            </control>
          </mc:Choice>
        </mc:AlternateContent>
        <mc:AlternateContent xmlns:mc="http://schemas.openxmlformats.org/markup-compatibility/2006">
          <mc:Choice Requires="x14">
            <control shapeId="1219623" r:id="rId41" name="Option Button 39">
              <controlPr defaultSize="0" autoFill="0" autoLine="0" autoPict="0">
                <anchor moveWithCells="1">
                  <from>
                    <xdr:col>11</xdr:col>
                    <xdr:colOff>769620</xdr:colOff>
                    <xdr:row>82</xdr:row>
                    <xdr:rowOff>7620</xdr:rowOff>
                  </from>
                  <to>
                    <xdr:col>12</xdr:col>
                    <xdr:colOff>160020</xdr:colOff>
                    <xdr:row>83</xdr:row>
                    <xdr:rowOff>0</xdr:rowOff>
                  </to>
                </anchor>
              </controlPr>
            </control>
          </mc:Choice>
        </mc:AlternateContent>
        <mc:AlternateContent xmlns:mc="http://schemas.openxmlformats.org/markup-compatibility/2006">
          <mc:Choice Requires="x14">
            <control shapeId="1219624" r:id="rId42" name="Option Button 40">
              <controlPr defaultSize="0" autoFill="0" autoLine="0" autoPict="0">
                <anchor moveWithCells="1">
                  <from>
                    <xdr:col>11</xdr:col>
                    <xdr:colOff>769620</xdr:colOff>
                    <xdr:row>84</xdr:row>
                    <xdr:rowOff>7620</xdr:rowOff>
                  </from>
                  <to>
                    <xdr:col>12</xdr:col>
                    <xdr:colOff>160020</xdr:colOff>
                    <xdr:row>85</xdr:row>
                    <xdr:rowOff>0</xdr:rowOff>
                  </to>
                </anchor>
              </controlPr>
            </control>
          </mc:Choice>
        </mc:AlternateContent>
        <mc:AlternateContent xmlns:mc="http://schemas.openxmlformats.org/markup-compatibility/2006">
          <mc:Choice Requires="x14">
            <control shapeId="1219625" r:id="rId43" name="Option Button 41">
              <controlPr defaultSize="0" autoFill="0" autoLine="0" autoPict="0">
                <anchor moveWithCells="1">
                  <from>
                    <xdr:col>11</xdr:col>
                    <xdr:colOff>769620</xdr:colOff>
                    <xdr:row>86</xdr:row>
                    <xdr:rowOff>7620</xdr:rowOff>
                  </from>
                  <to>
                    <xdr:col>12</xdr:col>
                    <xdr:colOff>160020</xdr:colOff>
                    <xdr:row>87</xdr:row>
                    <xdr:rowOff>0</xdr:rowOff>
                  </to>
                </anchor>
              </controlPr>
            </control>
          </mc:Choice>
        </mc:AlternateContent>
        <mc:AlternateContent xmlns:mc="http://schemas.openxmlformats.org/markup-compatibility/2006">
          <mc:Choice Requires="x14">
            <control shapeId="1219626" r:id="rId44" name="Option Button 42">
              <controlPr defaultSize="0" autoFill="0" autoLine="0" autoPict="0">
                <anchor moveWithCells="1">
                  <from>
                    <xdr:col>11</xdr:col>
                    <xdr:colOff>769620</xdr:colOff>
                    <xdr:row>88</xdr:row>
                    <xdr:rowOff>7620</xdr:rowOff>
                  </from>
                  <to>
                    <xdr:col>12</xdr:col>
                    <xdr:colOff>160020</xdr:colOff>
                    <xdr:row>89</xdr:row>
                    <xdr:rowOff>0</xdr:rowOff>
                  </to>
                </anchor>
              </controlPr>
            </control>
          </mc:Choice>
        </mc:AlternateContent>
        <mc:AlternateContent xmlns:mc="http://schemas.openxmlformats.org/markup-compatibility/2006">
          <mc:Choice Requires="x14">
            <control shapeId="1219627" r:id="rId45" name="Group Box 43">
              <controlPr defaultSize="0" autoFill="0" autoPict="0">
                <anchor moveWithCells="1">
                  <from>
                    <xdr:col>11</xdr:col>
                    <xdr:colOff>647700</xdr:colOff>
                    <xdr:row>22</xdr:row>
                    <xdr:rowOff>213360</xdr:rowOff>
                  </from>
                  <to>
                    <xdr:col>13</xdr:col>
                    <xdr:colOff>304800</xdr:colOff>
                    <xdr:row>38</xdr:row>
                    <xdr:rowOff>182880</xdr:rowOff>
                  </to>
                </anchor>
              </controlPr>
            </control>
          </mc:Choice>
        </mc:AlternateContent>
        <mc:AlternateContent xmlns:mc="http://schemas.openxmlformats.org/markup-compatibility/2006">
          <mc:Choice Requires="x14">
            <control shapeId="1219629" r:id="rId46" name="Group Box 45">
              <controlPr defaultSize="0" autoFill="0" autoPict="0">
                <anchor moveWithCells="1">
                  <from>
                    <xdr:col>11</xdr:col>
                    <xdr:colOff>670560</xdr:colOff>
                    <xdr:row>55</xdr:row>
                    <xdr:rowOff>220980</xdr:rowOff>
                  </from>
                  <to>
                    <xdr:col>16</xdr:col>
                    <xdr:colOff>99060</xdr:colOff>
                    <xdr:row>72</xdr:row>
                    <xdr:rowOff>137160</xdr:rowOff>
                  </to>
                </anchor>
              </controlPr>
            </control>
          </mc:Choice>
        </mc:AlternateContent>
        <mc:AlternateContent xmlns:mc="http://schemas.openxmlformats.org/markup-compatibility/2006">
          <mc:Choice Requires="x14">
            <control shapeId="1219630" r:id="rId47" name="Group Box 46">
              <controlPr defaultSize="0" autoFill="0" autoPict="0">
                <anchor moveWithCells="1">
                  <from>
                    <xdr:col>11</xdr:col>
                    <xdr:colOff>670560</xdr:colOff>
                    <xdr:row>72</xdr:row>
                    <xdr:rowOff>220980</xdr:rowOff>
                  </from>
                  <to>
                    <xdr:col>16</xdr:col>
                    <xdr:colOff>144780</xdr:colOff>
                    <xdr:row>90</xdr:row>
                    <xdr:rowOff>7620</xdr:rowOff>
                  </to>
                </anchor>
              </controlPr>
            </control>
          </mc:Choice>
        </mc:AlternateContent>
        <mc:AlternateContent xmlns:mc="http://schemas.openxmlformats.org/markup-compatibility/2006">
          <mc:Choice Requires="x14">
            <control shapeId="1219635" r:id="rId48" name="Check Box 51">
              <controlPr defaultSize="0" autoFill="0" autoLine="0" autoPict="0">
                <anchor moveWithCells="1">
                  <from>
                    <xdr:col>11</xdr:col>
                    <xdr:colOff>769620</xdr:colOff>
                    <xdr:row>16</xdr:row>
                    <xdr:rowOff>76200</xdr:rowOff>
                  </from>
                  <to>
                    <xdr:col>13</xdr:col>
                    <xdr:colOff>15240</xdr:colOff>
                    <xdr:row>18</xdr:row>
                    <xdr:rowOff>30480</xdr:rowOff>
                  </to>
                </anchor>
              </controlPr>
            </control>
          </mc:Choice>
        </mc:AlternateContent>
        <mc:AlternateContent xmlns:mc="http://schemas.openxmlformats.org/markup-compatibility/2006">
          <mc:Choice Requires="x14">
            <control shapeId="1219638" r:id="rId49" name="Check Box 54">
              <controlPr defaultSize="0" autoFill="0" autoLine="0" autoPict="0">
                <anchor moveWithCells="1">
                  <from>
                    <xdr:col>0</xdr:col>
                    <xdr:colOff>312420</xdr:colOff>
                    <xdr:row>34</xdr:row>
                    <xdr:rowOff>30480</xdr:rowOff>
                  </from>
                  <to>
                    <xdr:col>3</xdr:col>
                    <xdr:colOff>60960</xdr:colOff>
                    <xdr:row>36</xdr:row>
                    <xdr:rowOff>15240</xdr:rowOff>
                  </to>
                </anchor>
              </controlPr>
            </control>
          </mc:Choice>
        </mc:AlternateContent>
        <mc:AlternateContent xmlns:mc="http://schemas.openxmlformats.org/markup-compatibility/2006">
          <mc:Choice Requires="x14">
            <control shapeId="1219639" r:id="rId50" name="Group Box 55">
              <controlPr defaultSize="0" autoFill="0" autoPict="0">
                <anchor moveWithCells="1">
                  <from>
                    <xdr:col>11</xdr:col>
                    <xdr:colOff>647700</xdr:colOff>
                    <xdr:row>38</xdr:row>
                    <xdr:rowOff>266700</xdr:rowOff>
                  </from>
                  <to>
                    <xdr:col>15</xdr:col>
                    <xdr:colOff>7620</xdr:colOff>
                    <xdr:row>55</xdr:row>
                    <xdr:rowOff>99060</xdr:rowOff>
                  </to>
                </anchor>
              </controlPr>
            </control>
          </mc:Choice>
        </mc:AlternateContent>
        <mc:AlternateContent xmlns:mc="http://schemas.openxmlformats.org/markup-compatibility/2006">
          <mc:Choice Requires="x14">
            <control shapeId="1219640" r:id="rId51" name="Button 56">
              <controlPr defaultSize="0" print="0" autoFill="0" autoPict="0" macro="[0]!IW_Copy">
                <anchor moveWithCells="1" sizeWithCells="1">
                  <from>
                    <xdr:col>0</xdr:col>
                    <xdr:colOff>487680</xdr:colOff>
                    <xdr:row>0</xdr:row>
                    <xdr:rowOff>7620</xdr:rowOff>
                  </from>
                  <to>
                    <xdr:col>1</xdr:col>
                    <xdr:colOff>91440</xdr:colOff>
                    <xdr:row>1</xdr:row>
                    <xdr:rowOff>106680</xdr:rowOff>
                  </to>
                </anchor>
              </controlPr>
            </control>
          </mc:Choice>
        </mc:AlternateContent>
        <mc:AlternateContent xmlns:mc="http://schemas.openxmlformats.org/markup-compatibility/2006">
          <mc:Choice Requires="x14">
            <control shapeId="1219641" r:id="rId52" name="Button 57">
              <controlPr defaultSize="0" print="0" autoFill="0" autoPict="0" macro="[0]!IW_Home">
                <anchor moveWithCells="1" sizeWithCells="1">
                  <from>
                    <xdr:col>0</xdr:col>
                    <xdr:colOff>0</xdr:colOff>
                    <xdr:row>0</xdr:row>
                    <xdr:rowOff>7620</xdr:rowOff>
                  </from>
                  <to>
                    <xdr:col>0</xdr:col>
                    <xdr:colOff>434340</xdr:colOff>
                    <xdr:row>1</xdr:row>
                    <xdr:rowOff>106680</xdr:rowOff>
                  </to>
                </anchor>
              </controlPr>
            </control>
          </mc:Choice>
        </mc:AlternateContent>
        <mc:AlternateContent xmlns:mc="http://schemas.openxmlformats.org/markup-compatibility/2006">
          <mc:Choice Requires="x14">
            <control shapeId="1219642" r:id="rId53" name="Button 58">
              <controlPr defaultSize="0" print="0" autoFill="0" autoPict="0" macro="[0]!Income_ExpAvg_Clear">
                <anchor moveWithCells="1" sizeWithCells="1">
                  <from>
                    <xdr:col>1</xdr:col>
                    <xdr:colOff>152400</xdr:colOff>
                    <xdr:row>0</xdr:row>
                    <xdr:rowOff>0</xdr:rowOff>
                  </from>
                  <to>
                    <xdr:col>2</xdr:col>
                    <xdr:colOff>281940</xdr:colOff>
                    <xdr:row>1</xdr:row>
                    <xdr:rowOff>99060</xdr:rowOff>
                  </to>
                </anchor>
              </controlPr>
            </control>
          </mc:Choice>
        </mc:AlternateContent>
        <mc:AlternateContent xmlns:mc="http://schemas.openxmlformats.org/markup-compatibility/2006">
          <mc:Choice Requires="x14">
            <control shapeId="1219643" r:id="rId54" name="Button 59">
              <controlPr defaultSize="0" print="0" autoFill="0" autoPict="0" macro="[0]!Income_ExpAvg_OmitHide">
                <anchor moveWithCells="1" sizeWithCells="1">
                  <from>
                    <xdr:col>0</xdr:col>
                    <xdr:colOff>7620</xdr:colOff>
                    <xdr:row>1</xdr:row>
                    <xdr:rowOff>167640</xdr:rowOff>
                  </from>
                  <to>
                    <xdr:col>0</xdr:col>
                    <xdr:colOff>830580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DDAB"/>
  </sheetPr>
  <dimension ref="A2:M75"/>
  <sheetViews>
    <sheetView showGridLines="0" showRowColHeaders="0" showRuler="0" view="pageLayout" zoomScale="90" zoomScaleNormal="100" zoomScalePageLayoutView="90" workbookViewId="0">
      <selection activeCell="C7" sqref="C7:F7"/>
    </sheetView>
  </sheetViews>
  <sheetFormatPr defaultColWidth="9.109375" defaultRowHeight="14.4" x14ac:dyDescent="0.3"/>
  <cols>
    <col min="1" max="1" width="4.88671875" style="15" customWidth="1"/>
    <col min="3" max="3" width="6.88671875" customWidth="1"/>
    <col min="4" max="4" width="17.109375" customWidth="1"/>
    <col min="5" max="5" width="1.33203125" customWidth="1"/>
    <col min="6" max="6" width="15.6640625" customWidth="1"/>
    <col min="7" max="7" width="1.33203125" customWidth="1"/>
    <col min="8" max="8" width="15.6640625" customWidth="1"/>
    <col min="9" max="9" width="1.33203125" customWidth="1"/>
    <col min="10" max="10" width="17" customWidth="1"/>
    <col min="11" max="11" width="1.33203125" customWidth="1"/>
    <col min="12" max="12" width="15.33203125" customWidth="1"/>
    <col min="13" max="13" width="0.88671875" customWidth="1"/>
  </cols>
  <sheetData>
    <row r="2" spans="1:13" ht="36" customHeight="1" x14ac:dyDescent="0.5">
      <c r="A2" s="1321" t="s">
        <v>77</v>
      </c>
      <c r="B2" s="1321"/>
      <c r="C2" s="1321"/>
      <c r="D2" s="1321"/>
      <c r="E2" s="1321"/>
      <c r="F2" s="1321"/>
      <c r="G2" s="1321"/>
      <c r="H2" s="1321"/>
      <c r="I2" s="1321"/>
      <c r="J2" s="1321"/>
      <c r="K2" s="1321"/>
      <c r="L2" s="1321"/>
      <c r="M2" s="1321"/>
    </row>
    <row r="3" spans="1:13" ht="23.4" x14ac:dyDescent="0.45">
      <c r="A3" s="1409" t="s">
        <v>105</v>
      </c>
      <c r="B3" s="1409"/>
      <c r="C3" s="1409"/>
      <c r="D3" s="1409"/>
      <c r="E3" s="1409"/>
      <c r="F3" s="1409"/>
      <c r="G3" s="1409"/>
      <c r="H3" s="1409"/>
      <c r="I3" s="1409"/>
      <c r="J3" s="1409"/>
      <c r="K3" s="1409"/>
      <c r="L3" s="1409"/>
      <c r="M3" s="1409"/>
    </row>
    <row r="4" spans="1:13" ht="8.25" customHeight="1" x14ac:dyDescent="0.3">
      <c r="G4" s="38"/>
      <c r="I4" s="20"/>
      <c r="J4" s="20"/>
      <c r="K4" s="20"/>
      <c r="L4" s="20"/>
      <c r="M4" s="774"/>
    </row>
    <row r="5" spans="1:13" ht="7.5" customHeight="1" x14ac:dyDescent="0.3">
      <c r="A5"/>
      <c r="G5" s="36" t="s">
        <v>78</v>
      </c>
      <c r="H5" s="1480"/>
      <c r="I5" s="1480"/>
      <c r="J5" s="1480"/>
      <c r="K5" s="1480"/>
      <c r="L5" s="1480"/>
      <c r="M5" s="775" t="s">
        <v>78</v>
      </c>
    </row>
    <row r="6" spans="1:13" ht="15.6" x14ac:dyDescent="0.3">
      <c r="A6"/>
      <c r="C6" s="2"/>
      <c r="D6" s="2"/>
      <c r="E6" s="2"/>
      <c r="F6" s="2"/>
      <c r="G6" s="36" t="s">
        <v>92</v>
      </c>
      <c r="H6" s="1480"/>
      <c r="I6" s="1480"/>
      <c r="J6" s="1480"/>
      <c r="K6" s="1480"/>
      <c r="L6" s="1480"/>
      <c r="M6" s="775" t="s">
        <v>92</v>
      </c>
    </row>
    <row r="7" spans="1:13" ht="15.6" x14ac:dyDescent="0.3">
      <c r="A7" s="1407" t="s">
        <v>37</v>
      </c>
      <c r="B7" s="1407"/>
      <c r="C7" s="1359"/>
      <c r="D7" s="1359"/>
      <c r="E7" s="1359"/>
      <c r="F7" s="1359"/>
      <c r="G7" s="36" t="s">
        <v>90</v>
      </c>
      <c r="H7" s="1480"/>
      <c r="I7" s="1480"/>
      <c r="J7" s="1480"/>
      <c r="K7" s="1480"/>
      <c r="L7" s="1480"/>
      <c r="M7" s="775" t="s">
        <v>90</v>
      </c>
    </row>
    <row r="8" spans="1:13" ht="6" customHeight="1" x14ac:dyDescent="0.3">
      <c r="A8"/>
      <c r="C8" s="66"/>
      <c r="D8" s="66"/>
      <c r="E8" s="66"/>
      <c r="F8" s="66"/>
      <c r="G8" s="36" t="s">
        <v>91</v>
      </c>
      <c r="H8" s="1480"/>
      <c r="I8" s="1480"/>
      <c r="J8" s="1480"/>
      <c r="K8" s="1480"/>
      <c r="L8" s="1480"/>
      <c r="M8" s="775" t="s">
        <v>91</v>
      </c>
    </row>
    <row r="9" spans="1:13" ht="15.6" x14ac:dyDescent="0.3">
      <c r="A9" s="1407" t="s">
        <v>89</v>
      </c>
      <c r="B9" s="1407"/>
      <c r="C9" s="1359"/>
      <c r="D9" s="1359"/>
      <c r="E9" s="1359"/>
      <c r="F9" s="1359"/>
      <c r="G9" s="36" t="s">
        <v>80</v>
      </c>
      <c r="H9" s="1480"/>
      <c r="I9" s="1480"/>
      <c r="J9" s="1480"/>
      <c r="K9" s="1480"/>
      <c r="L9" s="1480"/>
      <c r="M9" s="775" t="s">
        <v>80</v>
      </c>
    </row>
    <row r="10" spans="1:13" ht="25.2" customHeight="1" x14ac:dyDescent="0.3">
      <c r="A10" s="4"/>
      <c r="B10" s="4"/>
      <c r="C10" s="10"/>
      <c r="D10" s="10"/>
      <c r="E10" s="10"/>
      <c r="F10" s="10"/>
      <c r="G10" s="36" t="s">
        <v>79</v>
      </c>
      <c r="H10" s="1480"/>
      <c r="I10" s="1480"/>
      <c r="J10" s="1480"/>
      <c r="K10" s="1480"/>
      <c r="L10" s="1480"/>
      <c r="M10" s="775" t="s">
        <v>79</v>
      </c>
    </row>
    <row r="11" spans="1:13" ht="6.6" customHeight="1" x14ac:dyDescent="0.3">
      <c r="A11" s="4"/>
      <c r="B11" s="4"/>
      <c r="C11" s="10"/>
      <c r="D11" s="10"/>
      <c r="E11" s="10"/>
      <c r="F11" s="10"/>
      <c r="G11" s="36"/>
      <c r="H11" s="421"/>
      <c r="I11" s="421"/>
      <c r="J11" s="421"/>
      <c r="K11" s="421"/>
      <c r="L11" s="421"/>
      <c r="M11" s="775" t="s">
        <v>218</v>
      </c>
    </row>
    <row r="12" spans="1:13" ht="27" customHeight="1" x14ac:dyDescent="0.3">
      <c r="A12" s="34"/>
      <c r="B12" s="34"/>
      <c r="C12" s="10"/>
      <c r="D12" s="40" t="s">
        <v>86</v>
      </c>
      <c r="E12" s="40"/>
      <c r="F12" s="40" t="s">
        <v>87</v>
      </c>
      <c r="H12" s="199" t="s">
        <v>225</v>
      </c>
      <c r="I12" s="2"/>
      <c r="J12" s="8" t="s">
        <v>88</v>
      </c>
      <c r="M12" s="775" t="s">
        <v>219</v>
      </c>
    </row>
    <row r="13" spans="1:13" ht="15.6" x14ac:dyDescent="0.3">
      <c r="A13" s="34"/>
      <c r="B13" s="34" t="s">
        <v>81</v>
      </c>
      <c r="C13" s="10"/>
      <c r="D13" s="48"/>
      <c r="E13" s="6"/>
      <c r="F13" s="10"/>
      <c r="H13" s="49"/>
      <c r="I13" s="2"/>
      <c r="J13" s="83">
        <f>IF(A64=1,0,IF(A64=2,((D13*H13)*52)/12,IF(A64=3,(D13*52)/12,IF(A64=4,(D13*26)/12,IF(A64=5,D13*2,IF(A64=6,D13,IF(A64=7,D13/12,
IF(A64=8,(ROUNDDOWN(D13,2)*ROUNDDOWN(H13,2)*43.3333)/12,
IF(A64=9,(ROUNDDOWN(D13,2)*43.3333)/12,
IF(A64=10,(ROUNDDOWN(D13,2)*21.66)/12,
IF(A64=11,(ROUNDDOWN(D13,2)*20)/12,
IF(A64=12,(ROUNDDOWN(D13,2)*10)/12,
IF(A64=13,(ROUNDDOWN(D13,2)*ROUNDDOWN(H13,2)*39)/12,
IF(A64=14,(ROUNDDOWN(D13,2)*39)/12,
IF(A64=15,(ROUNDDOWN(D13,2)*19.5)/12,
IF(A64=16,(ROUNDDOWN(D13,2)*18)/12,
IF(A64=17,(ROUNDDOWN(D13,2)*9)/12,
0)))))))))))))))))</f>
        <v>0</v>
      </c>
      <c r="K13" s="195" t="s">
        <v>224</v>
      </c>
      <c r="M13" s="775" t="s">
        <v>220</v>
      </c>
    </row>
    <row r="14" spans="1:13" ht="6" customHeight="1" x14ac:dyDescent="0.3">
      <c r="A14" s="34"/>
      <c r="B14" s="34"/>
      <c r="C14" s="10"/>
      <c r="D14" s="10"/>
      <c r="E14" s="10"/>
      <c r="F14" s="10"/>
      <c r="H14" s="10"/>
      <c r="I14" s="2"/>
      <c r="J14" s="42"/>
      <c r="K14" s="2"/>
      <c r="M14" s="775" t="s">
        <v>221</v>
      </c>
    </row>
    <row r="15" spans="1:13" ht="15.6" x14ac:dyDescent="0.3">
      <c r="A15" s="34"/>
      <c r="B15" s="34" t="s">
        <v>82</v>
      </c>
      <c r="C15" s="10"/>
      <c r="D15" s="48"/>
      <c r="E15" s="10"/>
      <c r="F15" s="10"/>
      <c r="H15" s="49"/>
      <c r="I15" s="2"/>
      <c r="J15" s="44">
        <f>IF(A65=1,0,IF(A65=2,((D15*H15)*52)/12,IF(A65=3,(D15*52)/12,IF(A65=4,(D15*26)/12,IF(A65=5,D15*2,IF(A65=6,D15,IF(A65=7,D15/12,0)))))))</f>
        <v>0</v>
      </c>
      <c r="K15" s="2"/>
      <c r="M15" s="775" t="s">
        <v>222</v>
      </c>
    </row>
    <row r="16" spans="1:13" ht="6" customHeight="1" x14ac:dyDescent="0.3">
      <c r="A16" s="34"/>
      <c r="B16" s="34"/>
      <c r="C16" s="10"/>
      <c r="D16" s="10"/>
      <c r="E16" s="10"/>
      <c r="F16" s="10"/>
      <c r="H16" s="10"/>
      <c r="I16" s="2"/>
      <c r="J16" s="42"/>
      <c r="K16" s="2"/>
      <c r="M16" s="775" t="s">
        <v>1328</v>
      </c>
    </row>
    <row r="17" spans="1:13" ht="15.6" x14ac:dyDescent="0.3">
      <c r="A17" s="34"/>
      <c r="B17" s="34" t="s">
        <v>83</v>
      </c>
      <c r="C17" s="10"/>
      <c r="D17" s="48"/>
      <c r="E17" s="10"/>
      <c r="F17" s="10"/>
      <c r="H17" s="49"/>
      <c r="I17" s="2"/>
      <c r="J17" s="44">
        <f>IF(A66=1,0,IF(A66=2,((D17*H17)*52)/12,IF(A66=3,(D17*52)/12,IF(A66=4,(D17*26)/12,IF(A66=5,D17*2,IF(A66=6,D17,IF(A66=7,D17/12,0)))))))</f>
        <v>0</v>
      </c>
      <c r="K17" s="2"/>
      <c r="M17" s="775" t="s">
        <v>1329</v>
      </c>
    </row>
    <row r="18" spans="1:13" ht="6" customHeight="1" x14ac:dyDescent="0.3">
      <c r="A18" s="34"/>
      <c r="B18" s="34"/>
      <c r="C18" s="10"/>
      <c r="D18" s="10"/>
      <c r="E18" s="10"/>
      <c r="F18" s="10"/>
      <c r="H18" s="10"/>
      <c r="I18" s="2"/>
      <c r="J18" s="42"/>
      <c r="K18" s="2"/>
      <c r="M18" s="775" t="s">
        <v>1330</v>
      </c>
    </row>
    <row r="19" spans="1:13" ht="15.6" x14ac:dyDescent="0.3">
      <c r="A19" s="34"/>
      <c r="B19" s="34" t="s">
        <v>84</v>
      </c>
      <c r="C19" s="10"/>
      <c r="D19" s="48"/>
      <c r="E19" s="10"/>
      <c r="F19" s="10"/>
      <c r="H19" s="49"/>
      <c r="I19" s="2"/>
      <c r="J19" s="44">
        <f>IF(A67=1,0,IF(A67=2,((D19*H19)*52)/12,IF(A67=3,(D19*52)/12,IF(A67=4,(D19*26)/12,IF(A67=5,D19*2,IF(A67=6,D19,IF(A67=7,D19/12,0)))))))</f>
        <v>0</v>
      </c>
      <c r="K19" s="2"/>
      <c r="M19" s="775" t="s">
        <v>1331</v>
      </c>
    </row>
    <row r="20" spans="1:13" ht="6" customHeight="1" x14ac:dyDescent="0.3">
      <c r="A20" s="34"/>
      <c r="B20" s="34"/>
      <c r="C20" s="10"/>
      <c r="D20" s="10"/>
      <c r="E20" s="10"/>
      <c r="F20" s="10"/>
      <c r="H20" s="10"/>
      <c r="I20" s="2"/>
      <c r="J20" s="42"/>
      <c r="K20" s="2"/>
      <c r="M20" s="775" t="s">
        <v>1332</v>
      </c>
    </row>
    <row r="21" spans="1:13" ht="15.6" x14ac:dyDescent="0.3">
      <c r="A21" s="34"/>
      <c r="B21" s="34" t="s">
        <v>85</v>
      </c>
      <c r="C21" s="10"/>
      <c r="D21" s="48"/>
      <c r="E21" s="10"/>
      <c r="F21" s="10"/>
      <c r="H21" s="49"/>
      <c r="I21" s="2"/>
      <c r="J21" s="44">
        <f>IF(B64=1,0,IF(B64=2,((D21*H21)*52)/12,IF(B64=3,(D21*52)/12,IF(B64=4,(D21*26)/12,IF(B64=5,D21*2,IF(B64=6,D21,IF(B64=7,D21/12,0)))))))</f>
        <v>0</v>
      </c>
      <c r="K21" s="2"/>
      <c r="M21" s="776"/>
    </row>
    <row r="22" spans="1:13" ht="7.5" customHeight="1" thickBot="1" x14ac:dyDescent="0.35">
      <c r="A22" s="34"/>
      <c r="B22" s="34"/>
      <c r="C22" s="10"/>
      <c r="D22" s="10"/>
      <c r="E22" s="10"/>
      <c r="F22" s="10"/>
      <c r="H22" s="10"/>
      <c r="I22" s="37"/>
      <c r="J22" s="37"/>
      <c r="K22" s="37"/>
      <c r="L22" s="2"/>
      <c r="M22" s="777"/>
    </row>
    <row r="23" spans="1:13" ht="7.5" customHeight="1" thickTop="1" x14ac:dyDescent="0.35">
      <c r="A23" s="34"/>
      <c r="C23" s="34"/>
      <c r="D23" s="10"/>
      <c r="E23" s="10"/>
      <c r="F23" s="10"/>
      <c r="G23" s="10"/>
      <c r="H23" s="10"/>
      <c r="I23" s="2"/>
      <c r="J23" s="41"/>
      <c r="K23" s="2"/>
      <c r="L23" s="2"/>
      <c r="M23" s="777"/>
    </row>
    <row r="24" spans="1:13" ht="15.6" x14ac:dyDescent="0.3">
      <c r="A24" s="34"/>
      <c r="B24" s="1476" t="s">
        <v>93</v>
      </c>
      <c r="C24" s="1476"/>
      <c r="D24" s="1476"/>
      <c r="E24" s="10"/>
      <c r="F24" s="10"/>
      <c r="G24" s="10"/>
      <c r="H24" s="72">
        <f>IF(L66=TRUE,0,J24)</f>
        <v>0</v>
      </c>
      <c r="I24" s="2"/>
      <c r="J24" s="6">
        <f>J13+J15+J17+J19+J21</f>
        <v>0</v>
      </c>
      <c r="K24" s="2"/>
      <c r="L24" s="2"/>
      <c r="M24" s="777"/>
    </row>
    <row r="25" spans="1:13" ht="9" customHeight="1" x14ac:dyDescent="0.3">
      <c r="A25" s="34"/>
      <c r="B25" s="34"/>
      <c r="C25" s="10"/>
      <c r="D25" s="10"/>
      <c r="E25" s="10"/>
      <c r="F25" s="10"/>
      <c r="G25" s="10"/>
      <c r="H25" s="2"/>
      <c r="I25" s="2"/>
      <c r="J25" s="2"/>
      <c r="K25" s="2"/>
      <c r="L25" s="771" t="s">
        <v>464</v>
      </c>
    </row>
    <row r="26" spans="1:13" ht="33" customHeight="1" x14ac:dyDescent="0.3">
      <c r="A26" s="34"/>
      <c r="B26" s="1478" t="str">
        <f>IF(OR(A64=8,A64=9,A64=10,A64=11,A64=12),"*This borrower is paid their Base Income 'Amount'  for 10 months rather than 12 months (eg. Teacher).
Their base income 'Monthly Amount' above is calculated at the 12 month equivilant. See calculation below:",
IF(OR(A64=13,A64=14,A64=15,A64=16,A64=17),"*This borrower is paid their Base Income 'Amount'  for 9 months rather than 12 months (eg. Teacher).
Their base income 'Monthly Amount' above is calculated at the 12 month equivilant. See calculation below:",
""))</f>
        <v/>
      </c>
      <c r="C26" s="1478"/>
      <c r="D26" s="1478"/>
      <c r="E26" s="1478"/>
      <c r="F26" s="1478"/>
      <c r="G26" s="1478"/>
      <c r="H26" s="1478"/>
      <c r="I26" s="1478"/>
      <c r="J26" s="1478"/>
      <c r="K26" s="1478"/>
      <c r="L26" s="1478"/>
    </row>
    <row r="27" spans="1:13" ht="15" customHeight="1" x14ac:dyDescent="0.3">
      <c r="A27" s="34"/>
      <c r="B27" s="1479" t="str">
        <f>IF(A64=8,"Conversion Calculation:   (($"&amp;D13&amp;" x "&amp;H13&amp;" hrs) 43.3333 weeks) / 12 months = $"&amp;ROUND(J13,2),IF(A64=9," Conversion Calculation:   ($"&amp;D13&amp;" x 43.3333 weekly pay periods) / 12 months = $"&amp;ROUND(J13,2),IF(A64=10," Conversion Calculation:   ($"&amp;D13&amp;" x 21.66 Bi-weekly pay periods) / 12 months = $"&amp;ROUND(J13,2),IF(A64=11," Conversion Calculation:   ($"&amp;D13&amp;" x 20 Semi-monthly pay periods) / 12 months = $"&amp;ROUND(J13,2),IF(A64=12," Conversion Calculation:   ($"&amp;D13&amp;" x 10 Monthly pay periods) / 12 months = $"&amp;ROUND(J13,2),
IF(A64=13,"Conversion Calculation:   (($"&amp;D13&amp;" x "&amp;H13&amp;" hrs) 39 weeks) / 12 months = $"&amp;ROUND(J13,2),IF(A64=14," Conversion Calculation:   ($"&amp;D13&amp;" x 39 weekly pay periods) / 12 months = $"&amp;ROUND(J13,2),IF(A64=15," Conversion Calculation:   ($"&amp;D13&amp;" x 19.5 Bi-weekly pay periods) / 12 months = $"&amp;ROUND(J13,2),IF(A64=16," Conversion Calculation:   ($"&amp;D13&amp;" x 18 Semi-monthly pay periods) / 12 months = $"&amp;ROUND(J13,2),IF(A64=17," Conversion Calculation:   ($"&amp;D13&amp;" x 9 Monthly pay periods) / 12 months = $"&amp;ROUND(J13,2),
""))))))))))</f>
        <v/>
      </c>
      <c r="C27" s="1479"/>
      <c r="D27" s="1479"/>
      <c r="E27" s="1479"/>
      <c r="F27" s="1479"/>
      <c r="G27" s="1479"/>
      <c r="H27" s="1479"/>
      <c r="I27" s="1479"/>
      <c r="J27" s="1479"/>
      <c r="K27" s="1479"/>
      <c r="L27" s="1479"/>
    </row>
    <row r="28" spans="1:13" ht="30" customHeight="1" x14ac:dyDescent="0.3">
      <c r="A28" s="34"/>
      <c r="B28" s="191"/>
      <c r="C28" s="191"/>
      <c r="D28" s="191"/>
      <c r="E28" s="191"/>
      <c r="F28" s="191"/>
      <c r="G28" s="191"/>
      <c r="H28" s="1474" t="s">
        <v>486</v>
      </c>
      <c r="I28" s="1474"/>
      <c r="J28" s="1474"/>
      <c r="K28" s="1474"/>
      <c r="L28" s="1474"/>
      <c r="M28" s="1474"/>
    </row>
    <row r="29" spans="1:13" ht="14.4" customHeight="1" x14ac:dyDescent="0.3">
      <c r="A29" s="1475" t="s">
        <v>1074</v>
      </c>
      <c r="B29" s="1475"/>
      <c r="C29" s="1475"/>
      <c r="D29" s="1475"/>
      <c r="E29" s="19"/>
      <c r="F29" s="19"/>
      <c r="G29" s="19"/>
      <c r="H29" s="19"/>
      <c r="I29" s="19"/>
      <c r="J29" s="19"/>
      <c r="K29" s="19"/>
      <c r="L29" s="19"/>
    </row>
    <row r="30" spans="1:13" ht="14.25" customHeight="1" x14ac:dyDescent="0.3">
      <c r="A30" s="1481"/>
      <c r="B30" s="1481"/>
      <c r="C30" s="1481"/>
      <c r="D30" s="1481"/>
      <c r="E30" s="1481"/>
      <c r="F30" s="1481"/>
      <c r="G30" s="1481"/>
      <c r="H30" s="1481"/>
      <c r="I30" s="1481"/>
      <c r="J30" s="1481"/>
      <c r="K30" s="1481"/>
      <c r="L30" s="1481"/>
      <c r="M30" s="1481"/>
    </row>
    <row r="31" spans="1:13" ht="14.25" customHeight="1" x14ac:dyDescent="0.3">
      <c r="A31" s="1481"/>
      <c r="B31" s="1481"/>
      <c r="C31" s="1481"/>
      <c r="D31" s="1481"/>
      <c r="E31" s="1481"/>
      <c r="F31" s="1481"/>
      <c r="G31" s="1481"/>
      <c r="H31" s="1481"/>
      <c r="I31" s="1481"/>
      <c r="J31" s="1481"/>
      <c r="K31" s="1481"/>
      <c r="L31" s="1481"/>
      <c r="M31" s="1481"/>
    </row>
    <row r="32" spans="1:13" ht="15" customHeight="1" x14ac:dyDescent="0.3">
      <c r="A32" s="1481"/>
      <c r="B32" s="1481"/>
      <c r="C32" s="1481"/>
      <c r="D32" s="1481"/>
      <c r="E32" s="1481"/>
      <c r="F32" s="1481"/>
      <c r="G32" s="1481"/>
      <c r="H32" s="1481"/>
      <c r="I32" s="1481"/>
      <c r="J32" s="1481"/>
      <c r="K32" s="1481"/>
      <c r="L32" s="1481"/>
      <c r="M32" s="1481"/>
    </row>
    <row r="33" spans="1:13" ht="15" customHeight="1" x14ac:dyDescent="0.3">
      <c r="A33" s="779"/>
      <c r="B33" s="34"/>
      <c r="C33" s="10"/>
      <c r="D33" s="10"/>
      <c r="E33" s="10"/>
      <c r="F33" s="10"/>
      <c r="G33" s="10"/>
      <c r="H33" s="2"/>
      <c r="I33" s="2"/>
      <c r="J33" s="46" t="s">
        <v>78</v>
      </c>
      <c r="K33" s="46"/>
      <c r="L33" s="193"/>
      <c r="M33" s="38"/>
    </row>
    <row r="34" spans="1:13" ht="15" customHeight="1" x14ac:dyDescent="0.3">
      <c r="A34" s="34"/>
      <c r="B34" s="34"/>
      <c r="C34" s="10"/>
      <c r="D34" s="10"/>
      <c r="E34" s="10"/>
      <c r="F34" s="10"/>
      <c r="G34" s="10"/>
      <c r="H34" s="2"/>
      <c r="I34" s="2"/>
      <c r="J34" s="46" t="s">
        <v>92</v>
      </c>
      <c r="K34" s="46"/>
      <c r="L34" s="194" t="s">
        <v>78</v>
      </c>
      <c r="M34" s="38"/>
    </row>
    <row r="35" spans="1:13" ht="36" customHeight="1" x14ac:dyDescent="0.3">
      <c r="A35" s="34"/>
      <c r="B35" s="34"/>
      <c r="C35" s="10"/>
      <c r="D35" s="10"/>
      <c r="E35" s="10"/>
      <c r="F35" s="10"/>
      <c r="G35" s="10"/>
      <c r="H35" s="2"/>
      <c r="I35" s="2"/>
      <c r="J35" s="36" t="s">
        <v>90</v>
      </c>
      <c r="K35" s="46"/>
      <c r="L35" s="194" t="s">
        <v>92</v>
      </c>
      <c r="M35" s="38"/>
    </row>
    <row r="36" spans="1:13" ht="13.5" customHeight="1" x14ac:dyDescent="0.3">
      <c r="A36" s="34"/>
      <c r="B36" s="34"/>
      <c r="C36" s="10"/>
      <c r="D36" s="10"/>
      <c r="E36" s="10"/>
      <c r="F36" s="10"/>
      <c r="G36" s="10"/>
      <c r="H36" s="2"/>
      <c r="I36" s="2"/>
      <c r="J36" s="36" t="s">
        <v>91</v>
      </c>
      <c r="K36" s="46"/>
      <c r="L36" s="194" t="s">
        <v>90</v>
      </c>
      <c r="M36" s="38"/>
    </row>
    <row r="37" spans="1:13" ht="15.6" x14ac:dyDescent="0.3">
      <c r="A37" s="1407" t="s">
        <v>37</v>
      </c>
      <c r="B37" s="1407"/>
      <c r="C37" s="1359"/>
      <c r="D37" s="1359"/>
      <c r="E37" s="1359"/>
      <c r="F37" s="1359"/>
      <c r="G37" s="10"/>
      <c r="H37" s="2"/>
      <c r="I37" s="2"/>
      <c r="J37" s="36" t="s">
        <v>80</v>
      </c>
      <c r="K37" s="36"/>
      <c r="L37" s="194" t="s">
        <v>91</v>
      </c>
      <c r="M37" s="45"/>
    </row>
    <row r="38" spans="1:13" ht="6" customHeight="1" x14ac:dyDescent="0.3">
      <c r="A38"/>
      <c r="C38" s="2"/>
      <c r="D38" s="2"/>
      <c r="E38" s="2"/>
      <c r="F38" s="2"/>
      <c r="G38" s="2"/>
      <c r="H38" s="2"/>
      <c r="I38" s="2"/>
      <c r="J38" s="36" t="s">
        <v>79</v>
      </c>
      <c r="K38" s="36"/>
      <c r="L38" s="194" t="s">
        <v>80</v>
      </c>
      <c r="M38" s="45"/>
    </row>
    <row r="39" spans="1:13" ht="15" customHeight="1" x14ac:dyDescent="0.3">
      <c r="A39" s="1407" t="s">
        <v>89</v>
      </c>
      <c r="B39" s="1407"/>
      <c r="C39" s="1359"/>
      <c r="D39" s="1359"/>
      <c r="E39" s="1359"/>
      <c r="F39" s="1359"/>
      <c r="G39" s="10"/>
      <c r="H39" s="46"/>
      <c r="I39" s="2"/>
      <c r="K39" s="38"/>
      <c r="L39" s="194" t="s">
        <v>79</v>
      </c>
      <c r="M39" s="45"/>
    </row>
    <row r="40" spans="1:13" ht="12.75" customHeight="1" x14ac:dyDescent="0.3">
      <c r="A40" s="4"/>
      <c r="B40" s="4"/>
      <c r="C40" s="10"/>
      <c r="D40" s="10"/>
      <c r="E40" s="10"/>
      <c r="F40" s="10"/>
      <c r="G40" s="10"/>
      <c r="H40" s="2"/>
      <c r="I40" s="2"/>
      <c r="K40" s="38"/>
      <c r="L40" s="194" t="s">
        <v>218</v>
      </c>
      <c r="M40" s="45"/>
    </row>
    <row r="41" spans="1:13" ht="27.75" customHeight="1" x14ac:dyDescent="0.3">
      <c r="A41" s="34"/>
      <c r="B41" s="34"/>
      <c r="C41" s="10"/>
      <c r="D41" s="40" t="s">
        <v>86</v>
      </c>
      <c r="E41" s="40"/>
      <c r="F41" s="40" t="s">
        <v>87</v>
      </c>
      <c r="H41" s="199" t="s">
        <v>225</v>
      </c>
      <c r="I41" s="2"/>
      <c r="J41" s="55" t="s">
        <v>88</v>
      </c>
      <c r="K41" s="38"/>
      <c r="L41" s="194" t="s">
        <v>219</v>
      </c>
      <c r="M41" s="45"/>
    </row>
    <row r="42" spans="1:13" ht="15.75" customHeight="1" x14ac:dyDescent="0.3">
      <c r="A42" s="34"/>
      <c r="B42" s="34" t="s">
        <v>81</v>
      </c>
      <c r="C42" s="10"/>
      <c r="D42" s="48"/>
      <c r="E42" s="6"/>
      <c r="F42" s="10"/>
      <c r="H42" s="49"/>
      <c r="I42" s="2"/>
      <c r="J42" s="54">
        <f>IF(D64=1,0,IF(D64=2,((D42*H42)*52)/12,IF(D64=3,(D42*52)/12,IF(D64=4,(D42*26)/12,IF(D64=5,D42*2,IF(D64=6,D42,IF(D64=7,D42/12,
IF(D64=8,((D42*H42)*43.3333)/12,
IF(D64=9,(D42*43.3333)/12,
IF(D64=10,(D42*21.66)/12,
IF(D64=11,(D42*20)/12,
IF(D64=12,(D42*10)/12,
IF(D64=13,((D42*H42)*39)/12,
IF(D64=14,(D42*39)/12,
IF(D64=15,(D42*19.5)/12,
IF(D64=16,(D42*18)/12,
IF(D64=17,(D42*9)/12,
0)))))))))))))))))</f>
        <v>0</v>
      </c>
      <c r="K42" s="195" t="s">
        <v>224</v>
      </c>
      <c r="L42" s="194" t="s">
        <v>220</v>
      </c>
      <c r="M42" s="38"/>
    </row>
    <row r="43" spans="1:13" ht="6" customHeight="1" x14ac:dyDescent="0.3">
      <c r="A43" s="34"/>
      <c r="B43" s="34"/>
      <c r="C43" s="10"/>
      <c r="D43" s="10"/>
      <c r="E43" s="10"/>
      <c r="F43" s="10"/>
      <c r="H43" s="10"/>
      <c r="I43" s="2"/>
      <c r="J43" s="38"/>
      <c r="K43" s="45"/>
      <c r="L43" s="194" t="s">
        <v>221</v>
      </c>
      <c r="M43" s="38"/>
    </row>
    <row r="44" spans="1:13" ht="15.6" x14ac:dyDescent="0.3">
      <c r="A44" s="34"/>
      <c r="B44" s="34" t="s">
        <v>82</v>
      </c>
      <c r="C44" s="10"/>
      <c r="D44" s="48"/>
      <c r="E44" s="10"/>
      <c r="F44" s="10"/>
      <c r="H44" s="49"/>
      <c r="I44" s="2"/>
      <c r="J44" s="54">
        <f>IF(C64=1,0,IF(C64=2,((D44*H44)*52)/12,IF(C64=3,(D44*52)/12,IF(C64=4,(D44*26)/12,IF(C64=5,D44*2,IF(C64=6,D44,IF(C64=7,D44/12,0)))))))</f>
        <v>0</v>
      </c>
      <c r="K44" s="45"/>
      <c r="L44" s="194" t="s">
        <v>222</v>
      </c>
      <c r="M44" s="38"/>
    </row>
    <row r="45" spans="1:13" ht="6" customHeight="1" x14ac:dyDescent="0.3">
      <c r="A45" s="34"/>
      <c r="B45" s="34"/>
      <c r="C45" s="10"/>
      <c r="D45" s="10"/>
      <c r="E45" s="10"/>
      <c r="F45" s="10"/>
      <c r="H45" s="10"/>
      <c r="I45" s="2"/>
      <c r="J45" s="42"/>
      <c r="K45" s="2"/>
      <c r="L45" s="775" t="s">
        <v>1328</v>
      </c>
    </row>
    <row r="46" spans="1:13" ht="15.6" x14ac:dyDescent="0.3">
      <c r="A46" s="34"/>
      <c r="B46" s="34" t="s">
        <v>83</v>
      </c>
      <c r="C46" s="10"/>
      <c r="D46" s="48"/>
      <c r="E46" s="10"/>
      <c r="F46" s="10"/>
      <c r="H46" s="49"/>
      <c r="I46" s="2"/>
      <c r="J46" s="44">
        <f>IF(C65=1,0,IF(C65=2,((D46*H46)*52)/12,IF(C65=3,(D46*52)/12,IF(C65=4,(D46*26)/12,IF(C65=5,D46*2,IF(C65=6,D46,IF(C65=7,D46/12,0)))))))</f>
        <v>0</v>
      </c>
      <c r="K46" s="2"/>
      <c r="L46" s="775" t="s">
        <v>1329</v>
      </c>
    </row>
    <row r="47" spans="1:13" ht="6" customHeight="1" x14ac:dyDescent="0.3">
      <c r="A47" s="34"/>
      <c r="B47" s="34"/>
      <c r="C47" s="10"/>
      <c r="D47" s="10"/>
      <c r="E47" s="10"/>
      <c r="F47" s="10"/>
      <c r="H47" s="10"/>
      <c r="I47" s="2"/>
      <c r="J47" s="42"/>
      <c r="K47" s="2"/>
      <c r="L47" s="775" t="s">
        <v>1330</v>
      </c>
    </row>
    <row r="48" spans="1:13" ht="15.6" x14ac:dyDescent="0.3">
      <c r="A48" s="34"/>
      <c r="B48" s="34" t="s">
        <v>84</v>
      </c>
      <c r="C48" s="10"/>
      <c r="D48" s="48"/>
      <c r="E48" s="10"/>
      <c r="F48" s="10"/>
      <c r="H48" s="49"/>
      <c r="I48" s="2"/>
      <c r="J48" s="44">
        <f>IF(C66=1,0,IF(C66=2,((D48*H48)*52)/12,IF(C66=3,(D48*52)/12,IF(C66=4,(D48*26)/12,IF(C66=5,D48*2,IF(C66=6,D48,IF(C66=7,D48/12,0)))))))</f>
        <v>0</v>
      </c>
      <c r="K48" s="2"/>
      <c r="L48" s="775" t="s">
        <v>1331</v>
      </c>
    </row>
    <row r="49" spans="1:13" ht="6" customHeight="1" x14ac:dyDescent="0.3">
      <c r="A49" s="34"/>
      <c r="B49" s="34"/>
      <c r="C49" s="10"/>
      <c r="D49" s="10"/>
      <c r="E49" s="10"/>
      <c r="F49" s="10"/>
      <c r="H49" s="10"/>
      <c r="I49" s="2"/>
      <c r="J49" s="42"/>
      <c r="K49" s="2"/>
      <c r="L49" s="775" t="s">
        <v>1332</v>
      </c>
    </row>
    <row r="50" spans="1:13" ht="15.6" x14ac:dyDescent="0.3">
      <c r="A50" s="34"/>
      <c r="B50" s="34" t="s">
        <v>85</v>
      </c>
      <c r="C50" s="10"/>
      <c r="D50" s="48"/>
      <c r="E50" s="10"/>
      <c r="F50" s="10"/>
      <c r="H50" s="49"/>
      <c r="I50" s="2"/>
      <c r="J50" s="44">
        <f>IF(C67=1,0,IF(C67=2,((D50*H50)*52)/12,IF(C67=3,(D50*52)/12,IF(C67=4,(D50*26)/12,IF(C67=5,D50*2,IF(C67=6,D50,IF(C67=7,D50/12,0)))))))</f>
        <v>0</v>
      </c>
      <c r="K50" s="2"/>
      <c r="L50" s="2"/>
    </row>
    <row r="51" spans="1:13" ht="7.5" customHeight="1" thickBot="1" x14ac:dyDescent="0.35">
      <c r="A51" s="34"/>
      <c r="B51" s="34"/>
      <c r="C51" s="10"/>
      <c r="D51" s="10"/>
      <c r="E51" s="10"/>
      <c r="F51" s="10"/>
      <c r="H51" s="10"/>
      <c r="I51" s="37"/>
      <c r="J51" s="37"/>
      <c r="K51" s="37"/>
      <c r="L51" s="2"/>
    </row>
    <row r="52" spans="1:13" ht="7.5" customHeight="1" thickTop="1" x14ac:dyDescent="0.35">
      <c r="A52" s="34"/>
      <c r="C52" s="34"/>
      <c r="D52" s="10"/>
      <c r="E52" s="10"/>
      <c r="F52" s="10"/>
      <c r="G52" s="10"/>
      <c r="H52" s="10"/>
      <c r="I52" s="2"/>
      <c r="J52" s="41"/>
      <c r="K52" s="2"/>
      <c r="L52" s="2"/>
    </row>
    <row r="53" spans="1:13" ht="15.6" x14ac:dyDescent="0.3">
      <c r="A53" s="34"/>
      <c r="B53" s="1476" t="s">
        <v>93</v>
      </c>
      <c r="C53" s="1476"/>
      <c r="D53" s="1476"/>
      <c r="E53" s="10"/>
      <c r="F53" s="10"/>
      <c r="G53" s="10"/>
      <c r="H53" s="72">
        <f>IF(L67=TRUE,0,J53)</f>
        <v>0</v>
      </c>
      <c r="I53" s="2"/>
      <c r="J53" s="6">
        <f>J42+J44+J46+J48+J50</f>
        <v>0</v>
      </c>
      <c r="K53" s="2"/>
      <c r="L53" s="2"/>
    </row>
    <row r="54" spans="1:13" ht="9" customHeight="1" x14ac:dyDescent="0.3">
      <c r="A54" s="34"/>
      <c r="B54" s="34"/>
      <c r="C54" s="10"/>
      <c r="D54" s="10"/>
      <c r="E54" s="10"/>
      <c r="F54" s="10"/>
      <c r="G54" s="10"/>
      <c r="H54" s="2"/>
      <c r="I54" s="2"/>
      <c r="J54" s="2"/>
      <c r="K54" s="2"/>
      <c r="L54" s="771" t="s">
        <v>464</v>
      </c>
    </row>
    <row r="55" spans="1:13" ht="33" customHeight="1" x14ac:dyDescent="0.3">
      <c r="A55" s="34"/>
      <c r="B55" s="1477" t="str">
        <f>IF(OR(D64=8,D64=9,D64=10,D64=11,D64=12),"*This borrower is paid their Base Income 'Amount'  for 10 months rather than 12 months (eg. Teacher).
Their base income 'Monthly Amount' above is calculated at the 12 month equivilant. See calculation below:",
IF(OR(D64=13,D64=14,D64=15,D64=16,D64=17),"*This borrower is paid their Base Income 'Amount'  for 9 months rather than 12 months (eg. Teacher).
Their base income 'Monthly Amount' above is calculated at the 12 month equivilant. See calculation below:",""))</f>
        <v/>
      </c>
      <c r="C55" s="1477"/>
      <c r="D55" s="1477"/>
      <c r="E55" s="1477"/>
      <c r="F55" s="1477"/>
      <c r="G55" s="1477"/>
      <c r="H55" s="1477"/>
      <c r="I55" s="1477"/>
      <c r="J55" s="1477"/>
      <c r="K55" s="1477"/>
      <c r="L55" s="1477"/>
    </row>
    <row r="56" spans="1:13" ht="15" customHeight="1" x14ac:dyDescent="0.3">
      <c r="A56" s="34"/>
      <c r="B56" s="1479" t="str">
        <f>IF(D64=8,"Conversion Calculation:   (($"&amp;D42&amp;" x "&amp;H42&amp;" hrs) 43.3333 weeks) / 12 months = $"&amp;ROUND(J42,2),IF(D64=9," Conversion Calculation:   ($"&amp;D42&amp;" x 43.3333 weekly pay periods) / 12 months = $"&amp;ROUND(J42,2),IF(D64=10," Conversion Calculation:   ($"&amp;D42&amp;" x 21.66 Bi-weekly pay periods) / 12 months = $"&amp;ROUND(J42,2),IF(D64=11," Conversion Calculation:   ($"&amp;D42&amp;" x 20 Semi-monthly pay periods) / 12 months = $"&amp;ROUND(J42,2),IF(D64=12," Conversion Calculation:   ($"&amp;D42&amp;" x 10 Monthly pay periods) / 12 months = $"&amp;ROUND(J42,2),
IF(D64=13,"Conversion Calculation:   (($"&amp;D42&amp;" x "&amp;H42&amp;" hrs) 39 weeks) / 12 months = $"&amp;ROUND(J42,2),IF(D64=14," Conversion Calculation:   ($"&amp;D42&amp;" x 39 weekly pay periods) / 12 months = $"&amp;ROUND(J42,2),IF(D64=15," Conversion Calculation:   ($"&amp;D42&amp;" x 19.5 Bi-weekly pay periods) / 12 months = $"&amp;ROUND(J42,2),IF(D64=16," Conversion Calculation:   ($"&amp;D42&amp;" x 18 Semi-monthly pay periods) / 12 months = $"&amp;ROUND(J42,2),IF(D64=17," Conversion Calculation:   ($"&amp;D42&amp;" x 9 Monthly pay periods) / 12 months = $"&amp;ROUND(J42,2),""))))))))))</f>
        <v/>
      </c>
      <c r="C56" s="1479"/>
      <c r="D56" s="1479"/>
      <c r="E56" s="1479"/>
      <c r="F56" s="1479"/>
      <c r="G56" s="1479"/>
      <c r="H56" s="1479"/>
      <c r="I56" s="1479"/>
      <c r="J56" s="1479"/>
      <c r="K56" s="1479"/>
      <c r="L56" s="1479"/>
    </row>
    <row r="57" spans="1:13" ht="30" customHeight="1" x14ac:dyDescent="0.3">
      <c r="A57" s="34"/>
      <c r="B57" s="191"/>
      <c r="C57" s="191"/>
      <c r="D57" s="191"/>
      <c r="E57" s="191"/>
      <c r="F57" s="191"/>
      <c r="G57" s="191"/>
      <c r="H57" s="1474" t="s">
        <v>486</v>
      </c>
      <c r="I57" s="1474"/>
      <c r="J57" s="1474"/>
      <c r="K57" s="1474"/>
      <c r="L57" s="1474"/>
      <c r="M57" s="1474"/>
    </row>
    <row r="58" spans="1:13" ht="15.75" customHeight="1" x14ac:dyDescent="0.3">
      <c r="A58" s="1475" t="s">
        <v>1074</v>
      </c>
      <c r="B58" s="1475"/>
      <c r="C58" s="1475"/>
      <c r="D58" s="1475"/>
      <c r="E58" s="19"/>
      <c r="F58" s="19"/>
      <c r="G58" s="19"/>
      <c r="H58" s="19"/>
      <c r="I58" s="19"/>
      <c r="J58" s="19"/>
      <c r="K58" s="19"/>
      <c r="L58" s="19"/>
    </row>
    <row r="59" spans="1:13" ht="15.75" customHeight="1" x14ac:dyDescent="0.3">
      <c r="A59" s="1325"/>
      <c r="B59" s="1325"/>
      <c r="C59" s="1325"/>
      <c r="D59" s="1325"/>
      <c r="E59" s="1325"/>
      <c r="F59" s="1325"/>
      <c r="G59" s="1325"/>
      <c r="H59" s="1325"/>
      <c r="I59" s="1325"/>
      <c r="J59" s="1325"/>
      <c r="K59" s="1325"/>
      <c r="L59" s="1325"/>
      <c r="M59" s="1325"/>
    </row>
    <row r="60" spans="1:13" ht="15.75" customHeight="1" x14ac:dyDescent="0.3">
      <c r="A60" s="1325"/>
      <c r="B60" s="1325"/>
      <c r="C60" s="1325"/>
      <c r="D60" s="1325"/>
      <c r="E60" s="1325"/>
      <c r="F60" s="1325"/>
      <c r="G60" s="1325"/>
      <c r="H60" s="1325"/>
      <c r="I60" s="1325"/>
      <c r="J60" s="1325"/>
      <c r="K60" s="1325"/>
      <c r="L60" s="1325"/>
      <c r="M60" s="1325"/>
    </row>
    <row r="61" spans="1:13" ht="14.25" customHeight="1" x14ac:dyDescent="0.3">
      <c r="A61" s="1325"/>
      <c r="B61" s="1325"/>
      <c r="C61" s="1325"/>
      <c r="D61" s="1325"/>
      <c r="E61" s="1325"/>
      <c r="F61" s="1325"/>
      <c r="G61" s="1325"/>
      <c r="H61" s="1325"/>
      <c r="I61" s="1325"/>
      <c r="J61" s="1325"/>
      <c r="K61" s="1325"/>
      <c r="L61" s="1325"/>
      <c r="M61" s="1325"/>
    </row>
    <row r="62" spans="1:13" ht="12.75" hidden="1" customHeight="1" x14ac:dyDescent="0.3">
      <c r="A62" s="47"/>
      <c r="B62" s="38"/>
      <c r="C62" s="38"/>
      <c r="D62" s="38"/>
      <c r="E62" s="38"/>
      <c r="L62" s="1043"/>
    </row>
    <row r="63" spans="1:13" ht="16.5" hidden="1" customHeight="1" x14ac:dyDescent="0.3">
      <c r="A63" s="471"/>
      <c r="B63" s="38"/>
      <c r="C63" s="38"/>
      <c r="D63" s="38"/>
      <c r="E63" s="38"/>
      <c r="F63" s="38"/>
      <c r="G63" s="38"/>
      <c r="H63" s="38"/>
    </row>
    <row r="64" spans="1:13" ht="12.75" hidden="1" customHeight="1" x14ac:dyDescent="0.3">
      <c r="A64" s="1046">
        <v>1</v>
      </c>
      <c r="B64" s="1046">
        <v>1</v>
      </c>
      <c r="C64" s="1047">
        <v>1</v>
      </c>
      <c r="D64" s="1047">
        <v>1</v>
      </c>
      <c r="E64" s="38"/>
      <c r="F64" s="38"/>
      <c r="G64" s="38"/>
      <c r="H64" s="38"/>
    </row>
    <row r="65" spans="1:13" hidden="1" x14ac:dyDescent="0.3">
      <c r="A65" s="1046">
        <v>1</v>
      </c>
      <c r="B65" s="36"/>
      <c r="C65" s="1046">
        <v>1</v>
      </c>
      <c r="D65" s="36"/>
      <c r="E65" s="38"/>
      <c r="F65" s="38"/>
      <c r="G65" s="38"/>
      <c r="H65" s="38"/>
    </row>
    <row r="66" spans="1:13" hidden="1" x14ac:dyDescent="0.3">
      <c r="A66" s="1046">
        <v>1</v>
      </c>
      <c r="B66" s="36"/>
      <c r="C66" s="1046">
        <v>1</v>
      </c>
      <c r="D66" s="36"/>
      <c r="E66" s="38"/>
      <c r="F66" s="38"/>
      <c r="G66" s="38"/>
      <c r="H66" s="38"/>
      <c r="L66" s="1043" t="b">
        <v>0</v>
      </c>
    </row>
    <row r="67" spans="1:13" hidden="1" x14ac:dyDescent="0.3">
      <c r="A67" s="1046">
        <v>1</v>
      </c>
      <c r="B67" s="36"/>
      <c r="C67" s="1046">
        <v>1</v>
      </c>
      <c r="D67" s="36"/>
      <c r="E67" s="38"/>
      <c r="F67" s="38"/>
      <c r="G67" s="38"/>
      <c r="H67" s="38"/>
      <c r="L67" s="1043" t="b">
        <v>0</v>
      </c>
    </row>
    <row r="68" spans="1:13" ht="14.25" hidden="1" customHeight="1" x14ac:dyDescent="0.3">
      <c r="A68" s="1482" t="str">
        <f ca="1">REPLACE(CELL("filename",A68),1,FIND("]",CELL("filename",A68)),"")</f>
        <v>Inc. Exp, W2</v>
      </c>
      <c r="B68" s="1482"/>
      <c r="C68" s="1482"/>
      <c r="D68" s="472"/>
      <c r="E68" s="472"/>
      <c r="F68" s="472"/>
      <c r="G68" s="38"/>
      <c r="H68" s="38"/>
    </row>
    <row r="74" spans="1:13" x14ac:dyDescent="0.3">
      <c r="J74" s="1419" t="str">
        <f>Version</f>
        <v>Version 2026.1</v>
      </c>
      <c r="K74" s="1419"/>
      <c r="L74" s="1419"/>
      <c r="M74" s="1419"/>
    </row>
    <row r="75" spans="1:13" ht="105.6" customHeight="1" x14ac:dyDescent="0.3"/>
  </sheetData>
  <sheetProtection algorithmName="SHA-512" hashValue="A1dAa3Fv/Pn0qdmqR632vgYe3SgD3EGpTAzcgKGsRH0nOk5MH6TExcEz4x8q0kHYVaFDn0VdItIbRYwkOcMadQ==" saltValue="Ub8b/cnmCUkhWEhT2T1IOA==" spinCount="100000" sheet="1" objects="1" scenarios="1" selectLockedCells="1"/>
  <mergeCells count="25">
    <mergeCell ref="J74:M74"/>
    <mergeCell ref="A2:M2"/>
    <mergeCell ref="A3:M3"/>
    <mergeCell ref="A7:B7"/>
    <mergeCell ref="A9:B9"/>
    <mergeCell ref="B24:D24"/>
    <mergeCell ref="C7:F7"/>
    <mergeCell ref="C9:F9"/>
    <mergeCell ref="B26:L26"/>
    <mergeCell ref="B27:L27"/>
    <mergeCell ref="H28:M28"/>
    <mergeCell ref="H5:L10"/>
    <mergeCell ref="A29:D29"/>
    <mergeCell ref="A30:M32"/>
    <mergeCell ref="B56:L56"/>
    <mergeCell ref="A68:C68"/>
    <mergeCell ref="H57:M57"/>
    <mergeCell ref="A58:D58"/>
    <mergeCell ref="A37:B37"/>
    <mergeCell ref="A59:M61"/>
    <mergeCell ref="B53:D53"/>
    <mergeCell ref="C37:F37"/>
    <mergeCell ref="C39:F39"/>
    <mergeCell ref="A39:B39"/>
    <mergeCell ref="B55:L55"/>
  </mergeCells>
  <conditionalFormatting sqref="H19">
    <cfRule type="expression" dxfId="1374" priority="75" stopIfTrue="1">
      <formula>$A$67=2</formula>
    </cfRule>
  </conditionalFormatting>
  <conditionalFormatting sqref="H50">
    <cfRule type="expression" dxfId="1373" priority="82" stopIfTrue="1">
      <formula>$C$67=2</formula>
    </cfRule>
  </conditionalFormatting>
  <conditionalFormatting sqref="H17">
    <cfRule type="expression" dxfId="1372" priority="86" stopIfTrue="1">
      <formula>$A$66=2</formula>
    </cfRule>
  </conditionalFormatting>
  <conditionalFormatting sqref="H46">
    <cfRule type="expression" dxfId="1371" priority="92" stopIfTrue="1">
      <formula>$C$65=2</formula>
    </cfRule>
  </conditionalFormatting>
  <conditionalFormatting sqref="H48">
    <cfRule type="expression" dxfId="1370" priority="93" stopIfTrue="1">
      <formula>$C$66=2</formula>
    </cfRule>
  </conditionalFormatting>
  <conditionalFormatting sqref="H13">
    <cfRule type="expression" dxfId="1369" priority="181" stopIfTrue="1">
      <formula>OR($A$64=2,$A$64=8,$A$64=13)</formula>
    </cfRule>
  </conditionalFormatting>
  <conditionalFormatting sqref="H15">
    <cfRule type="expression" dxfId="1368" priority="182" stopIfTrue="1">
      <formula>$A$65=2</formula>
    </cfRule>
  </conditionalFormatting>
  <conditionalFormatting sqref="H21">
    <cfRule type="expression" dxfId="1367" priority="183" stopIfTrue="1">
      <formula>$B$64=2</formula>
    </cfRule>
  </conditionalFormatting>
  <conditionalFormatting sqref="H44">
    <cfRule type="expression" dxfId="1366" priority="184" stopIfTrue="1">
      <formula>$C$64=2</formula>
    </cfRule>
  </conditionalFormatting>
  <conditionalFormatting sqref="H42">
    <cfRule type="expression" dxfId="1365" priority="186" stopIfTrue="1">
      <formula>OR($D$64=2,$D$64=8,$D$64=13)</formula>
    </cfRule>
  </conditionalFormatting>
  <conditionalFormatting sqref="B26:L27">
    <cfRule type="expression" dxfId="1364" priority="187">
      <formula>$B$26&lt;&gt;""</formula>
    </cfRule>
  </conditionalFormatting>
  <conditionalFormatting sqref="B55:L56">
    <cfRule type="expression" dxfId="1363" priority="188">
      <formula>$B$55&lt;&gt;""</formula>
    </cfRule>
  </conditionalFormatting>
  <conditionalFormatting sqref="K13">
    <cfRule type="expression" dxfId="1362" priority="189">
      <formula>OR($A$64=8,$A$64=9,$A$64=10,$A$64=11,$A$64=12,)</formula>
    </cfRule>
  </conditionalFormatting>
  <conditionalFormatting sqref="K42">
    <cfRule type="expression" dxfId="1361" priority="190">
      <formula>OR($D$64=8,$D$64=9,$D$64=10,$D$64=11,$D$64=12,)</formula>
    </cfRule>
  </conditionalFormatting>
  <conditionalFormatting sqref="H28:M28">
    <cfRule type="expression" dxfId="1360" priority="4">
      <formula>AND($A$68&lt;&gt;"Inc. Exp, W2",$A$68&lt;&gt;"Inc. Exp, W2 (2)")</formula>
    </cfRule>
  </conditionalFormatting>
  <conditionalFormatting sqref="H57:M57">
    <cfRule type="expression" dxfId="1359" priority="3">
      <formula>AND($A$68&lt;&gt;"Inc. Exp, W2",$A$68&lt;&gt;"Inc. Exp, W2 (2)")</formula>
    </cfRule>
  </conditionalFormatting>
  <conditionalFormatting sqref="J24">
    <cfRule type="expression" dxfId="1358" priority="2">
      <formula>$L$66=TRUE</formula>
    </cfRule>
  </conditionalFormatting>
  <conditionalFormatting sqref="J53">
    <cfRule type="expression" dxfId="1357" priority="1">
      <formula>$L$67=TRUE</formula>
    </cfRule>
  </conditionalFormatting>
  <dataValidations disablePrompts="1" count="1">
    <dataValidation type="custom" allowBlank="1" showInputMessage="1" showErrorMessage="1" errorTitle="Incorrect Entry Type" error="A dollar amount should be entered in this field (ex. 25 or 25.50)" sqref="D13 D15 D17 D19 D21 D42 D44 D46 D48 D50" xr:uid="{9DE76A9B-4AC1-49C8-9CAA-FFC7E041A64E}">
      <formula1>CELL("format")="C2"</formula1>
    </dataValidation>
  </dataValidations>
  <printOptions horizontalCentered="1"/>
  <pageMargins left="0.25" right="0.25" top="0.25" bottom="0.25" header="0.3" footer="0.3"/>
  <pageSetup paperSize="5" scale="94"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8" r:id="rId4" name="Label 8">
              <controlPr defaultSize="0" autoFill="0" autoLine="0" autoPict="0">
                <anchor moveWithCells="1" sizeWithCells="1">
                  <from>
                    <xdr:col>0</xdr:col>
                    <xdr:colOff>22860</xdr:colOff>
                    <xdr:row>36</xdr:row>
                    <xdr:rowOff>182880</xdr:rowOff>
                  </from>
                  <to>
                    <xdr:col>9</xdr:col>
                    <xdr:colOff>480060</xdr:colOff>
                    <xdr:row>36</xdr:row>
                    <xdr:rowOff>190500</xdr:rowOff>
                  </to>
                </anchor>
              </controlPr>
            </control>
          </mc:Choice>
        </mc:AlternateContent>
        <mc:AlternateContent xmlns:mc="http://schemas.openxmlformats.org/markup-compatibility/2006">
          <mc:Choice Requires="x14">
            <control shapeId="20493" r:id="rId5" name="Drop Down 13">
              <controlPr defaultSize="0" autoLine="0" autoPict="0">
                <anchor moveWithCells="1">
                  <from>
                    <xdr:col>5</xdr:col>
                    <xdr:colOff>7620</xdr:colOff>
                    <xdr:row>14</xdr:row>
                    <xdr:rowOff>0</xdr:rowOff>
                  </from>
                  <to>
                    <xdr:col>6</xdr:col>
                    <xdr:colOff>7620</xdr:colOff>
                    <xdr:row>15</xdr:row>
                    <xdr:rowOff>7620</xdr:rowOff>
                  </to>
                </anchor>
              </controlPr>
            </control>
          </mc:Choice>
        </mc:AlternateContent>
        <mc:AlternateContent xmlns:mc="http://schemas.openxmlformats.org/markup-compatibility/2006">
          <mc:Choice Requires="x14">
            <control shapeId="20494" r:id="rId6" name="Drop Down 14">
              <controlPr defaultSize="0" autoLine="0" autoPict="0">
                <anchor moveWithCells="1">
                  <from>
                    <xdr:col>5</xdr:col>
                    <xdr:colOff>7620</xdr:colOff>
                    <xdr:row>15</xdr:row>
                    <xdr:rowOff>68580</xdr:rowOff>
                  </from>
                  <to>
                    <xdr:col>6</xdr:col>
                    <xdr:colOff>7620</xdr:colOff>
                    <xdr:row>16</xdr:row>
                    <xdr:rowOff>190500</xdr:rowOff>
                  </to>
                </anchor>
              </controlPr>
            </control>
          </mc:Choice>
        </mc:AlternateContent>
        <mc:AlternateContent xmlns:mc="http://schemas.openxmlformats.org/markup-compatibility/2006">
          <mc:Choice Requires="x14">
            <control shapeId="20495" r:id="rId7" name="Drop Down 15">
              <controlPr defaultSize="0" autoLine="0" autoPict="0">
                <anchor moveWithCells="1">
                  <from>
                    <xdr:col>5</xdr:col>
                    <xdr:colOff>7620</xdr:colOff>
                    <xdr:row>18</xdr:row>
                    <xdr:rowOff>0</xdr:rowOff>
                  </from>
                  <to>
                    <xdr:col>6</xdr:col>
                    <xdr:colOff>7620</xdr:colOff>
                    <xdr:row>19</xdr:row>
                    <xdr:rowOff>7620</xdr:rowOff>
                  </to>
                </anchor>
              </controlPr>
            </control>
          </mc:Choice>
        </mc:AlternateContent>
        <mc:AlternateContent xmlns:mc="http://schemas.openxmlformats.org/markup-compatibility/2006">
          <mc:Choice Requires="x14">
            <control shapeId="20496" r:id="rId8" name="Drop Down 16">
              <controlPr defaultSize="0" autoLine="0" autoPict="0">
                <anchor moveWithCells="1">
                  <from>
                    <xdr:col>5</xdr:col>
                    <xdr:colOff>7620</xdr:colOff>
                    <xdr:row>19</xdr:row>
                    <xdr:rowOff>68580</xdr:rowOff>
                  </from>
                  <to>
                    <xdr:col>6</xdr:col>
                    <xdr:colOff>7620</xdr:colOff>
                    <xdr:row>20</xdr:row>
                    <xdr:rowOff>190500</xdr:rowOff>
                  </to>
                </anchor>
              </controlPr>
            </control>
          </mc:Choice>
        </mc:AlternateContent>
        <mc:AlternateContent xmlns:mc="http://schemas.openxmlformats.org/markup-compatibility/2006">
          <mc:Choice Requires="x14">
            <control shapeId="20491" r:id="rId9" name="Drop Down 11">
              <controlPr defaultSize="0" autoLine="0" autoPict="0">
                <anchor moveWithCells="1">
                  <from>
                    <xdr:col>5</xdr:col>
                    <xdr:colOff>7620</xdr:colOff>
                    <xdr:row>11</xdr:row>
                    <xdr:rowOff>342900</xdr:rowOff>
                  </from>
                  <to>
                    <xdr:col>6</xdr:col>
                    <xdr:colOff>7620</xdr:colOff>
                    <xdr:row>12</xdr:row>
                    <xdr:rowOff>190500</xdr:rowOff>
                  </to>
                </anchor>
              </controlPr>
            </control>
          </mc:Choice>
        </mc:AlternateContent>
        <mc:AlternateContent xmlns:mc="http://schemas.openxmlformats.org/markup-compatibility/2006">
          <mc:Choice Requires="x14">
            <control shapeId="20498" r:id="rId10" name="Drop Down 18">
              <controlPr defaultSize="0" autoLine="0" autoPict="0">
                <anchor moveWithCells="1">
                  <from>
                    <xdr:col>5</xdr:col>
                    <xdr:colOff>7620</xdr:colOff>
                    <xdr:row>42</xdr:row>
                    <xdr:rowOff>68580</xdr:rowOff>
                  </from>
                  <to>
                    <xdr:col>6</xdr:col>
                    <xdr:colOff>7620</xdr:colOff>
                    <xdr:row>43</xdr:row>
                    <xdr:rowOff>182880</xdr:rowOff>
                  </to>
                </anchor>
              </controlPr>
            </control>
          </mc:Choice>
        </mc:AlternateContent>
        <mc:AlternateContent xmlns:mc="http://schemas.openxmlformats.org/markup-compatibility/2006">
          <mc:Choice Requires="x14">
            <control shapeId="20499" r:id="rId11" name="Drop Down 19">
              <controlPr defaultSize="0" autoLine="0" autoPict="0">
                <anchor moveWithCells="1">
                  <from>
                    <xdr:col>5</xdr:col>
                    <xdr:colOff>7620</xdr:colOff>
                    <xdr:row>44</xdr:row>
                    <xdr:rowOff>60960</xdr:rowOff>
                  </from>
                  <to>
                    <xdr:col>6</xdr:col>
                    <xdr:colOff>7620</xdr:colOff>
                    <xdr:row>45</xdr:row>
                    <xdr:rowOff>182880</xdr:rowOff>
                  </to>
                </anchor>
              </controlPr>
            </control>
          </mc:Choice>
        </mc:AlternateContent>
        <mc:AlternateContent xmlns:mc="http://schemas.openxmlformats.org/markup-compatibility/2006">
          <mc:Choice Requires="x14">
            <control shapeId="20500" r:id="rId12" name="Drop Down 20">
              <controlPr defaultSize="0" autoLine="0" autoPict="0">
                <anchor moveWithCells="1">
                  <from>
                    <xdr:col>5</xdr:col>
                    <xdr:colOff>7620</xdr:colOff>
                    <xdr:row>46</xdr:row>
                    <xdr:rowOff>53340</xdr:rowOff>
                  </from>
                  <to>
                    <xdr:col>6</xdr:col>
                    <xdr:colOff>7620</xdr:colOff>
                    <xdr:row>47</xdr:row>
                    <xdr:rowOff>182880</xdr:rowOff>
                  </to>
                </anchor>
              </controlPr>
            </control>
          </mc:Choice>
        </mc:AlternateContent>
        <mc:AlternateContent xmlns:mc="http://schemas.openxmlformats.org/markup-compatibility/2006">
          <mc:Choice Requires="x14">
            <control shapeId="20501" r:id="rId13" name="Drop Down 21">
              <controlPr defaultSize="0" autoLine="0" autoPict="0">
                <anchor moveWithCells="1">
                  <from>
                    <xdr:col>5</xdr:col>
                    <xdr:colOff>7620</xdr:colOff>
                    <xdr:row>48</xdr:row>
                    <xdr:rowOff>60960</xdr:rowOff>
                  </from>
                  <to>
                    <xdr:col>6</xdr:col>
                    <xdr:colOff>7620</xdr:colOff>
                    <xdr:row>49</xdr:row>
                    <xdr:rowOff>182880</xdr:rowOff>
                  </to>
                </anchor>
              </controlPr>
            </control>
          </mc:Choice>
        </mc:AlternateContent>
        <mc:AlternateContent xmlns:mc="http://schemas.openxmlformats.org/markup-compatibility/2006">
          <mc:Choice Requires="x14">
            <control shapeId="20502" r:id="rId14" name="Drop Down 22">
              <controlPr defaultSize="0" autoLine="0" autoPict="0">
                <anchor moveWithCells="1">
                  <from>
                    <xdr:col>5</xdr:col>
                    <xdr:colOff>7620</xdr:colOff>
                    <xdr:row>41</xdr:row>
                    <xdr:rowOff>7620</xdr:rowOff>
                  </from>
                  <to>
                    <xdr:col>6</xdr:col>
                    <xdr:colOff>7620</xdr:colOff>
                    <xdr:row>41</xdr:row>
                    <xdr:rowOff>182880</xdr:rowOff>
                  </to>
                </anchor>
              </controlPr>
            </control>
          </mc:Choice>
        </mc:AlternateContent>
        <mc:AlternateContent xmlns:mc="http://schemas.openxmlformats.org/markup-compatibility/2006">
          <mc:Choice Requires="x14">
            <control shapeId="20504" r:id="rId15" name="Check Box 24">
              <controlPr defaultSize="0" autoFill="0" autoLine="0" autoPict="0">
                <anchor moveWithCells="1">
                  <from>
                    <xdr:col>11</xdr:col>
                    <xdr:colOff>0</xdr:colOff>
                    <xdr:row>23</xdr:row>
                    <xdr:rowOff>0</xdr:rowOff>
                  </from>
                  <to>
                    <xdr:col>11</xdr:col>
                    <xdr:colOff>518160</xdr:colOff>
                    <xdr:row>24</xdr:row>
                    <xdr:rowOff>22860</xdr:rowOff>
                  </to>
                </anchor>
              </controlPr>
            </control>
          </mc:Choice>
        </mc:AlternateContent>
        <mc:AlternateContent xmlns:mc="http://schemas.openxmlformats.org/markup-compatibility/2006">
          <mc:Choice Requires="x14">
            <control shapeId="20505" r:id="rId16" name="Check Box 25">
              <controlPr defaultSize="0" autoFill="0" autoLine="0" autoPict="0">
                <anchor moveWithCells="1">
                  <from>
                    <xdr:col>11</xdr:col>
                    <xdr:colOff>7620</xdr:colOff>
                    <xdr:row>52</xdr:row>
                    <xdr:rowOff>0</xdr:rowOff>
                  </from>
                  <to>
                    <xdr:col>11</xdr:col>
                    <xdr:colOff>525780</xdr:colOff>
                    <xdr:row>53</xdr:row>
                    <xdr:rowOff>30480</xdr:rowOff>
                  </to>
                </anchor>
              </controlPr>
            </control>
          </mc:Choice>
        </mc:AlternateContent>
        <mc:AlternateContent xmlns:mc="http://schemas.openxmlformats.org/markup-compatibility/2006">
          <mc:Choice Requires="x14">
            <control shapeId="20514" r:id="rId17" name="Button 34">
              <controlPr defaultSize="0" print="0" autoFill="0" autoPict="0" macro="[0]!IW_Copy">
                <anchor moveWithCells="1" sizeWithCells="1">
                  <from>
                    <xdr:col>1</xdr:col>
                    <xdr:colOff>137160</xdr:colOff>
                    <xdr:row>0</xdr:row>
                    <xdr:rowOff>7620</xdr:rowOff>
                  </from>
                  <to>
                    <xdr:col>1</xdr:col>
                    <xdr:colOff>571500</xdr:colOff>
                    <xdr:row>1</xdr:row>
                    <xdr:rowOff>114300</xdr:rowOff>
                  </to>
                </anchor>
              </controlPr>
            </control>
          </mc:Choice>
        </mc:AlternateContent>
        <mc:AlternateContent xmlns:mc="http://schemas.openxmlformats.org/markup-compatibility/2006">
          <mc:Choice Requires="x14">
            <control shapeId="20515" r:id="rId18" name="Button 35">
              <controlPr defaultSize="0" print="0" autoFill="0" autoPict="0" macro="[0]!IW_Home">
                <anchor moveWithCells="1" sizeWithCells="1">
                  <from>
                    <xdr:col>0</xdr:col>
                    <xdr:colOff>0</xdr:colOff>
                    <xdr:row>0</xdr:row>
                    <xdr:rowOff>7620</xdr:rowOff>
                  </from>
                  <to>
                    <xdr:col>1</xdr:col>
                    <xdr:colOff>83820</xdr:colOff>
                    <xdr:row>1</xdr:row>
                    <xdr:rowOff>114300</xdr:rowOff>
                  </to>
                </anchor>
              </controlPr>
            </control>
          </mc:Choice>
        </mc:AlternateContent>
        <mc:AlternateContent xmlns:mc="http://schemas.openxmlformats.org/markup-compatibility/2006">
          <mc:Choice Requires="x14">
            <control shapeId="20516" r:id="rId19" name="Button 36">
              <controlPr defaultSize="0" print="0" autoFill="0" autoPict="0" macro="[0]!Income_ExpW2_Clear">
                <anchor moveWithCells="1" sizeWithCells="1">
                  <from>
                    <xdr:col>1</xdr:col>
                    <xdr:colOff>624840</xdr:colOff>
                    <xdr:row>0</xdr:row>
                    <xdr:rowOff>7620</xdr:rowOff>
                  </from>
                  <to>
                    <xdr:col>2</xdr:col>
                    <xdr:colOff>403860</xdr:colOff>
                    <xdr:row>1</xdr:row>
                    <xdr:rowOff>114300</xdr:rowOff>
                  </to>
                </anchor>
              </controlPr>
            </control>
          </mc:Choice>
        </mc:AlternateContent>
        <mc:AlternateContent xmlns:mc="http://schemas.openxmlformats.org/markup-compatibility/2006">
          <mc:Choice Requires="x14">
            <control shapeId="20517" r:id="rId20" name="Button 37">
              <controlPr defaultSize="0" print="0" autoFill="0" autoPict="0" macro="[0]!Income_ExpW2_OmitHide">
                <anchor moveWithCells="1" sizeWithCells="1">
                  <from>
                    <xdr:col>0</xdr:col>
                    <xdr:colOff>7620</xdr:colOff>
                    <xdr:row>1</xdr:row>
                    <xdr:rowOff>167640</xdr:rowOff>
                  </from>
                  <to>
                    <xdr:col>1</xdr:col>
                    <xdr:colOff>480060</xdr:colOff>
                    <xdr:row>2</xdr:row>
                    <xdr:rowOff>7620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rgb="FFFFDDAB"/>
  </sheetPr>
  <dimension ref="A2:N68"/>
  <sheetViews>
    <sheetView showGridLines="0" showRowColHeaders="0" showRuler="0" view="pageLayout" zoomScale="90" zoomScaleNormal="90" zoomScalePageLayoutView="90" workbookViewId="0">
      <selection activeCell="C8" sqref="C8:G8"/>
    </sheetView>
  </sheetViews>
  <sheetFormatPr defaultColWidth="9.109375" defaultRowHeight="14.4" x14ac:dyDescent="0.3"/>
  <cols>
    <col min="1" max="1" width="4.88671875" style="15" customWidth="1"/>
    <col min="2" max="2" width="9.109375" customWidth="1"/>
    <col min="3" max="3" width="8.6640625" customWidth="1"/>
    <col min="4" max="4" width="1.33203125" customWidth="1"/>
    <col min="5" max="5" width="15.6640625" customWidth="1"/>
    <col min="6" max="6" width="1.33203125" customWidth="1"/>
    <col min="7" max="7" width="13.33203125" customWidth="1"/>
    <col min="8" max="8" width="1.33203125" customWidth="1"/>
    <col min="9" max="9" width="12.33203125" customWidth="1"/>
    <col min="10" max="10" width="1.33203125" customWidth="1"/>
    <col min="11" max="11" width="17" customWidth="1"/>
    <col min="12" max="12" width="1.33203125" customWidth="1"/>
    <col min="13" max="13" width="13.44140625" customWidth="1"/>
    <col min="14" max="14" width="1.44140625" customWidth="1"/>
  </cols>
  <sheetData>
    <row r="2" spans="1:14" ht="36" customHeight="1" x14ac:dyDescent="0.5">
      <c r="A2" s="1321" t="s">
        <v>77</v>
      </c>
      <c r="B2" s="1321"/>
      <c r="C2" s="1321"/>
      <c r="D2" s="1321"/>
      <c r="E2" s="1321"/>
      <c r="F2" s="1321"/>
      <c r="G2" s="1321"/>
      <c r="H2" s="1321"/>
      <c r="I2" s="1321"/>
      <c r="J2" s="1321"/>
      <c r="K2" s="1321"/>
      <c r="L2" s="1321"/>
      <c r="M2" s="1321"/>
      <c r="N2" s="1321"/>
    </row>
    <row r="3" spans="1:14" ht="23.4" x14ac:dyDescent="0.45">
      <c r="A3" s="1409" t="s">
        <v>133</v>
      </c>
      <c r="B3" s="1409"/>
      <c r="C3" s="1409"/>
      <c r="D3" s="1409"/>
      <c r="E3" s="1409"/>
      <c r="F3" s="1409"/>
      <c r="G3" s="1409"/>
      <c r="H3" s="1409"/>
      <c r="I3" s="1409"/>
      <c r="J3" s="1409"/>
      <c r="K3" s="1409"/>
      <c r="L3" s="1409"/>
      <c r="M3" s="1409"/>
      <c r="N3" s="1409"/>
    </row>
    <row r="4" spans="1:14" ht="8.25" customHeight="1" x14ac:dyDescent="0.3">
      <c r="I4" s="36"/>
      <c r="J4" s="46"/>
      <c r="K4" s="36"/>
      <c r="L4" s="36"/>
      <c r="M4" s="36"/>
      <c r="N4" s="36"/>
    </row>
    <row r="5" spans="1:14" ht="7.5" customHeight="1" x14ac:dyDescent="0.3">
      <c r="A5"/>
      <c r="I5" s="97">
        <v>0.1</v>
      </c>
      <c r="K5" s="36"/>
      <c r="L5" s="36"/>
      <c r="M5" s="36"/>
      <c r="N5" s="46"/>
    </row>
    <row r="6" spans="1:14" ht="15.6" x14ac:dyDescent="0.3">
      <c r="A6"/>
      <c r="C6" s="2"/>
      <c r="D6" s="2"/>
      <c r="E6" s="2"/>
      <c r="F6" s="2"/>
      <c r="G6" s="2"/>
      <c r="H6" s="2"/>
      <c r="I6" s="98">
        <v>0.15</v>
      </c>
      <c r="J6" s="130"/>
      <c r="K6" s="36" t="s">
        <v>92</v>
      </c>
      <c r="L6" s="36"/>
      <c r="N6" s="46"/>
    </row>
    <row r="7" spans="1:14" ht="15.6" x14ac:dyDescent="0.3">
      <c r="A7"/>
      <c r="C7" s="2"/>
      <c r="D7" s="2"/>
      <c r="E7" s="2"/>
      <c r="F7" s="2"/>
      <c r="G7" s="2"/>
      <c r="H7" s="2"/>
      <c r="I7" s="98">
        <v>0.25</v>
      </c>
      <c r="J7" s="130"/>
      <c r="K7" s="36" t="s">
        <v>90</v>
      </c>
      <c r="L7" s="36"/>
      <c r="N7" s="46"/>
    </row>
    <row r="8" spans="1:14" ht="15.6" x14ac:dyDescent="0.3">
      <c r="A8" s="1495" t="s">
        <v>37</v>
      </c>
      <c r="B8" s="1495"/>
      <c r="C8" s="1359"/>
      <c r="D8" s="1359"/>
      <c r="E8" s="1359"/>
      <c r="F8" s="1359"/>
      <c r="G8" s="1359"/>
      <c r="H8" s="10"/>
      <c r="J8" s="130"/>
      <c r="K8" s="36" t="s">
        <v>91</v>
      </c>
      <c r="L8" s="36"/>
      <c r="M8" s="47"/>
      <c r="N8" s="46"/>
    </row>
    <row r="9" spans="1:14" ht="6" customHeight="1" x14ac:dyDescent="0.3">
      <c r="A9" s="481"/>
      <c r="B9" s="481"/>
      <c r="C9" s="66"/>
      <c r="D9" s="66"/>
      <c r="E9" s="66"/>
      <c r="F9" s="66"/>
      <c r="G9" s="66"/>
      <c r="H9" s="2"/>
      <c r="I9" s="46"/>
      <c r="J9" s="130"/>
      <c r="K9" s="36" t="s">
        <v>80</v>
      </c>
      <c r="L9" s="36"/>
      <c r="M9" s="47"/>
      <c r="N9" s="46"/>
    </row>
    <row r="10" spans="1:14" ht="15.6" x14ac:dyDescent="0.3">
      <c r="A10" s="1495" t="s">
        <v>95</v>
      </c>
      <c r="B10" s="1495"/>
      <c r="C10" s="1359"/>
      <c r="D10" s="1359"/>
      <c r="E10" s="1359"/>
      <c r="F10" s="1359"/>
      <c r="G10" s="1359"/>
      <c r="H10" s="10"/>
      <c r="I10" s="46"/>
      <c r="J10" s="130"/>
      <c r="K10" s="36" t="s">
        <v>79</v>
      </c>
      <c r="L10" s="36"/>
      <c r="M10" s="47"/>
      <c r="N10" s="46"/>
    </row>
    <row r="11" spans="1:14" ht="12.75" customHeight="1" x14ac:dyDescent="0.3">
      <c r="A11" s="4"/>
      <c r="B11" s="4"/>
      <c r="C11" s="10"/>
      <c r="D11" s="10"/>
      <c r="E11" s="10"/>
      <c r="F11" s="10"/>
      <c r="G11" s="10"/>
      <c r="H11" s="10"/>
      <c r="I11" s="46"/>
      <c r="J11" s="130"/>
      <c r="L11" s="36"/>
      <c r="M11" s="36"/>
      <c r="N11" s="46"/>
    </row>
    <row r="12" spans="1:14" ht="27" customHeight="1" x14ac:dyDescent="0.3">
      <c r="A12" s="34"/>
      <c r="B12" s="1483" t="s">
        <v>1405</v>
      </c>
      <c r="C12" s="1483"/>
      <c r="D12" s="96"/>
      <c r="E12" s="1173" t="s">
        <v>536</v>
      </c>
      <c r="F12" s="40"/>
      <c r="G12" s="199" t="s">
        <v>1402</v>
      </c>
      <c r="I12" s="39" t="s">
        <v>197</v>
      </c>
      <c r="J12" s="130"/>
      <c r="K12" s="67" t="s">
        <v>88</v>
      </c>
      <c r="M12" s="36"/>
      <c r="N12" s="2"/>
    </row>
    <row r="13" spans="1:14" ht="15.6" x14ac:dyDescent="0.3">
      <c r="A13" s="34"/>
      <c r="B13" s="1484"/>
      <c r="C13" s="1484"/>
      <c r="D13" s="14"/>
      <c r="E13" s="6"/>
      <c r="F13" s="6"/>
      <c r="G13" s="126"/>
      <c r="I13" s="122"/>
      <c r="J13" s="130"/>
      <c r="K13" s="5">
        <f>IF(K56=1,E14,IF(K56=2,E14+I14,IF(K56=3,E14+I14,IF(K56=4,E14+I14))))</f>
        <v>0</v>
      </c>
      <c r="L13" s="2"/>
      <c r="M13" s="231">
        <f>IF(K55=TRUE,0,K13)</f>
        <v>0</v>
      </c>
    </row>
    <row r="14" spans="1:14" s="74" customFormat="1" ht="19.5" customHeight="1" x14ac:dyDescent="0.3">
      <c r="A14" s="99"/>
      <c r="B14" s="1485"/>
      <c r="C14" s="1485"/>
      <c r="D14" s="100"/>
      <c r="E14" s="101">
        <f>IF(M56=1,0,IF(M56=2,(B13*52)/12,IF(M56=3,(B13*26)/12,IF(M56=4,B13*2,IF(M56=5,B13,IF(M56=6,B13/12,0))))))</f>
        <v>0</v>
      </c>
      <c r="F14" s="331"/>
      <c r="G14" s="332">
        <f>E14*G13</f>
        <v>0</v>
      </c>
      <c r="H14" s="334" t="s">
        <v>179</v>
      </c>
      <c r="I14" s="333">
        <f>IF(K56=1,0,IF(K56=2,0.1*G14,IF(K56=3,0.15*G14,IF(K56=4,0.25*G14))))</f>
        <v>0</v>
      </c>
      <c r="J14" s="130"/>
      <c r="K14" s="105"/>
      <c r="L14" s="68"/>
      <c r="M14" s="68"/>
    </row>
    <row r="15" spans="1:14" s="74" customFormat="1" ht="19.5" customHeight="1" x14ac:dyDescent="0.3">
      <c r="A15" s="99"/>
      <c r="B15" s="197"/>
      <c r="C15" s="197"/>
      <c r="D15" s="100"/>
      <c r="E15" s="101"/>
      <c r="F15" s="102"/>
      <c r="G15" s="101"/>
      <c r="H15" s="103"/>
      <c r="I15" s="101"/>
      <c r="J15" s="130"/>
      <c r="K15" s="105"/>
      <c r="L15" s="68"/>
      <c r="M15" s="68"/>
    </row>
    <row r="16" spans="1:14" ht="13.5" customHeight="1" x14ac:dyDescent="0.3">
      <c r="A16" s="34"/>
      <c r="B16" s="34"/>
      <c r="C16" s="1487" t="s">
        <v>1403</v>
      </c>
      <c r="D16" s="1488"/>
      <c r="E16" s="1488"/>
      <c r="F16" s="1488"/>
      <c r="G16" s="1488"/>
      <c r="H16" s="1488"/>
      <c r="I16" s="1488"/>
      <c r="J16" s="1489"/>
      <c r="K16" s="111"/>
      <c r="L16" s="2"/>
      <c r="M16" s="2"/>
    </row>
    <row r="17" spans="1:14" ht="12" customHeight="1" x14ac:dyDescent="0.3">
      <c r="A17" s="34"/>
      <c r="B17" s="6"/>
      <c r="C17" s="1490" t="s">
        <v>1401</v>
      </c>
      <c r="D17" s="1491"/>
      <c r="E17" s="1491"/>
      <c r="F17" s="1491"/>
      <c r="G17" s="1491"/>
      <c r="H17" s="1491"/>
      <c r="I17" s="127"/>
      <c r="J17" s="131"/>
      <c r="K17" s="110"/>
      <c r="L17" s="2"/>
      <c r="M17" s="2"/>
    </row>
    <row r="18" spans="1:14" ht="12" customHeight="1" x14ac:dyDescent="0.3">
      <c r="A18" s="34"/>
      <c r="B18" s="34"/>
      <c r="C18" s="1490" t="s">
        <v>1399</v>
      </c>
      <c r="D18" s="1491"/>
      <c r="E18" s="1491"/>
      <c r="F18" s="1491"/>
      <c r="G18" s="1491"/>
      <c r="H18" s="1491"/>
      <c r="I18" s="127"/>
      <c r="J18" s="131"/>
      <c r="K18" s="109"/>
      <c r="L18" s="2"/>
      <c r="M18" s="2"/>
    </row>
    <row r="19" spans="1:14" ht="13.5" customHeight="1" thickBot="1" x14ac:dyDescent="0.35">
      <c r="A19" s="34"/>
      <c r="B19" s="6"/>
      <c r="C19" s="1492" t="s">
        <v>134</v>
      </c>
      <c r="D19" s="1493"/>
      <c r="E19" s="1493"/>
      <c r="F19" s="1493"/>
      <c r="G19" s="1493"/>
      <c r="H19" s="1493"/>
      <c r="I19" s="112">
        <f>IF(OR(I17="",I18=""),0,(I17-I18)/I17)</f>
        <v>0</v>
      </c>
      <c r="J19" s="131"/>
      <c r="K19" s="110"/>
      <c r="L19" s="2"/>
      <c r="M19" s="2"/>
    </row>
    <row r="20" spans="1:14" ht="3.75" customHeight="1" thickTop="1" x14ac:dyDescent="0.3">
      <c r="A20" s="34"/>
      <c r="B20" s="6"/>
      <c r="C20" s="123"/>
      <c r="D20" s="545"/>
      <c r="E20" s="546"/>
      <c r="F20" s="106"/>
      <c r="G20" s="106"/>
      <c r="H20" s="107"/>
      <c r="I20" s="124"/>
      <c r="J20" s="108"/>
      <c r="K20" s="44"/>
      <c r="L20" s="2"/>
      <c r="M20" s="2"/>
    </row>
    <row r="21" spans="1:14" ht="13.5" customHeight="1" x14ac:dyDescent="0.3">
      <c r="A21" s="34"/>
      <c r="B21" s="34"/>
      <c r="C21" s="10"/>
      <c r="D21" s="10"/>
      <c r="E21" s="10"/>
      <c r="F21" s="10"/>
      <c r="G21" s="10"/>
      <c r="I21" s="10"/>
      <c r="J21" s="2"/>
      <c r="K21" s="2"/>
      <c r="L21" s="2"/>
      <c r="M21" s="2"/>
    </row>
    <row r="22" spans="1:14" ht="13.5" customHeight="1" x14ac:dyDescent="0.3">
      <c r="A22" s="34"/>
      <c r="B22" s="34"/>
      <c r="C22" s="10"/>
      <c r="D22" s="10"/>
      <c r="E22" s="10"/>
      <c r="F22" s="10"/>
      <c r="G22" s="10"/>
      <c r="I22" s="1486" t="s">
        <v>413</v>
      </c>
      <c r="J22" s="1486"/>
      <c r="K22" s="1486"/>
      <c r="L22" s="1486"/>
      <c r="M22" s="1486"/>
    </row>
    <row r="23" spans="1:14" ht="13.5" customHeight="1" x14ac:dyDescent="0.3">
      <c r="A23" s="34"/>
      <c r="B23" s="34"/>
      <c r="C23" s="10"/>
      <c r="D23" s="10"/>
      <c r="E23" s="10"/>
      <c r="F23" s="10"/>
      <c r="G23" s="10"/>
      <c r="I23" s="1486"/>
      <c r="J23" s="1486"/>
      <c r="K23" s="1486"/>
      <c r="L23" s="1486"/>
      <c r="M23" s="1486"/>
    </row>
    <row r="24" spans="1:14" ht="15" customHeight="1" x14ac:dyDescent="0.3">
      <c r="A24" s="1494" t="s">
        <v>1075</v>
      </c>
      <c r="B24" s="1494"/>
      <c r="C24" s="1494"/>
      <c r="D24" s="1494"/>
      <c r="E24" s="1494"/>
      <c r="F24" s="19"/>
      <c r="G24" s="19"/>
      <c r="H24" s="19"/>
      <c r="I24" s="1486"/>
      <c r="J24" s="1486"/>
      <c r="K24" s="1486"/>
      <c r="L24" s="1486"/>
      <c r="M24" s="1486"/>
    </row>
    <row r="25" spans="1:14" ht="14.25" customHeight="1" x14ac:dyDescent="0.3">
      <c r="A25" s="1325"/>
      <c r="B25" s="1325"/>
      <c r="C25" s="1325"/>
      <c r="D25" s="1325"/>
      <c r="E25" s="1325"/>
      <c r="F25" s="1325"/>
      <c r="G25" s="1325"/>
      <c r="H25" s="1325"/>
      <c r="I25" s="1325"/>
      <c r="J25" s="1325"/>
      <c r="K25" s="1325"/>
      <c r="L25" s="1325"/>
      <c r="M25" s="1325"/>
      <c r="N25" s="1325"/>
    </row>
    <row r="26" spans="1:14" ht="14.25" customHeight="1" x14ac:dyDescent="0.3">
      <c r="A26" s="1325"/>
      <c r="B26" s="1325"/>
      <c r="C26" s="1325"/>
      <c r="D26" s="1325"/>
      <c r="E26" s="1325"/>
      <c r="F26" s="1325"/>
      <c r="G26" s="1325"/>
      <c r="H26" s="1325"/>
      <c r="I26" s="1325"/>
      <c r="J26" s="1325"/>
      <c r="K26" s="1325"/>
      <c r="L26" s="1325"/>
      <c r="M26" s="1325"/>
      <c r="N26" s="1325"/>
    </row>
    <row r="27" spans="1:14" ht="14.25" customHeight="1" x14ac:dyDescent="0.3">
      <c r="A27" s="1325"/>
      <c r="B27" s="1325"/>
      <c r="C27" s="1325"/>
      <c r="D27" s="1325"/>
      <c r="E27" s="1325"/>
      <c r="F27" s="1325"/>
      <c r="G27" s="1325"/>
      <c r="H27" s="1325"/>
      <c r="I27" s="1325"/>
      <c r="J27" s="1325"/>
      <c r="K27" s="1325"/>
      <c r="L27" s="1325"/>
      <c r="M27" s="1325"/>
      <c r="N27" s="1325"/>
    </row>
    <row r="28" spans="1:14" ht="64.5" customHeight="1" x14ac:dyDescent="0.3">
      <c r="A28" s="125"/>
      <c r="B28" s="125"/>
      <c r="C28" s="125"/>
      <c r="D28" s="125"/>
      <c r="E28" s="125"/>
      <c r="F28" s="125"/>
      <c r="G28" s="125"/>
      <c r="H28" s="125"/>
      <c r="I28" s="125"/>
      <c r="J28" s="125"/>
      <c r="K28" s="125"/>
      <c r="L28" s="125"/>
      <c r="M28" s="125"/>
      <c r="N28" s="113"/>
    </row>
    <row r="29" spans="1:14" ht="51.75" customHeight="1" x14ac:dyDescent="0.3">
      <c r="A29" s="125"/>
      <c r="B29" s="125"/>
      <c r="C29" s="125"/>
      <c r="D29" s="125"/>
      <c r="E29" s="125"/>
      <c r="F29" s="125"/>
      <c r="G29" s="125"/>
      <c r="H29" s="125"/>
      <c r="I29" s="125"/>
      <c r="J29" s="125"/>
      <c r="K29" s="125"/>
      <c r="L29" s="125"/>
      <c r="M29" s="125"/>
      <c r="N29" s="113"/>
    </row>
    <row r="30" spans="1:14" ht="13.5" customHeight="1" x14ac:dyDescent="0.3">
      <c r="A30" s="125"/>
      <c r="B30" s="125"/>
      <c r="C30" s="125"/>
      <c r="D30" s="125"/>
      <c r="E30" s="125"/>
      <c r="F30" s="125"/>
      <c r="G30" s="125"/>
      <c r="H30" s="125"/>
      <c r="I30" s="128"/>
      <c r="J30" s="128"/>
      <c r="K30" s="128"/>
      <c r="L30" s="128"/>
      <c r="M30" s="128"/>
      <c r="N30" s="129"/>
    </row>
    <row r="31" spans="1:14" ht="14.25" customHeight="1" x14ac:dyDescent="0.3">
      <c r="A31" s="125"/>
      <c r="B31" s="125"/>
      <c r="C31" s="125"/>
      <c r="D31" s="125"/>
      <c r="E31" s="125"/>
      <c r="F31" s="125"/>
      <c r="G31" s="125"/>
      <c r="H31" s="125"/>
      <c r="I31" s="97">
        <v>0.1</v>
      </c>
      <c r="K31" s="128"/>
      <c r="L31" s="128"/>
      <c r="M31" s="128"/>
      <c r="N31" s="129"/>
    </row>
    <row r="32" spans="1:14" ht="15.75" customHeight="1" x14ac:dyDescent="0.3">
      <c r="A32" s="125"/>
      <c r="B32" s="125"/>
      <c r="C32" s="125"/>
      <c r="D32" s="125"/>
      <c r="E32" s="125"/>
      <c r="F32" s="125"/>
      <c r="G32" s="125"/>
      <c r="H32" s="125"/>
      <c r="I32" s="98">
        <v>0.15</v>
      </c>
      <c r="J32" s="128"/>
      <c r="K32" s="36" t="s">
        <v>92</v>
      </c>
      <c r="L32" s="128"/>
      <c r="N32" s="129"/>
    </row>
    <row r="33" spans="1:14" ht="14.25" customHeight="1" x14ac:dyDescent="0.3">
      <c r="A33" s="1496" t="s">
        <v>37</v>
      </c>
      <c r="B33" s="1496"/>
      <c r="C33" s="1497"/>
      <c r="D33" s="1497"/>
      <c r="E33" s="1497"/>
      <c r="F33" s="1497"/>
      <c r="G33" s="1497"/>
      <c r="H33" s="114"/>
      <c r="I33" s="98">
        <v>0.25</v>
      </c>
      <c r="J33" s="46"/>
      <c r="K33" s="36" t="s">
        <v>90</v>
      </c>
      <c r="L33" s="36"/>
      <c r="M33" s="36"/>
      <c r="N33" s="46"/>
    </row>
    <row r="34" spans="1:14" ht="6" customHeight="1" x14ac:dyDescent="0.3">
      <c r="A34" s="547"/>
      <c r="B34" s="547"/>
      <c r="C34" s="115"/>
      <c r="D34" s="115"/>
      <c r="E34" s="115"/>
      <c r="F34" s="115"/>
      <c r="G34" s="115"/>
      <c r="H34" s="45"/>
      <c r="I34" s="46"/>
      <c r="J34" s="46"/>
      <c r="K34" s="36" t="s">
        <v>91</v>
      </c>
      <c r="L34" s="36"/>
      <c r="M34" s="47"/>
      <c r="N34" s="46"/>
    </row>
    <row r="35" spans="1:14" ht="15.6" x14ac:dyDescent="0.3">
      <c r="A35" s="1496" t="s">
        <v>95</v>
      </c>
      <c r="B35" s="1496"/>
      <c r="C35" s="1497"/>
      <c r="D35" s="1497"/>
      <c r="E35" s="1497"/>
      <c r="F35" s="1497"/>
      <c r="G35" s="1497"/>
      <c r="H35" s="114"/>
      <c r="I35" s="46" t="str">
        <f>IF(C35="","",C35)</f>
        <v/>
      </c>
      <c r="J35" s="46"/>
      <c r="K35" s="36" t="s">
        <v>80</v>
      </c>
      <c r="L35" s="36"/>
      <c r="M35" s="47"/>
      <c r="N35" s="46"/>
    </row>
    <row r="36" spans="1:14" ht="12.75" customHeight="1" x14ac:dyDescent="0.3">
      <c r="A36" s="116"/>
      <c r="B36" s="116"/>
      <c r="C36" s="114"/>
      <c r="D36" s="114"/>
      <c r="E36" s="114"/>
      <c r="F36" s="114"/>
      <c r="G36" s="114"/>
      <c r="H36" s="114"/>
      <c r="I36" s="46"/>
      <c r="J36" s="46"/>
      <c r="K36" s="36" t="s">
        <v>79</v>
      </c>
      <c r="L36" s="36"/>
      <c r="M36" s="36"/>
      <c r="N36" s="46"/>
    </row>
    <row r="37" spans="1:14" ht="26.25" customHeight="1" x14ac:dyDescent="0.3">
      <c r="A37" s="117"/>
      <c r="B37" s="1499" t="s">
        <v>1405</v>
      </c>
      <c r="C37" s="1499"/>
      <c r="D37" s="118"/>
      <c r="E37" s="1170" t="s">
        <v>536</v>
      </c>
      <c r="F37" s="119"/>
      <c r="G37" s="199" t="s">
        <v>1402</v>
      </c>
      <c r="H37" s="38"/>
      <c r="I37" s="39" t="s">
        <v>197</v>
      </c>
      <c r="J37" s="45"/>
      <c r="K37" s="120" t="s">
        <v>88</v>
      </c>
      <c r="L37" s="38"/>
      <c r="M37" s="38"/>
      <c r="N37" s="45"/>
    </row>
    <row r="38" spans="1:14" ht="15.6" x14ac:dyDescent="0.3">
      <c r="A38" s="34"/>
      <c r="B38" s="1484"/>
      <c r="C38" s="1484"/>
      <c r="D38" s="14"/>
      <c r="E38" s="6"/>
      <c r="F38" s="6"/>
      <c r="G38" s="126"/>
      <c r="I38" s="122"/>
      <c r="J38" s="2"/>
      <c r="K38" s="5">
        <f>IF(K57=1,E39,IF(K57=2,E39+I39,IF(K57=3,E39+I39,IF(K57=4,E39+I39))))</f>
        <v>0</v>
      </c>
      <c r="L38" s="2"/>
      <c r="M38" s="231">
        <f>IF(M55=TRUE,0,K38)</f>
        <v>0</v>
      </c>
    </row>
    <row r="39" spans="1:14" ht="18.75" customHeight="1" x14ac:dyDescent="0.3">
      <c r="A39" s="99"/>
      <c r="B39" s="1498"/>
      <c r="C39" s="1498"/>
      <c r="D39" s="121"/>
      <c r="E39" s="101">
        <f>IF(M57=1,0,IF(M57=2,(B38*52)/12,IF(M57=3,(B38*26)/12,IF(M57=4,B38*2,IF(M57=5,B38,IF(M57=6,B38/12,0))))))</f>
        <v>0</v>
      </c>
      <c r="F39" s="102"/>
      <c r="G39" s="332">
        <f>E39*G38</f>
        <v>0</v>
      </c>
      <c r="H39" s="334" t="s">
        <v>179</v>
      </c>
      <c r="I39" s="333">
        <f>IF(K57=1,0,IF(K57=2,0.1*G39,IF(K57=3,0.15*G39,IF(K57=4,0.25*G39))))</f>
        <v>0</v>
      </c>
      <c r="J39" s="104"/>
      <c r="K39" s="105"/>
      <c r="L39" s="68"/>
      <c r="M39" s="68"/>
      <c r="N39" s="74"/>
    </row>
    <row r="40" spans="1:14" ht="18.75" customHeight="1" x14ac:dyDescent="0.3">
      <c r="A40" s="99"/>
      <c r="B40" s="198"/>
      <c r="C40" s="198"/>
      <c r="D40" s="121"/>
      <c r="E40" s="101"/>
      <c r="F40" s="102"/>
      <c r="G40" s="101"/>
      <c r="H40" s="103"/>
      <c r="I40" s="101"/>
      <c r="J40" s="104"/>
      <c r="K40" s="105"/>
      <c r="L40" s="68"/>
      <c r="M40" s="68"/>
      <c r="N40" s="74"/>
    </row>
    <row r="41" spans="1:14" ht="13.5" customHeight="1" x14ac:dyDescent="0.3">
      <c r="A41" s="34"/>
      <c r="B41" s="34"/>
      <c r="C41" s="1487" t="s">
        <v>1403</v>
      </c>
      <c r="D41" s="1488"/>
      <c r="E41" s="1488"/>
      <c r="F41" s="1488"/>
      <c r="G41" s="1488"/>
      <c r="H41" s="1488"/>
      <c r="I41" s="1488"/>
      <c r="J41" s="1489"/>
      <c r="K41" s="111"/>
      <c r="L41" s="2"/>
      <c r="M41" s="2"/>
    </row>
    <row r="42" spans="1:14" ht="11.25" customHeight="1" x14ac:dyDescent="0.3">
      <c r="A42" s="34"/>
      <c r="B42" s="6"/>
      <c r="C42" s="1490" t="s">
        <v>1400</v>
      </c>
      <c r="D42" s="1491"/>
      <c r="E42" s="1491"/>
      <c r="F42" s="1491"/>
      <c r="G42" s="1491"/>
      <c r="H42" s="1491"/>
      <c r="I42" s="127"/>
      <c r="J42" s="131"/>
      <c r="K42" s="110"/>
      <c r="L42" s="2"/>
      <c r="M42" s="2"/>
    </row>
    <row r="43" spans="1:14" ht="11.25" customHeight="1" x14ac:dyDescent="0.3">
      <c r="A43" s="34"/>
      <c r="B43" s="34"/>
      <c r="C43" s="1490" t="s">
        <v>1399</v>
      </c>
      <c r="D43" s="1491"/>
      <c r="E43" s="1491"/>
      <c r="F43" s="1491"/>
      <c r="G43" s="1491"/>
      <c r="H43" s="1491"/>
      <c r="I43" s="127"/>
      <c r="J43" s="131"/>
      <c r="K43" s="109"/>
      <c r="L43" s="2"/>
      <c r="M43" s="2"/>
    </row>
    <row r="44" spans="1:14" ht="13.5" customHeight="1" thickBot="1" x14ac:dyDescent="0.35">
      <c r="A44" s="34"/>
      <c r="B44" s="6"/>
      <c r="C44" s="1492" t="s">
        <v>134</v>
      </c>
      <c r="D44" s="1493"/>
      <c r="E44" s="1493"/>
      <c r="F44" s="1493"/>
      <c r="G44" s="1493"/>
      <c r="H44" s="1493"/>
      <c r="I44" s="112">
        <f>IF(OR(I42="",I43=""),0,(I42-I43)/I42)</f>
        <v>0</v>
      </c>
      <c r="J44" s="131"/>
      <c r="K44" s="110"/>
      <c r="L44" s="2"/>
      <c r="M44" s="2"/>
    </row>
    <row r="45" spans="1:14" ht="3.75" customHeight="1" thickTop="1" x14ac:dyDescent="0.3">
      <c r="A45" s="34"/>
      <c r="B45" s="6"/>
      <c r="C45" s="123"/>
      <c r="D45" s="545"/>
      <c r="E45" s="546"/>
      <c r="F45" s="106"/>
      <c r="G45" s="106"/>
      <c r="H45" s="107"/>
      <c r="I45" s="124"/>
      <c r="J45" s="108"/>
      <c r="K45" s="44"/>
      <c r="L45" s="2"/>
      <c r="M45" s="2"/>
    </row>
    <row r="46" spans="1:14" ht="15.6" x14ac:dyDescent="0.3">
      <c r="A46" s="34"/>
      <c r="B46" s="34"/>
      <c r="C46" s="10"/>
      <c r="D46" s="10"/>
      <c r="E46" s="10"/>
      <c r="F46" s="10"/>
      <c r="G46" s="10"/>
      <c r="I46" s="10"/>
      <c r="J46" s="2"/>
      <c r="K46" s="2"/>
      <c r="L46" s="2"/>
      <c r="M46" s="2"/>
    </row>
    <row r="47" spans="1:14" ht="15.6" x14ac:dyDescent="0.3">
      <c r="A47" s="34"/>
      <c r="B47" s="34"/>
      <c r="C47" s="10"/>
      <c r="D47" s="10"/>
      <c r="E47" s="10"/>
      <c r="F47" s="10"/>
      <c r="G47" s="10"/>
      <c r="I47" s="1486" t="s">
        <v>413</v>
      </c>
      <c r="J47" s="1486"/>
      <c r="K47" s="1486"/>
      <c r="L47" s="1486"/>
      <c r="M47" s="1486"/>
    </row>
    <row r="48" spans="1:14" ht="10.5" customHeight="1" x14ac:dyDescent="0.3">
      <c r="A48" s="34"/>
      <c r="B48" s="34"/>
      <c r="C48" s="10"/>
      <c r="D48" s="10"/>
      <c r="E48" s="10"/>
      <c r="F48" s="10"/>
      <c r="G48" s="10"/>
      <c r="I48" s="1486"/>
      <c r="J48" s="1486"/>
      <c r="K48" s="1486"/>
      <c r="L48" s="1486"/>
      <c r="M48" s="1486"/>
    </row>
    <row r="49" spans="1:14" ht="14.4" customHeight="1" x14ac:dyDescent="0.3">
      <c r="A49" s="1494" t="s">
        <v>1077</v>
      </c>
      <c r="B49" s="1494"/>
      <c r="C49" s="1494"/>
      <c r="D49" s="1494"/>
      <c r="E49" s="1494"/>
      <c r="F49" s="19"/>
      <c r="G49" s="19"/>
      <c r="H49" s="19"/>
      <c r="I49" s="1486"/>
      <c r="J49" s="1486"/>
      <c r="K49" s="1486"/>
      <c r="L49" s="1486"/>
      <c r="M49" s="1486"/>
    </row>
    <row r="50" spans="1:14" x14ac:dyDescent="0.3">
      <c r="A50" s="1325"/>
      <c r="B50" s="1325"/>
      <c r="C50" s="1325"/>
      <c r="D50" s="1325"/>
      <c r="E50" s="1325"/>
      <c r="F50" s="1325"/>
      <c r="G50" s="1325"/>
      <c r="H50" s="1325"/>
      <c r="I50" s="1325"/>
      <c r="J50" s="1325"/>
      <c r="K50" s="1325"/>
      <c r="L50" s="1325"/>
      <c r="M50" s="1325"/>
      <c r="N50" s="1325"/>
    </row>
    <row r="51" spans="1:14" x14ac:dyDescent="0.3">
      <c r="A51" s="1325"/>
      <c r="B51" s="1325"/>
      <c r="C51" s="1325"/>
      <c r="D51" s="1325"/>
      <c r="E51" s="1325"/>
      <c r="F51" s="1325"/>
      <c r="G51" s="1325"/>
      <c r="H51" s="1325"/>
      <c r="I51" s="1325"/>
      <c r="J51" s="1325"/>
      <c r="K51" s="1325"/>
      <c r="L51" s="1325"/>
      <c r="M51" s="1325"/>
      <c r="N51" s="1325"/>
    </row>
    <row r="52" spans="1:14" x14ac:dyDescent="0.3">
      <c r="A52" s="1325"/>
      <c r="B52" s="1325"/>
      <c r="C52" s="1325"/>
      <c r="D52" s="1325"/>
      <c r="E52" s="1325"/>
      <c r="F52" s="1325"/>
      <c r="G52" s="1325"/>
      <c r="H52" s="1325"/>
      <c r="I52" s="1325"/>
      <c r="J52" s="1325"/>
      <c r="K52" s="1325"/>
      <c r="L52" s="1325"/>
      <c r="M52" s="1325"/>
      <c r="N52" s="1325"/>
    </row>
    <row r="53" spans="1:14" x14ac:dyDescent="0.3">
      <c r="A53" s="778"/>
    </row>
    <row r="54" spans="1:14" ht="13.8" customHeight="1" x14ac:dyDescent="0.3">
      <c r="A54" s="473"/>
      <c r="B54" s="36"/>
      <c r="C54" s="36"/>
      <c r="D54" s="36"/>
      <c r="E54" s="36"/>
      <c r="F54" s="36"/>
      <c r="G54" s="36"/>
      <c r="H54" s="36"/>
      <c r="I54" s="36"/>
      <c r="J54" s="36"/>
      <c r="K54" s="36"/>
      <c r="L54" s="36"/>
      <c r="M54" s="36"/>
      <c r="N54" s="36"/>
    </row>
    <row r="55" spans="1:14" hidden="1" x14ac:dyDescent="0.3">
      <c r="A55" s="473"/>
      <c r="B55" s="36"/>
      <c r="C55" s="36"/>
      <c r="D55" s="36"/>
      <c r="E55" s="36"/>
      <c r="F55" s="36"/>
      <c r="G55" s="36"/>
      <c r="H55" s="36"/>
      <c r="I55" s="36"/>
      <c r="J55" s="36"/>
      <c r="K55" s="1046" t="b">
        <v>0</v>
      </c>
      <c r="L55" s="36"/>
      <c r="M55" s="1046" t="b">
        <v>0</v>
      </c>
      <c r="N55" s="36"/>
    </row>
    <row r="56" spans="1:14" hidden="1" x14ac:dyDescent="0.3">
      <c r="A56" s="473"/>
      <c r="B56" s="36"/>
      <c r="C56" s="36"/>
      <c r="D56" s="36"/>
      <c r="E56" s="36"/>
      <c r="F56" s="36"/>
      <c r="G56" s="36"/>
      <c r="H56" s="36"/>
      <c r="I56" s="36"/>
      <c r="J56" s="36"/>
      <c r="K56" s="1048">
        <v>1</v>
      </c>
      <c r="L56" s="36"/>
      <c r="M56" s="1050">
        <v>1</v>
      </c>
      <c r="N56" s="36"/>
    </row>
    <row r="57" spans="1:14" hidden="1" x14ac:dyDescent="0.3">
      <c r="A57" s="473"/>
      <c r="B57" s="36"/>
      <c r="C57" s="36"/>
      <c r="D57" s="36"/>
      <c r="E57" s="36"/>
      <c r="F57" s="36"/>
      <c r="G57" s="36"/>
      <c r="H57" s="36"/>
      <c r="I57" s="36"/>
      <c r="J57" s="36"/>
      <c r="K57" s="1049">
        <v>1</v>
      </c>
      <c r="L57" s="36"/>
      <c r="M57" s="1046">
        <v>1</v>
      </c>
      <c r="N57" s="36"/>
    </row>
    <row r="58" spans="1:14" ht="15" customHeight="1" x14ac:dyDescent="0.3">
      <c r="A58" s="1482" t="str">
        <f ca="1">REPLACE(CELL("filename",A58),1,FIND("]",CELL("filename",A58)),"")</f>
        <v>Inc. Exp, Other</v>
      </c>
      <c r="B58" s="1482"/>
      <c r="C58" s="1482"/>
      <c r="D58" s="1482"/>
      <c r="E58" s="36"/>
      <c r="F58" s="36"/>
      <c r="G58" s="36"/>
      <c r="H58" s="36"/>
      <c r="I58" s="36"/>
      <c r="J58" s="38"/>
    </row>
    <row r="67" spans="11:14" x14ac:dyDescent="0.3">
      <c r="K67" s="1235" t="str">
        <f>Version</f>
        <v>Version 2026.1</v>
      </c>
      <c r="L67" s="1235"/>
      <c r="M67" s="1235"/>
      <c r="N67" s="1235"/>
    </row>
    <row r="68" spans="11:14" ht="81" customHeight="1" x14ac:dyDescent="0.3"/>
  </sheetData>
  <sheetProtection algorithmName="SHA-512" hashValue="lzdAlSUIVP9stoVVE4ux26lidDHbo479mJiHq4ew/Ao9nWLDr97/rjasybTNZknTmqo82uGWG39iqs0E+Zf1DA==" saltValue="qfxJZ0R5A1OW3AOixSTssA==" spinCount="100000" sheet="1" objects="1" scenarios="1" selectLockedCells="1"/>
  <mergeCells count="32">
    <mergeCell ref="K67:N67"/>
    <mergeCell ref="A50:N52"/>
    <mergeCell ref="C42:H42"/>
    <mergeCell ref="C43:H43"/>
    <mergeCell ref="C44:H44"/>
    <mergeCell ref="I47:M49"/>
    <mergeCell ref="A49:E49"/>
    <mergeCell ref="C41:J41"/>
    <mergeCell ref="A33:B33"/>
    <mergeCell ref="C33:G33"/>
    <mergeCell ref="A25:N27"/>
    <mergeCell ref="A58:D58"/>
    <mergeCell ref="B39:C39"/>
    <mergeCell ref="B37:C37"/>
    <mergeCell ref="B38:C38"/>
    <mergeCell ref="A35:B35"/>
    <mergeCell ref="C35:G35"/>
    <mergeCell ref="A2:N2"/>
    <mergeCell ref="A3:N3"/>
    <mergeCell ref="A8:B8"/>
    <mergeCell ref="C8:G8"/>
    <mergeCell ref="A10:B10"/>
    <mergeCell ref="C10:G10"/>
    <mergeCell ref="B12:C12"/>
    <mergeCell ref="B13:C13"/>
    <mergeCell ref="B14:C14"/>
    <mergeCell ref="I22:M24"/>
    <mergeCell ref="C16:J16"/>
    <mergeCell ref="C17:H17"/>
    <mergeCell ref="C18:H18"/>
    <mergeCell ref="C19:H19"/>
    <mergeCell ref="A24:E24"/>
  </mergeCells>
  <conditionalFormatting sqref="I20">
    <cfRule type="expression" dxfId="1356" priority="11" stopIfTrue="1">
      <formula>$M$10=2</formula>
    </cfRule>
  </conditionalFormatting>
  <conditionalFormatting sqref="I13 I38">
    <cfRule type="expression" dxfId="1355" priority="70" stopIfTrue="1">
      <formula>$M$56=2</formula>
    </cfRule>
  </conditionalFormatting>
  <conditionalFormatting sqref="K13">
    <cfRule type="expression" dxfId="1354" priority="5">
      <formula>$K$55=TRUE</formula>
    </cfRule>
  </conditionalFormatting>
  <conditionalFormatting sqref="K38">
    <cfRule type="expression" dxfId="1353" priority="4">
      <formula>$M$55=TRUE</formula>
    </cfRule>
  </conditionalFormatting>
  <conditionalFormatting sqref="I47:M49">
    <cfRule type="expression" dxfId="1352" priority="2">
      <formula>AND(A58&lt;&gt;"Inc. Exp, Other",A58&lt;&gt;"Inc. Exp, Other (2)")</formula>
    </cfRule>
  </conditionalFormatting>
  <conditionalFormatting sqref="I22:M24">
    <cfRule type="expression" dxfId="1351" priority="3">
      <formula>AND(A58&lt;&gt;"Inc. Exp, Other",A58&lt;&gt;"Inc. Exp, Other (2)")</formula>
    </cfRule>
  </conditionalFormatting>
  <conditionalFormatting sqref="I45">
    <cfRule type="expression" dxfId="1350" priority="1" stopIfTrue="1">
      <formula>$M$10=2</formula>
    </cfRule>
  </conditionalFormatting>
  <dataValidations disablePrompts="1" count="1">
    <dataValidation type="custom" allowBlank="1" showInputMessage="1" showErrorMessage="1" errorTitle="Incorrect Entry Type" error="A dollar amount should be entered in this field (ex. 25 or 25.50)" sqref="B13:C13 I17:I18 B38:C38 I42:I43" xr:uid="{9F7002AE-3F2A-4F6B-B54D-5921FA05E9EF}">
      <formula1>CELL("format")="C2"</formula1>
    </dataValidation>
  </dataValidations>
  <printOptions horizontalCentered="1"/>
  <pageMargins left="0.25" right="0.25" top="0.25" bottom="0.25" header="0.3" footer="0.3"/>
  <pageSetup paperSize="5" scale="94"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0" r:id="rId4" name="Drop Down 2">
              <controlPr defaultSize="0" autoLine="0" autoPict="0">
                <anchor moveWithCells="1">
                  <from>
                    <xdr:col>8</xdr:col>
                    <xdr:colOff>0</xdr:colOff>
                    <xdr:row>12</xdr:row>
                    <xdr:rowOff>7620</xdr:rowOff>
                  </from>
                  <to>
                    <xdr:col>9</xdr:col>
                    <xdr:colOff>0</xdr:colOff>
                    <xdr:row>12</xdr:row>
                    <xdr:rowOff>190500</xdr:rowOff>
                  </to>
                </anchor>
              </controlPr>
            </control>
          </mc:Choice>
        </mc:AlternateContent>
        <mc:AlternateContent xmlns:mc="http://schemas.openxmlformats.org/markup-compatibility/2006">
          <mc:Choice Requires="x14">
            <control shapeId="43014" r:id="rId5" name="Drop Down 6">
              <controlPr defaultSize="0" autoLine="0" autoPict="0">
                <anchor moveWithCells="1">
                  <from>
                    <xdr:col>4</xdr:col>
                    <xdr:colOff>0</xdr:colOff>
                    <xdr:row>12</xdr:row>
                    <xdr:rowOff>7620</xdr:rowOff>
                  </from>
                  <to>
                    <xdr:col>5</xdr:col>
                    <xdr:colOff>0</xdr:colOff>
                    <xdr:row>13</xdr:row>
                    <xdr:rowOff>0</xdr:rowOff>
                  </to>
                </anchor>
              </controlPr>
            </control>
          </mc:Choice>
        </mc:AlternateContent>
        <mc:AlternateContent xmlns:mc="http://schemas.openxmlformats.org/markup-compatibility/2006">
          <mc:Choice Requires="x14">
            <control shapeId="43021" r:id="rId6" name="Drop Down 13">
              <controlPr defaultSize="0" autoLine="0" autoPict="0">
                <anchor moveWithCells="1">
                  <from>
                    <xdr:col>8</xdr:col>
                    <xdr:colOff>0</xdr:colOff>
                    <xdr:row>37</xdr:row>
                    <xdr:rowOff>0</xdr:rowOff>
                  </from>
                  <to>
                    <xdr:col>9</xdr:col>
                    <xdr:colOff>0</xdr:colOff>
                    <xdr:row>38</xdr:row>
                    <xdr:rowOff>0</xdr:rowOff>
                  </to>
                </anchor>
              </controlPr>
            </control>
          </mc:Choice>
        </mc:AlternateContent>
        <mc:AlternateContent xmlns:mc="http://schemas.openxmlformats.org/markup-compatibility/2006">
          <mc:Choice Requires="x14">
            <control shapeId="43022" r:id="rId7" name="Drop Down 14">
              <controlPr defaultSize="0" autoLine="0" autoPict="0">
                <anchor moveWithCells="1">
                  <from>
                    <xdr:col>4</xdr:col>
                    <xdr:colOff>0</xdr:colOff>
                    <xdr:row>37</xdr:row>
                    <xdr:rowOff>0</xdr:rowOff>
                  </from>
                  <to>
                    <xdr:col>5</xdr:col>
                    <xdr:colOff>0</xdr:colOff>
                    <xdr:row>38</xdr:row>
                    <xdr:rowOff>0</xdr:rowOff>
                  </to>
                </anchor>
              </controlPr>
            </control>
          </mc:Choice>
        </mc:AlternateContent>
        <mc:AlternateContent xmlns:mc="http://schemas.openxmlformats.org/markup-compatibility/2006">
          <mc:Choice Requires="x14">
            <control shapeId="43023" r:id="rId8" name="Check Box 15">
              <controlPr defaultSize="0" autoFill="0" autoLine="0" autoPict="0">
                <anchor moveWithCells="1">
                  <from>
                    <xdr:col>10</xdr:col>
                    <xdr:colOff>0</xdr:colOff>
                    <xdr:row>13</xdr:row>
                    <xdr:rowOff>7620</xdr:rowOff>
                  </from>
                  <to>
                    <xdr:col>11</xdr:col>
                    <xdr:colOff>30480</xdr:colOff>
                    <xdr:row>13</xdr:row>
                    <xdr:rowOff>236220</xdr:rowOff>
                  </to>
                </anchor>
              </controlPr>
            </control>
          </mc:Choice>
        </mc:AlternateContent>
        <mc:AlternateContent xmlns:mc="http://schemas.openxmlformats.org/markup-compatibility/2006">
          <mc:Choice Requires="x14">
            <control shapeId="43024" r:id="rId9" name="Check Box 16">
              <controlPr defaultSize="0" autoFill="0" autoLine="0" autoPict="0">
                <anchor moveWithCells="1">
                  <from>
                    <xdr:col>10</xdr:col>
                    <xdr:colOff>0</xdr:colOff>
                    <xdr:row>38</xdr:row>
                    <xdr:rowOff>7620</xdr:rowOff>
                  </from>
                  <to>
                    <xdr:col>11</xdr:col>
                    <xdr:colOff>30480</xdr:colOff>
                    <xdr:row>39</xdr:row>
                    <xdr:rowOff>0</xdr:rowOff>
                  </to>
                </anchor>
              </controlPr>
            </control>
          </mc:Choice>
        </mc:AlternateContent>
        <mc:AlternateContent xmlns:mc="http://schemas.openxmlformats.org/markup-compatibility/2006">
          <mc:Choice Requires="x14">
            <control shapeId="43033" r:id="rId10" name="Button 25">
              <controlPr defaultSize="0" print="0" autoFill="0" autoPict="0" macro="[0]!IW_Copy">
                <anchor moveWithCells="1" sizeWithCells="1">
                  <from>
                    <xdr:col>1</xdr:col>
                    <xdr:colOff>137160</xdr:colOff>
                    <xdr:row>0</xdr:row>
                    <xdr:rowOff>7620</xdr:rowOff>
                  </from>
                  <to>
                    <xdr:col>1</xdr:col>
                    <xdr:colOff>571500</xdr:colOff>
                    <xdr:row>1</xdr:row>
                    <xdr:rowOff>114300</xdr:rowOff>
                  </to>
                </anchor>
              </controlPr>
            </control>
          </mc:Choice>
        </mc:AlternateContent>
        <mc:AlternateContent xmlns:mc="http://schemas.openxmlformats.org/markup-compatibility/2006">
          <mc:Choice Requires="x14">
            <control shapeId="43034" r:id="rId11" name="Button 26">
              <controlPr defaultSize="0" print="0" autoFill="0" autoPict="0" macro="[0]!IW_Home">
                <anchor moveWithCells="1" sizeWithCells="1">
                  <from>
                    <xdr:col>0</xdr:col>
                    <xdr:colOff>0</xdr:colOff>
                    <xdr:row>0</xdr:row>
                    <xdr:rowOff>7620</xdr:rowOff>
                  </from>
                  <to>
                    <xdr:col>1</xdr:col>
                    <xdr:colOff>83820</xdr:colOff>
                    <xdr:row>1</xdr:row>
                    <xdr:rowOff>114300</xdr:rowOff>
                  </to>
                </anchor>
              </controlPr>
            </control>
          </mc:Choice>
        </mc:AlternateContent>
        <mc:AlternateContent xmlns:mc="http://schemas.openxmlformats.org/markup-compatibility/2006">
          <mc:Choice Requires="x14">
            <control shapeId="43035" r:id="rId12" name="Button 27">
              <controlPr defaultSize="0" print="0" autoFill="0" autoPict="0" macro="[0]!Income_ExpOther_CLear">
                <anchor moveWithCells="1" sizeWithCells="1">
                  <from>
                    <xdr:col>1</xdr:col>
                    <xdr:colOff>632460</xdr:colOff>
                    <xdr:row>0</xdr:row>
                    <xdr:rowOff>7620</xdr:rowOff>
                  </from>
                  <to>
                    <xdr:col>2</xdr:col>
                    <xdr:colOff>411480</xdr:colOff>
                    <xdr:row>1</xdr:row>
                    <xdr:rowOff>114300</xdr:rowOff>
                  </to>
                </anchor>
              </controlPr>
            </control>
          </mc:Choice>
        </mc:AlternateContent>
        <mc:AlternateContent xmlns:mc="http://schemas.openxmlformats.org/markup-compatibility/2006">
          <mc:Choice Requires="x14">
            <control shapeId="43036" r:id="rId13" name="Button 28">
              <controlPr defaultSize="0" print="0" autoFill="0" autoPict="0" macro="[0]!Income_ExpOther_OmitHide">
                <anchor moveWithCells="1" sizeWithCells="1">
                  <from>
                    <xdr:col>0</xdr:col>
                    <xdr:colOff>7620</xdr:colOff>
                    <xdr:row>1</xdr:row>
                    <xdr:rowOff>167640</xdr:rowOff>
                  </from>
                  <to>
                    <xdr:col>1</xdr:col>
                    <xdr:colOff>480060</xdr:colOff>
                    <xdr:row>2</xdr:row>
                    <xdr:rowOff>7620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17650-32A7-405D-B006-326C1BD67FCA}">
  <sheetPr codeName="Sheet37">
    <tabColor rgb="FFFFDDAB"/>
    <pageSetUpPr fitToPage="1"/>
  </sheetPr>
  <dimension ref="A1:X91"/>
  <sheetViews>
    <sheetView showGridLines="0" showRowColHeaders="0" showRuler="0" view="pageLayout" zoomScale="90" zoomScaleNormal="100" zoomScalePageLayoutView="90" workbookViewId="0">
      <selection activeCell="C6" sqref="C6:J6"/>
    </sheetView>
  </sheetViews>
  <sheetFormatPr defaultColWidth="9.109375" defaultRowHeight="14.4" x14ac:dyDescent="0.3"/>
  <cols>
    <col min="1" max="1" width="2.44140625" style="15" customWidth="1"/>
    <col min="3" max="3" width="0.6640625" customWidth="1"/>
    <col min="4" max="4" width="14.109375" customWidth="1"/>
    <col min="5" max="5" width="1.88671875" customWidth="1"/>
    <col min="6" max="6" width="11.109375" customWidth="1"/>
    <col min="7" max="7" width="0.5546875" customWidth="1"/>
    <col min="8" max="8" width="1.88671875" customWidth="1"/>
    <col min="9" max="9" width="4" customWidth="1"/>
    <col min="10" max="10" width="6.44140625" customWidth="1"/>
    <col min="11" max="11" width="1.33203125" customWidth="1"/>
    <col min="12" max="12" width="7.77734375" customWidth="1"/>
    <col min="13" max="13" width="1.21875" customWidth="1"/>
    <col min="14" max="14" width="7.77734375" customWidth="1"/>
    <col min="15" max="15" width="1.33203125" customWidth="1"/>
    <col min="16" max="16" width="7.88671875" customWidth="1"/>
    <col min="17" max="17" width="1.21875" customWidth="1"/>
    <col min="18" max="18" width="7.88671875" customWidth="1"/>
    <col min="19" max="19" width="1.33203125" customWidth="1"/>
    <col min="20" max="20" width="7.88671875" customWidth="1"/>
    <col min="21" max="21" width="1.33203125" customWidth="1"/>
    <col min="22" max="22" width="7.77734375" customWidth="1"/>
    <col min="23" max="23" width="0.88671875" customWidth="1"/>
    <col min="24" max="24" width="4" hidden="1" customWidth="1"/>
    <col min="25" max="25" width="69.33203125" customWidth="1"/>
  </cols>
  <sheetData>
    <row r="1" spans="1:24" x14ac:dyDescent="0.3">
      <c r="T1" s="1500">
        <f>'I&amp;D Worksheet'!J8</f>
        <v>0</v>
      </c>
      <c r="U1" s="1500"/>
      <c r="V1" s="1500"/>
    </row>
    <row r="2" spans="1:24" ht="36" customHeight="1" x14ac:dyDescent="0.5">
      <c r="A2" s="1321" t="s">
        <v>94</v>
      </c>
      <c r="B2" s="1321"/>
      <c r="C2" s="1321"/>
      <c r="D2" s="1321"/>
      <c r="E2" s="1321"/>
      <c r="F2" s="1321"/>
      <c r="G2" s="1321"/>
      <c r="H2" s="1321"/>
      <c r="I2" s="1321"/>
      <c r="J2" s="1321"/>
      <c r="K2" s="1321"/>
      <c r="L2" s="1321"/>
      <c r="M2" s="1321"/>
      <c r="N2" s="1321"/>
      <c r="O2" s="1321"/>
      <c r="P2" s="1321"/>
      <c r="Q2" s="1321"/>
      <c r="R2" s="1321"/>
      <c r="S2" s="1321"/>
      <c r="T2" s="1321"/>
      <c r="U2" s="1321"/>
      <c r="V2" s="1321"/>
      <c r="W2" s="1321"/>
    </row>
    <row r="3" spans="1:24" ht="21" customHeight="1" x14ac:dyDescent="0.45">
      <c r="A3" s="355"/>
      <c r="B3" s="355"/>
      <c r="C3" s="355"/>
      <c r="D3" s="355"/>
      <c r="E3" s="355"/>
      <c r="F3" s="355"/>
      <c r="G3" s="355"/>
      <c r="H3" s="355"/>
      <c r="I3" s="355"/>
      <c r="J3" s="355"/>
      <c r="K3" s="355"/>
      <c r="L3" s="355"/>
      <c r="M3" s="355"/>
      <c r="N3" s="1510" t="s">
        <v>1333</v>
      </c>
      <c r="O3" s="1510"/>
      <c r="P3" s="1510"/>
      <c r="Q3" s="1510"/>
      <c r="R3" s="1510"/>
      <c r="S3" s="1510"/>
      <c r="T3" s="1510"/>
      <c r="U3" s="1510"/>
      <c r="V3" s="1510"/>
      <c r="W3" s="1510"/>
      <c r="X3" s="1510"/>
    </row>
    <row r="4" spans="1:24" ht="8.4" customHeight="1" x14ac:dyDescent="0.3">
      <c r="L4" s="1509">
        <f>IF(T84=TRUE,0,L59)</f>
        <v>0</v>
      </c>
      <c r="M4" s="1509"/>
    </row>
    <row r="5" spans="1:24" ht="21" customHeight="1" x14ac:dyDescent="0.3">
      <c r="A5"/>
      <c r="C5" s="2"/>
      <c r="D5" s="2"/>
      <c r="E5" s="2"/>
      <c r="F5" s="2"/>
      <c r="G5" s="2"/>
      <c r="H5" s="2"/>
      <c r="I5" s="2"/>
      <c r="J5" s="2"/>
      <c r="K5" s="2"/>
      <c r="L5" s="1509">
        <f>IF(T85=TRUE,0,P59)</f>
        <v>0</v>
      </c>
      <c r="M5" s="1509"/>
      <c r="N5" s="1511"/>
      <c r="O5" s="1512"/>
      <c r="P5" s="1512"/>
      <c r="Q5" s="1512"/>
      <c r="R5" s="1512"/>
      <c r="S5" s="1512"/>
      <c r="T5" s="1512"/>
      <c r="U5" s="1512"/>
      <c r="V5" s="1512"/>
      <c r="W5" s="1512"/>
      <c r="X5" s="1512"/>
    </row>
    <row r="6" spans="1:24" ht="15.6" x14ac:dyDescent="0.3">
      <c r="A6" s="1407" t="s">
        <v>37</v>
      </c>
      <c r="B6" s="1407"/>
      <c r="C6" s="1359"/>
      <c r="D6" s="1359"/>
      <c r="E6" s="1359"/>
      <c r="F6" s="1359"/>
      <c r="G6" s="1359"/>
      <c r="H6" s="1359"/>
      <c r="I6" s="1359"/>
      <c r="J6" s="1359"/>
      <c r="K6" s="52"/>
      <c r="L6" s="1509">
        <f>IF(T86=TRUE,0,T59)</f>
        <v>0</v>
      </c>
      <c r="M6" s="1509"/>
      <c r="N6" s="1512"/>
      <c r="O6" s="1512"/>
      <c r="P6" s="1512"/>
      <c r="Q6" s="1512"/>
      <c r="R6" s="1512"/>
      <c r="S6" s="1512"/>
      <c r="T6" s="1512"/>
      <c r="U6" s="1512"/>
      <c r="V6" s="1512"/>
      <c r="W6" s="1512"/>
      <c r="X6" s="1512"/>
    </row>
    <row r="7" spans="1:24" ht="6" customHeight="1" x14ac:dyDescent="0.3">
      <c r="A7"/>
      <c r="C7" s="66"/>
      <c r="D7" s="66"/>
      <c r="E7" s="66"/>
      <c r="F7" s="66"/>
      <c r="G7" s="66"/>
      <c r="H7" s="66"/>
      <c r="I7" s="66"/>
      <c r="J7" s="66"/>
      <c r="K7" s="46"/>
      <c r="L7" s="46"/>
      <c r="M7" s="2"/>
      <c r="N7" s="1512"/>
      <c r="O7" s="1512"/>
      <c r="P7" s="1512"/>
      <c r="Q7" s="1512"/>
      <c r="R7" s="1512"/>
      <c r="S7" s="1512"/>
      <c r="T7" s="1512"/>
      <c r="U7" s="1512"/>
      <c r="V7" s="1512"/>
      <c r="W7" s="1512"/>
      <c r="X7" s="1512"/>
    </row>
    <row r="8" spans="1:24" ht="15.6" x14ac:dyDescent="0.3">
      <c r="A8" s="1407" t="s">
        <v>95</v>
      </c>
      <c r="B8" s="1407"/>
      <c r="C8" s="1359"/>
      <c r="D8" s="1359"/>
      <c r="E8" s="1359"/>
      <c r="F8" s="1359"/>
      <c r="G8" s="1359"/>
      <c r="H8" s="1359"/>
      <c r="I8" s="1359"/>
      <c r="J8" s="1359"/>
      <c r="K8" s="52"/>
      <c r="L8" s="52" t="str">
        <f>IF(C8="","",C8)</f>
        <v/>
      </c>
      <c r="M8" s="2"/>
      <c r="N8" s="1512"/>
      <c r="O8" s="1512"/>
      <c r="P8" s="1512"/>
      <c r="Q8" s="1512"/>
      <c r="R8" s="1512"/>
      <c r="S8" s="1512"/>
      <c r="T8" s="1512"/>
      <c r="U8" s="1512"/>
      <c r="V8" s="1512"/>
      <c r="W8" s="1512"/>
      <c r="X8" s="1512"/>
    </row>
    <row r="9" spans="1:24" ht="21" customHeight="1" x14ac:dyDescent="0.3">
      <c r="A9" s="4"/>
      <c r="B9" s="4"/>
      <c r="C9" s="10"/>
      <c r="D9" s="10"/>
      <c r="E9" s="10"/>
      <c r="F9" s="6"/>
      <c r="G9" s="10"/>
      <c r="H9" s="10"/>
      <c r="I9" s="10"/>
      <c r="J9" s="10"/>
      <c r="K9" s="10"/>
      <c r="L9" s="10"/>
      <c r="M9" s="2"/>
      <c r="N9" s="1512"/>
      <c r="O9" s="1512"/>
      <c r="P9" s="1512"/>
      <c r="Q9" s="1512"/>
      <c r="R9" s="1512"/>
      <c r="S9" s="1512"/>
      <c r="T9" s="1512"/>
      <c r="U9" s="1512"/>
      <c r="V9" s="1512"/>
      <c r="W9" s="1512"/>
      <c r="X9" s="1512"/>
    </row>
    <row r="10" spans="1:24" ht="17.399999999999999" customHeight="1" x14ac:dyDescent="0.3">
      <c r="A10" s="4"/>
      <c r="B10" s="1513" t="s">
        <v>1389</v>
      </c>
      <c r="C10" s="1514"/>
      <c r="D10" s="1514"/>
      <c r="E10" s="1514"/>
      <c r="F10" s="1514"/>
      <c r="G10" s="10"/>
      <c r="H10" s="10"/>
      <c r="I10" s="10"/>
      <c r="J10" s="10"/>
      <c r="K10" s="10"/>
      <c r="L10" s="10"/>
      <c r="M10" s="2"/>
      <c r="N10" s="500"/>
      <c r="O10" s="500"/>
      <c r="P10" s="500"/>
      <c r="Q10" s="500"/>
      <c r="R10" s="500"/>
      <c r="S10" s="500"/>
      <c r="T10" s="500"/>
      <c r="U10" s="500"/>
      <c r="V10" s="500"/>
      <c r="W10" s="45"/>
    </row>
    <row r="11" spans="1:24" ht="18.75" customHeight="1" x14ac:dyDescent="0.3">
      <c r="A11" s="4"/>
      <c r="B11" s="1514"/>
      <c r="C11" s="1514"/>
      <c r="D11" s="1514"/>
      <c r="E11" s="1514"/>
      <c r="F11" s="1514"/>
      <c r="G11" s="538"/>
      <c r="H11" s="538"/>
      <c r="I11" s="10"/>
      <c r="J11" s="10"/>
      <c r="K11" s="10"/>
      <c r="L11" s="1504">
        <v>2026</v>
      </c>
      <c r="M11" s="1504"/>
      <c r="N11" s="1504"/>
      <c r="O11" s="2"/>
      <c r="P11" s="1505">
        <f>L11-1</f>
        <v>2025</v>
      </c>
      <c r="Q11" s="1505"/>
      <c r="R11" s="1505"/>
      <c r="S11" s="36"/>
      <c r="T11" s="1505">
        <f>L11-2</f>
        <v>2024</v>
      </c>
      <c r="U11" s="1505"/>
      <c r="V11" s="1505"/>
      <c r="W11" s="45"/>
    </row>
    <row r="12" spans="1:24" ht="15.6" customHeight="1" x14ac:dyDescent="0.35">
      <c r="A12" s="4"/>
      <c r="B12" s="170"/>
      <c r="C12" s="170"/>
      <c r="D12" s="170"/>
      <c r="E12" s="170"/>
      <c r="F12" s="1506" t="s">
        <v>893</v>
      </c>
      <c r="G12" s="1506"/>
      <c r="H12" s="1506"/>
      <c r="I12" s="1506"/>
      <c r="J12" s="1506"/>
      <c r="K12" s="1506"/>
      <c r="L12" s="526">
        <v>46023</v>
      </c>
      <c r="M12" s="621"/>
      <c r="N12" s="526"/>
      <c r="O12" s="3"/>
      <c r="P12" s="526">
        <v>45658</v>
      </c>
      <c r="Q12" s="509"/>
      <c r="R12" s="526">
        <v>46022</v>
      </c>
      <c r="S12" s="525"/>
      <c r="T12" s="526">
        <v>45292</v>
      </c>
      <c r="U12" s="509"/>
      <c r="V12" s="526">
        <v>45657</v>
      </c>
      <c r="W12" s="45"/>
    </row>
    <row r="13" spans="1:24" ht="12.6" customHeight="1" x14ac:dyDescent="0.3">
      <c r="A13"/>
      <c r="B13" s="173"/>
      <c r="C13" s="173"/>
      <c r="D13" s="173"/>
      <c r="E13" s="173"/>
      <c r="F13" s="173"/>
      <c r="G13" s="538"/>
      <c r="H13" s="538"/>
      <c r="I13" s="10"/>
      <c r="J13" s="806">
        <f>YEAR(L12)</f>
        <v>2026</v>
      </c>
      <c r="K13" s="10"/>
      <c r="L13" s="1507" t="s">
        <v>97</v>
      </c>
      <c r="M13" s="1507"/>
      <c r="N13" s="1507"/>
      <c r="O13" s="2"/>
      <c r="P13" s="1508" t="s">
        <v>97</v>
      </c>
      <c r="Q13" s="1508"/>
      <c r="R13" s="1508"/>
      <c r="S13" s="36"/>
      <c r="T13" s="1508" t="s">
        <v>97</v>
      </c>
      <c r="U13" s="1508"/>
      <c r="V13" s="1508"/>
      <c r="W13" s="45"/>
    </row>
    <row r="14" spans="1:24" ht="15" customHeight="1" x14ac:dyDescent="0.3">
      <c r="A14" s="1515" t="s">
        <v>96</v>
      </c>
      <c r="B14" s="1515"/>
      <c r="C14" s="1515"/>
      <c r="D14" s="1515"/>
      <c r="E14" s="1515"/>
      <c r="F14" s="1515"/>
      <c r="G14" s="1515"/>
      <c r="H14" s="1515"/>
      <c r="I14" s="1515"/>
      <c r="J14" s="10"/>
      <c r="K14" s="10"/>
      <c r="L14" s="1516" t="str">
        <f>IF(OR(L12="",N12=""),"=",CONCATENATE(ROUND(N15,2)," Months"))</f>
        <v>=</v>
      </c>
      <c r="M14" s="1516"/>
      <c r="N14" s="1516"/>
      <c r="O14" s="2"/>
      <c r="P14" s="1516" t="str">
        <f>IF(OR(P12="",R12=""),"=",CONCATENATE(ROUND(R15,2)," Months"))</f>
        <v>12 Months</v>
      </c>
      <c r="Q14" s="1516"/>
      <c r="R14" s="1516"/>
      <c r="S14" s="36"/>
      <c r="T14" s="1516" t="str">
        <f>IF(OR(T12="",V12=""),"=",CONCATENATE(ROUND(V15,2)," Months"))</f>
        <v>12 Months</v>
      </c>
      <c r="U14" s="1516"/>
      <c r="V14" s="1516"/>
      <c r="W14" s="45"/>
    </row>
    <row r="15" spans="1:24" ht="6.6" customHeight="1" x14ac:dyDescent="0.3">
      <c r="A15" s="1515"/>
      <c r="B15" s="1515"/>
      <c r="C15" s="1515"/>
      <c r="D15" s="1515"/>
      <c r="E15" s="1515"/>
      <c r="F15" s="1515"/>
      <c r="G15" s="1515"/>
      <c r="H15" s="1515"/>
      <c r="I15" s="1515"/>
      <c r="J15" s="508"/>
      <c r="K15" s="10"/>
      <c r="L15" s="220">
        <f>YEARFRAC(L12,N12+1,4)</f>
        <v>126</v>
      </c>
      <c r="M15" s="394" t="str">
        <f>IF(OR(L12="",N12=""),"=",(ROUND(N15,2)))</f>
        <v>=</v>
      </c>
      <c r="N15" s="221">
        <f>L15*12</f>
        <v>1512</v>
      </c>
      <c r="O15" s="46">
        <f>IF(AND(L59&lt;&gt;0,T84&lt;&gt;TRUE),M15,0)</f>
        <v>0</v>
      </c>
      <c r="P15" s="220">
        <f>YEARFRAC(P12,R12+1,4)</f>
        <v>1</v>
      </c>
      <c r="Q15" s="394">
        <f>IF(OR(P12="",R12=""),"=",(ROUND(R15,2)))</f>
        <v>12</v>
      </c>
      <c r="R15" s="221">
        <f>P15*12</f>
        <v>12</v>
      </c>
      <c r="S15" s="46">
        <f>IF(AND(P59&lt;&gt;0,T85&lt;&gt;TRUE),Q15,0)</f>
        <v>0</v>
      </c>
      <c r="T15" s="220">
        <f>YEARFRAC(T12,V12+1,4)</f>
        <v>1</v>
      </c>
      <c r="U15" s="394">
        <f>IF(OR(T12="",V12=""),"=",(ROUND(V15,2)))</f>
        <v>12</v>
      </c>
      <c r="V15" s="221">
        <f>T15*12</f>
        <v>12</v>
      </c>
      <c r="W15" s="46">
        <f>IF(AND(T59&lt;&gt;0,T86&lt;&gt;TRUE),U15,0)</f>
        <v>0</v>
      </c>
    </row>
    <row r="16" spans="1:24" ht="15" customHeight="1" x14ac:dyDescent="0.3">
      <c r="A16" s="1515"/>
      <c r="B16" s="1515"/>
      <c r="C16" s="1515"/>
      <c r="D16" s="1515"/>
      <c r="E16" s="1515"/>
      <c r="F16" s="1515"/>
      <c r="G16" s="1515"/>
      <c r="H16" s="1515"/>
      <c r="I16" s="1515"/>
      <c r="L16" s="1517" t="str">
        <f>IF(J13&lt;&gt;L11,"Error: Years don’t match",IF(AND(N12&lt;&gt;"",N12&lt;L12),"Error: &lt; 1 day",IF(AND(M15&gt;12,N12&lt;&gt;""),"Error: &gt; 12 Mo",IF(AND(L59&lt;&gt;0,N12=""),"Enter Date Above",""))))</f>
        <v/>
      </c>
      <c r="M16" s="1517"/>
      <c r="N16" s="1517"/>
      <c r="O16" s="800" t="str">
        <f>IF(L16&lt;&gt;"",1,"")</f>
        <v/>
      </c>
      <c r="P16" s="1517" t="str">
        <f>IF(P11&lt;&gt;(J13-1),"Error: Years don't match",IF(R12&lt;P12,"Error: &lt; 1 day",IF(AND(Q15&gt;12,R12&lt;&gt;""),"Error: &gt; 12 Mo","")))</f>
        <v/>
      </c>
      <c r="Q16" s="1517"/>
      <c r="R16" s="1517"/>
      <c r="S16" s="800" t="str">
        <f>IF(P16&lt;&gt;"",1,"")</f>
        <v/>
      </c>
      <c r="T16" s="1517" t="str">
        <f>IF(T11&lt;&gt;J13-2,"Error: Years don’t match",IF(V12&lt;T12,"Error: &lt; 1 day",IF(AND(U15&gt;12,V12&lt;&gt;""),"Error: &gt; 12 Mo","")))</f>
        <v/>
      </c>
      <c r="U16" s="1517"/>
      <c r="V16" s="1517"/>
      <c r="W16" s="800" t="str">
        <f>IF(T16&lt;&gt;"",1,"")</f>
        <v/>
      </c>
    </row>
    <row r="17" spans="1:23" ht="15.6" x14ac:dyDescent="0.3">
      <c r="A17" s="1501" t="s">
        <v>847</v>
      </c>
      <c r="B17" s="1501"/>
      <c r="C17" s="1501"/>
      <c r="D17" s="1501"/>
      <c r="E17" s="1501"/>
      <c r="F17" s="1501"/>
      <c r="G17" s="1501"/>
      <c r="H17" s="1501"/>
      <c r="I17" s="1501"/>
      <c r="J17" s="10"/>
      <c r="L17" s="1502"/>
      <c r="M17" s="1502"/>
      <c r="N17" s="1502"/>
      <c r="O17" s="6"/>
      <c r="P17" s="1502"/>
      <c r="Q17" s="1502"/>
      <c r="R17" s="1502"/>
      <c r="S17" s="2">
        <f>IF(P61&lt;&gt;0,Q17,0)</f>
        <v>0</v>
      </c>
      <c r="T17" s="1502"/>
      <c r="U17" s="1502"/>
      <c r="V17" s="1502"/>
      <c r="W17" s="2">
        <f>IF(T61&lt;&gt;0,U17,0)</f>
        <v>0</v>
      </c>
    </row>
    <row r="18" spans="1:23" ht="3" customHeight="1" x14ac:dyDescent="0.3">
      <c r="A18" s="34"/>
      <c r="B18" s="168"/>
      <c r="C18" s="91"/>
      <c r="D18" s="91"/>
      <c r="E18" s="91"/>
      <c r="F18" s="91"/>
      <c r="G18" s="91"/>
      <c r="H18" s="91"/>
      <c r="I18" s="91"/>
      <c r="J18" s="10"/>
      <c r="M18" s="10"/>
      <c r="N18" s="2"/>
      <c r="O18" s="2"/>
      <c r="P18" s="42"/>
      <c r="Q18" s="2"/>
      <c r="R18" s="2"/>
      <c r="S18" s="2"/>
      <c r="T18" s="2"/>
      <c r="U18" s="2"/>
      <c r="V18" s="2"/>
    </row>
    <row r="19" spans="1:23" ht="15.6" x14ac:dyDescent="0.3">
      <c r="A19" s="1501" t="s">
        <v>847</v>
      </c>
      <c r="B19" s="1501"/>
      <c r="C19" s="1501"/>
      <c r="D19" s="1501"/>
      <c r="E19" s="1501"/>
      <c r="F19" s="1501"/>
      <c r="G19" s="1501"/>
      <c r="H19" s="1501"/>
      <c r="I19" s="1501"/>
      <c r="J19" s="10"/>
      <c r="L19" s="1502"/>
      <c r="M19" s="1502"/>
      <c r="N19" s="1502"/>
      <c r="O19" s="2"/>
      <c r="P19" s="1502"/>
      <c r="Q19" s="1502"/>
      <c r="R19" s="1502"/>
      <c r="S19" s="2"/>
      <c r="T19" s="1502"/>
      <c r="U19" s="1502"/>
      <c r="V19" s="1502"/>
    </row>
    <row r="20" spans="1:23" ht="3" customHeight="1" x14ac:dyDescent="0.3">
      <c r="A20" s="34"/>
      <c r="B20" s="168"/>
      <c r="C20" s="91"/>
      <c r="D20" s="91"/>
      <c r="E20" s="91"/>
      <c r="F20" s="91"/>
      <c r="G20" s="91"/>
      <c r="H20" s="91"/>
      <c r="I20" s="91"/>
      <c r="J20" s="10"/>
      <c r="M20" s="10"/>
      <c r="N20" s="2"/>
      <c r="O20" s="2"/>
      <c r="P20" s="42"/>
      <c r="Q20" s="2"/>
      <c r="R20" s="2"/>
      <c r="S20" s="2"/>
      <c r="T20" s="2"/>
      <c r="U20" s="2"/>
      <c r="V20" s="2"/>
    </row>
    <row r="21" spans="1:23" ht="15.6" x14ac:dyDescent="0.3">
      <c r="A21" s="1501" t="s">
        <v>847</v>
      </c>
      <c r="B21" s="1501"/>
      <c r="C21" s="1501"/>
      <c r="D21" s="1501"/>
      <c r="E21" s="1501"/>
      <c r="F21" s="1501"/>
      <c r="G21" s="1501"/>
      <c r="H21" s="1501"/>
      <c r="I21" s="1501"/>
      <c r="J21" s="10"/>
      <c r="L21" s="1502"/>
      <c r="M21" s="1502"/>
      <c r="N21" s="1502"/>
      <c r="O21" s="2"/>
      <c r="P21" s="1502"/>
      <c r="Q21" s="1502"/>
      <c r="R21" s="1502"/>
      <c r="S21" s="2"/>
      <c r="T21" s="1502"/>
      <c r="U21" s="1502"/>
      <c r="V21" s="1502"/>
    </row>
    <row r="22" spans="1:23" ht="3" customHeight="1" x14ac:dyDescent="0.3">
      <c r="A22" s="34"/>
      <c r="B22" s="1503"/>
      <c r="C22" s="1503"/>
      <c r="D22" s="1503"/>
      <c r="E22" s="1503"/>
      <c r="F22" s="1503"/>
      <c r="G22" s="1503"/>
      <c r="H22" s="1503"/>
      <c r="I22" s="1503"/>
      <c r="J22" s="10"/>
      <c r="M22" s="10"/>
      <c r="N22" s="2"/>
      <c r="O22" s="2"/>
      <c r="P22" s="2"/>
      <c r="Q22" s="2"/>
      <c r="R22" s="2"/>
      <c r="S22" s="2"/>
      <c r="T22" s="2"/>
      <c r="U22" s="2"/>
      <c r="V22" s="2"/>
    </row>
    <row r="23" spans="1:23" ht="15" customHeight="1" x14ac:dyDescent="0.3">
      <c r="A23" s="1501" t="s">
        <v>847</v>
      </c>
      <c r="B23" s="1501"/>
      <c r="C23" s="1501"/>
      <c r="D23" s="1501"/>
      <c r="E23" s="1501"/>
      <c r="F23" s="1501"/>
      <c r="G23" s="1501"/>
      <c r="H23" s="1501"/>
      <c r="I23" s="1501"/>
      <c r="J23" s="10"/>
      <c r="L23" s="1502"/>
      <c r="M23" s="1502"/>
      <c r="N23" s="1502"/>
      <c r="O23" s="2"/>
      <c r="P23" s="1502"/>
      <c r="Q23" s="1502"/>
      <c r="R23" s="1502"/>
      <c r="S23" s="2"/>
      <c r="T23" s="1502"/>
      <c r="U23" s="1502"/>
      <c r="V23" s="1502"/>
    </row>
    <row r="24" spans="1:23" ht="3" customHeight="1" x14ac:dyDescent="0.3">
      <c r="A24" s="34"/>
      <c r="B24" s="168"/>
      <c r="C24" s="168"/>
      <c r="D24" s="168"/>
      <c r="E24" s="168"/>
      <c r="F24" s="168"/>
      <c r="G24" s="168"/>
      <c r="H24" s="168"/>
      <c r="I24" s="168"/>
      <c r="J24" s="10"/>
      <c r="M24" s="10"/>
      <c r="N24" s="2"/>
      <c r="O24" s="2"/>
      <c r="P24" s="2"/>
      <c r="Q24" s="2"/>
      <c r="R24" s="2"/>
      <c r="S24" s="2"/>
      <c r="T24" s="2"/>
      <c r="U24" s="2"/>
      <c r="V24" s="2"/>
    </row>
    <row r="25" spans="1:23" ht="15.6" x14ac:dyDescent="0.3">
      <c r="A25" s="1501" t="s">
        <v>847</v>
      </c>
      <c r="B25" s="1501"/>
      <c r="C25" s="1501"/>
      <c r="D25" s="1501"/>
      <c r="E25" s="1501"/>
      <c r="F25" s="1501"/>
      <c r="G25" s="1501"/>
      <c r="H25" s="1501"/>
      <c r="I25" s="1501"/>
      <c r="J25" s="166"/>
      <c r="L25" s="1502"/>
      <c r="M25" s="1502"/>
      <c r="N25" s="1502"/>
      <c r="O25" s="2"/>
      <c r="P25" s="1502"/>
      <c r="Q25" s="1502"/>
      <c r="R25" s="1502"/>
      <c r="S25" s="2"/>
      <c r="T25" s="1502"/>
      <c r="U25" s="1502"/>
      <c r="V25" s="1502"/>
    </row>
    <row r="26" spans="1:23" ht="3" customHeight="1" x14ac:dyDescent="0.3">
      <c r="A26" s="34"/>
      <c r="B26" s="168"/>
      <c r="C26" s="91"/>
      <c r="D26" s="91"/>
      <c r="E26" s="91"/>
      <c r="F26" s="91"/>
      <c r="G26" s="91"/>
      <c r="H26" s="91"/>
      <c r="I26" s="91"/>
      <c r="J26" s="10"/>
      <c r="M26" s="10"/>
      <c r="N26" s="2"/>
      <c r="O26" s="2"/>
      <c r="P26" s="42"/>
      <c r="Q26" s="2"/>
      <c r="R26" s="2"/>
      <c r="S26" s="2"/>
      <c r="T26" s="2"/>
      <c r="U26" s="2"/>
      <c r="V26" s="2"/>
    </row>
    <row r="27" spans="1:23" ht="15.6" x14ac:dyDescent="0.3">
      <c r="A27" s="1501" t="s">
        <v>847</v>
      </c>
      <c r="B27" s="1501"/>
      <c r="C27" s="1501"/>
      <c r="D27" s="1501"/>
      <c r="E27" s="1501"/>
      <c r="F27" s="1501"/>
      <c r="G27" s="1501"/>
      <c r="H27" s="1501"/>
      <c r="I27" s="1501"/>
      <c r="J27" s="10"/>
      <c r="L27" s="1502"/>
      <c r="M27" s="1502"/>
      <c r="N27" s="1502"/>
      <c r="O27" s="2"/>
      <c r="P27" s="1502"/>
      <c r="Q27" s="1502"/>
      <c r="R27" s="1502"/>
      <c r="S27" s="2"/>
      <c r="T27" s="1502"/>
      <c r="U27" s="1502"/>
      <c r="V27" s="1502"/>
    </row>
    <row r="28" spans="1:23" ht="3" customHeight="1" x14ac:dyDescent="0.3">
      <c r="A28" s="34"/>
      <c r="B28" s="168"/>
      <c r="C28" s="91"/>
      <c r="D28" s="91"/>
      <c r="E28" s="91"/>
      <c r="F28" s="91"/>
      <c r="G28" s="91"/>
      <c r="H28" s="91"/>
      <c r="I28" s="91"/>
      <c r="J28" s="10"/>
      <c r="M28" s="10"/>
      <c r="N28" s="2"/>
      <c r="O28" s="2"/>
      <c r="P28" s="42"/>
      <c r="Q28" s="2"/>
      <c r="R28" s="2"/>
      <c r="S28" s="2"/>
      <c r="T28" s="2"/>
      <c r="U28" s="2"/>
      <c r="V28" s="2"/>
    </row>
    <row r="29" spans="1:23" ht="15.75" customHeight="1" x14ac:dyDescent="0.3">
      <c r="A29" s="1501" t="s">
        <v>847</v>
      </c>
      <c r="B29" s="1501"/>
      <c r="C29" s="1501"/>
      <c r="D29" s="1501"/>
      <c r="E29" s="1501"/>
      <c r="F29" s="1501"/>
      <c r="G29" s="1501"/>
      <c r="H29" s="1501"/>
      <c r="I29" s="1501"/>
      <c r="J29" s="10"/>
      <c r="L29" s="1502"/>
      <c r="M29" s="1502"/>
      <c r="N29" s="1502"/>
      <c r="O29" s="2"/>
      <c r="P29" s="1502"/>
      <c r="Q29" s="1502"/>
      <c r="R29" s="1502"/>
      <c r="S29" s="2"/>
      <c r="T29" s="1502"/>
      <c r="U29" s="1502"/>
      <c r="V29" s="1502"/>
    </row>
    <row r="30" spans="1:23" ht="3" customHeight="1" x14ac:dyDescent="0.3">
      <c r="A30" s="34"/>
      <c r="B30" s="168"/>
      <c r="C30" s="91"/>
      <c r="D30" s="91"/>
      <c r="E30" s="91"/>
      <c r="F30" s="91"/>
      <c r="G30" s="91"/>
      <c r="H30" s="91"/>
      <c r="I30" s="91"/>
      <c r="J30" s="10"/>
      <c r="L30" s="24"/>
      <c r="M30" s="10"/>
      <c r="N30" s="2"/>
      <c r="O30" s="2"/>
      <c r="P30" s="42"/>
      <c r="Q30" s="2"/>
      <c r="R30" s="2"/>
      <c r="S30" s="2"/>
      <c r="T30" s="2"/>
      <c r="U30" s="2"/>
      <c r="V30" s="2"/>
    </row>
    <row r="31" spans="1:23" ht="15.6" x14ac:dyDescent="0.3">
      <c r="A31" s="1501" t="s">
        <v>847</v>
      </c>
      <c r="B31" s="1501"/>
      <c r="C31" s="1501"/>
      <c r="D31" s="1501"/>
      <c r="E31" s="1501"/>
      <c r="F31" s="1501"/>
      <c r="G31" s="1501"/>
      <c r="H31" s="1501"/>
      <c r="I31" s="1501"/>
      <c r="J31" s="10"/>
      <c r="L31" s="1502"/>
      <c r="M31" s="1502"/>
      <c r="N31" s="1502"/>
      <c r="O31" s="2"/>
      <c r="P31" s="1502"/>
      <c r="Q31" s="1502"/>
      <c r="R31" s="1502"/>
      <c r="S31" s="2"/>
      <c r="T31" s="1502"/>
      <c r="U31" s="1502"/>
      <c r="V31" s="1502"/>
    </row>
    <row r="32" spans="1:23" ht="3" customHeight="1" x14ac:dyDescent="0.3">
      <c r="A32" s="34"/>
      <c r="B32" s="1503"/>
      <c r="C32" s="1503"/>
      <c r="D32" s="1503"/>
      <c r="E32" s="1503"/>
      <c r="F32" s="1503"/>
      <c r="G32" s="1503"/>
      <c r="H32" s="1503"/>
      <c r="I32" s="1503"/>
      <c r="J32" s="10"/>
      <c r="M32" s="10"/>
      <c r="N32" s="2"/>
      <c r="O32" s="2"/>
      <c r="P32" s="2"/>
      <c r="Q32" s="2"/>
      <c r="R32" s="2"/>
      <c r="S32" s="2"/>
      <c r="T32" s="2"/>
      <c r="U32" s="2"/>
      <c r="V32" s="2"/>
    </row>
    <row r="33" spans="1:22" ht="15" customHeight="1" x14ac:dyDescent="0.3">
      <c r="A33" s="1501" t="s">
        <v>847</v>
      </c>
      <c r="B33" s="1501"/>
      <c r="C33" s="1501"/>
      <c r="D33" s="1501"/>
      <c r="E33" s="1501"/>
      <c r="F33" s="1501"/>
      <c r="G33" s="1501"/>
      <c r="H33" s="1501"/>
      <c r="I33" s="1501"/>
      <c r="J33" s="10"/>
      <c r="L33" s="1502"/>
      <c r="M33" s="1502"/>
      <c r="N33" s="1502"/>
      <c r="O33" s="2"/>
      <c r="P33" s="1502"/>
      <c r="Q33" s="1502"/>
      <c r="R33" s="1502"/>
      <c r="S33" s="2"/>
      <c r="T33" s="1502"/>
      <c r="U33" s="1502"/>
      <c r="V33" s="1502"/>
    </row>
    <row r="34" spans="1:22" ht="3" customHeight="1" x14ac:dyDescent="0.3">
      <c r="A34" s="34"/>
      <c r="B34" s="168"/>
      <c r="C34" s="168"/>
      <c r="D34" s="168"/>
      <c r="E34" s="168"/>
      <c r="F34" s="168"/>
      <c r="G34" s="168"/>
      <c r="H34" s="168"/>
      <c r="I34" s="168"/>
      <c r="J34" s="10"/>
      <c r="M34" s="10"/>
      <c r="N34" s="2"/>
      <c r="O34" s="2"/>
      <c r="P34" s="2"/>
      <c r="Q34" s="2"/>
      <c r="R34" s="2"/>
      <c r="S34" s="2"/>
      <c r="T34" s="2"/>
      <c r="U34" s="2"/>
      <c r="V34" s="2"/>
    </row>
    <row r="35" spans="1:22" ht="16.5" customHeight="1" x14ac:dyDescent="0.3">
      <c r="A35" s="1501" t="s">
        <v>847</v>
      </c>
      <c r="B35" s="1501"/>
      <c r="C35" s="1501"/>
      <c r="D35" s="1501"/>
      <c r="E35" s="1501"/>
      <c r="F35" s="1501"/>
      <c r="G35" s="1501"/>
      <c r="H35" s="1501"/>
      <c r="I35" s="1501"/>
      <c r="J35" s="10"/>
      <c r="L35" s="1502"/>
      <c r="M35" s="1502"/>
      <c r="N35" s="1502"/>
      <c r="O35" s="2"/>
      <c r="P35" s="1502"/>
      <c r="Q35" s="1502"/>
      <c r="R35" s="1502"/>
      <c r="S35" s="2"/>
      <c r="T35" s="1502"/>
      <c r="U35" s="1502"/>
      <c r="V35" s="1502"/>
    </row>
    <row r="36" spans="1:22" ht="3" customHeight="1" x14ac:dyDescent="0.3">
      <c r="A36" s="34"/>
      <c r="B36" s="168"/>
      <c r="C36" s="168"/>
      <c r="D36" s="168"/>
      <c r="E36" s="168"/>
      <c r="F36" s="168"/>
      <c r="G36" s="168"/>
      <c r="H36" s="168"/>
      <c r="I36" s="168"/>
      <c r="J36" s="10"/>
      <c r="M36" s="10"/>
      <c r="N36" s="2"/>
      <c r="O36" s="2"/>
      <c r="P36" s="2"/>
      <c r="Q36" s="2"/>
      <c r="R36" s="2"/>
      <c r="S36" s="2"/>
      <c r="T36" s="2"/>
      <c r="U36" s="2"/>
      <c r="V36" s="2"/>
    </row>
    <row r="37" spans="1:22" ht="15.75" customHeight="1" x14ac:dyDescent="0.3">
      <c r="A37" s="1501" t="s">
        <v>847</v>
      </c>
      <c r="B37" s="1501"/>
      <c r="C37" s="1501"/>
      <c r="D37" s="1501"/>
      <c r="E37" s="1501"/>
      <c r="F37" s="1501"/>
      <c r="G37" s="1501"/>
      <c r="H37" s="1501"/>
      <c r="I37" s="1501"/>
      <c r="J37" s="10"/>
      <c r="L37" s="1502"/>
      <c r="M37" s="1502"/>
      <c r="N37" s="1502"/>
      <c r="O37" s="6"/>
      <c r="P37" s="1502"/>
      <c r="Q37" s="1502"/>
      <c r="R37" s="1502"/>
      <c r="S37" s="2"/>
      <c r="T37" s="1502"/>
      <c r="U37" s="1502"/>
      <c r="V37" s="1502"/>
    </row>
    <row r="38" spans="1:22" ht="3" customHeight="1" x14ac:dyDescent="0.3">
      <c r="A38" s="34"/>
      <c r="B38" s="168"/>
      <c r="C38" s="91"/>
      <c r="D38" s="91"/>
      <c r="E38" s="91"/>
      <c r="F38" s="91"/>
      <c r="G38" s="91"/>
      <c r="H38" s="91"/>
      <c r="I38" s="91"/>
      <c r="J38" s="10"/>
      <c r="M38" s="10"/>
      <c r="N38" s="2"/>
      <c r="O38" s="2"/>
      <c r="P38" s="42"/>
      <c r="Q38" s="2"/>
      <c r="R38" s="2"/>
      <c r="S38" s="2"/>
      <c r="T38" s="2"/>
      <c r="U38" s="2"/>
      <c r="V38" s="2"/>
    </row>
    <row r="39" spans="1:22" ht="15.75" customHeight="1" x14ac:dyDescent="0.3">
      <c r="A39" s="1501" t="s">
        <v>847</v>
      </c>
      <c r="B39" s="1501"/>
      <c r="C39" s="1501"/>
      <c r="D39" s="1501"/>
      <c r="E39" s="1501"/>
      <c r="F39" s="1501"/>
      <c r="G39" s="1501"/>
      <c r="H39" s="1501"/>
      <c r="I39" s="1501"/>
      <c r="J39" s="10"/>
      <c r="L39" s="1502"/>
      <c r="M39" s="1502"/>
      <c r="N39" s="1502"/>
      <c r="O39" s="2"/>
      <c r="P39" s="1502"/>
      <c r="Q39" s="1502"/>
      <c r="R39" s="1502"/>
      <c r="S39" s="2"/>
      <c r="T39" s="1502"/>
      <c r="U39" s="1502"/>
      <c r="V39" s="1502"/>
    </row>
    <row r="40" spans="1:22" ht="3" customHeight="1" x14ac:dyDescent="0.3">
      <c r="A40" s="34"/>
      <c r="B40" s="168"/>
      <c r="C40" s="91"/>
      <c r="D40" s="91"/>
      <c r="E40" s="91"/>
      <c r="F40" s="91"/>
      <c r="G40" s="91"/>
      <c r="H40" s="91"/>
      <c r="I40" s="91"/>
      <c r="J40" s="10"/>
      <c r="M40" s="10"/>
      <c r="N40" s="2"/>
      <c r="O40" s="2"/>
      <c r="P40" s="42"/>
      <c r="Q40" s="2"/>
      <c r="R40" s="2"/>
      <c r="S40" s="2"/>
      <c r="T40" s="2"/>
      <c r="U40" s="2"/>
      <c r="V40" s="2"/>
    </row>
    <row r="41" spans="1:22" ht="15.75" customHeight="1" x14ac:dyDescent="0.3">
      <c r="A41" s="1501" t="s">
        <v>847</v>
      </c>
      <c r="B41" s="1501"/>
      <c r="C41" s="1501"/>
      <c r="D41" s="1501"/>
      <c r="E41" s="1501"/>
      <c r="F41" s="1501"/>
      <c r="G41" s="1501"/>
      <c r="H41" s="1501"/>
      <c r="I41" s="1501"/>
      <c r="J41" s="10"/>
      <c r="L41" s="1502"/>
      <c r="M41" s="1502"/>
      <c r="N41" s="1502"/>
      <c r="O41" s="2"/>
      <c r="P41" s="1502"/>
      <c r="Q41" s="1502"/>
      <c r="R41" s="1502"/>
      <c r="S41" s="2"/>
      <c r="T41" s="1502"/>
      <c r="U41" s="1502"/>
      <c r="V41" s="1502"/>
    </row>
    <row r="42" spans="1:22" ht="3" customHeight="1" x14ac:dyDescent="0.3">
      <c r="A42" s="34"/>
      <c r="B42" s="168"/>
      <c r="C42" s="91"/>
      <c r="D42" s="91"/>
      <c r="E42" s="91"/>
      <c r="F42" s="91"/>
      <c r="G42" s="91"/>
      <c r="H42" s="91"/>
      <c r="I42" s="91"/>
      <c r="J42" s="10"/>
      <c r="L42" s="24"/>
      <c r="M42" s="10"/>
      <c r="N42" s="2"/>
      <c r="O42" s="2"/>
      <c r="P42" s="42"/>
      <c r="Q42" s="2"/>
      <c r="R42" s="2"/>
      <c r="S42" s="2"/>
      <c r="T42" s="2"/>
      <c r="U42" s="2"/>
      <c r="V42" s="2"/>
    </row>
    <row r="43" spans="1:22" ht="15.6" x14ac:dyDescent="0.3">
      <c r="A43" s="1501" t="s">
        <v>847</v>
      </c>
      <c r="B43" s="1501"/>
      <c r="C43" s="1501"/>
      <c r="D43" s="1501"/>
      <c r="E43" s="1501"/>
      <c r="F43" s="1501"/>
      <c r="G43" s="1501"/>
      <c r="H43" s="1501"/>
      <c r="I43" s="1501"/>
      <c r="J43" s="10"/>
      <c r="L43" s="1502"/>
      <c r="M43" s="1502"/>
      <c r="N43" s="1502"/>
      <c r="O43" s="2"/>
      <c r="P43" s="1502"/>
      <c r="Q43" s="1502"/>
      <c r="R43" s="1502"/>
      <c r="S43" s="2"/>
      <c r="T43" s="1502"/>
      <c r="U43" s="1502"/>
      <c r="V43" s="1502"/>
    </row>
    <row r="44" spans="1:22" ht="3" customHeight="1" x14ac:dyDescent="0.3">
      <c r="A44" s="34"/>
      <c r="B44" s="1503"/>
      <c r="C44" s="1503"/>
      <c r="D44" s="1503"/>
      <c r="E44" s="1503"/>
      <c r="F44" s="1503"/>
      <c r="G44" s="1503"/>
      <c r="H44" s="1503"/>
      <c r="I44" s="1503"/>
      <c r="J44" s="10"/>
      <c r="M44" s="10"/>
      <c r="N44" s="2"/>
      <c r="O44" s="2"/>
      <c r="P44" s="2"/>
      <c r="Q44" s="2"/>
      <c r="R44" s="2"/>
      <c r="S44" s="2"/>
      <c r="T44" s="2"/>
      <c r="U44" s="2"/>
      <c r="V44" s="2"/>
    </row>
    <row r="45" spans="1:22" ht="15" customHeight="1" x14ac:dyDescent="0.3">
      <c r="A45" s="1501" t="s">
        <v>847</v>
      </c>
      <c r="B45" s="1501"/>
      <c r="C45" s="1501"/>
      <c r="D45" s="1501"/>
      <c r="E45" s="1501"/>
      <c r="F45" s="1501"/>
      <c r="G45" s="1501"/>
      <c r="H45" s="1501"/>
      <c r="I45" s="1501"/>
      <c r="J45" s="10"/>
      <c r="L45" s="1502"/>
      <c r="M45" s="1502"/>
      <c r="N45" s="1502"/>
      <c r="O45" s="2"/>
      <c r="P45" s="1502"/>
      <c r="Q45" s="1502"/>
      <c r="R45" s="1502"/>
      <c r="S45" s="2"/>
      <c r="T45" s="1502"/>
      <c r="U45" s="1502"/>
      <c r="V45" s="1502"/>
    </row>
    <row r="46" spans="1:22" ht="3" customHeight="1" x14ac:dyDescent="0.3">
      <c r="A46" s="34"/>
      <c r="B46" s="168"/>
      <c r="C46" s="168"/>
      <c r="D46" s="168"/>
      <c r="E46" s="168"/>
      <c r="F46" s="168"/>
      <c r="G46" s="168"/>
      <c r="H46" s="168"/>
      <c r="I46" s="168"/>
      <c r="J46" s="10"/>
      <c r="M46" s="10"/>
      <c r="N46" s="2"/>
      <c r="O46" s="2"/>
      <c r="P46" s="2"/>
      <c r="Q46" s="2"/>
      <c r="R46" s="2"/>
      <c r="S46" s="2"/>
      <c r="T46" s="2"/>
      <c r="U46" s="2"/>
      <c r="V46" s="2"/>
    </row>
    <row r="47" spans="1:22" ht="16.5" customHeight="1" x14ac:dyDescent="0.3">
      <c r="A47" s="1501" t="s">
        <v>847</v>
      </c>
      <c r="B47" s="1501"/>
      <c r="C47" s="1501"/>
      <c r="D47" s="1501"/>
      <c r="E47" s="1501"/>
      <c r="F47" s="1501"/>
      <c r="G47" s="1501"/>
      <c r="H47" s="1501"/>
      <c r="I47" s="1501"/>
      <c r="J47" s="10"/>
      <c r="L47" s="1502"/>
      <c r="M47" s="1502"/>
      <c r="N47" s="1502"/>
      <c r="O47" s="2"/>
      <c r="P47" s="1502"/>
      <c r="Q47" s="1502"/>
      <c r="R47" s="1502"/>
      <c r="S47" s="2"/>
      <c r="T47" s="1502"/>
      <c r="U47" s="1502"/>
      <c r="V47" s="1502"/>
    </row>
    <row r="48" spans="1:22" ht="3" customHeight="1" x14ac:dyDescent="0.3">
      <c r="A48" s="34"/>
      <c r="B48" s="168"/>
      <c r="C48" s="91"/>
      <c r="D48" s="91"/>
      <c r="E48" s="91"/>
      <c r="F48" s="91"/>
      <c r="G48" s="91"/>
      <c r="H48" s="91"/>
      <c r="I48" s="91"/>
      <c r="J48" s="10"/>
      <c r="L48" s="24"/>
      <c r="M48" s="10"/>
      <c r="N48" s="2"/>
      <c r="O48" s="2"/>
      <c r="P48" s="42"/>
      <c r="Q48" s="2"/>
      <c r="R48" s="2"/>
      <c r="S48" s="2"/>
      <c r="T48" s="2"/>
      <c r="U48" s="2"/>
      <c r="V48" s="2"/>
    </row>
    <row r="49" spans="1:24" ht="15.6" x14ac:dyDescent="0.3">
      <c r="A49" s="1501" t="s">
        <v>847</v>
      </c>
      <c r="B49" s="1501"/>
      <c r="C49" s="1501"/>
      <c r="D49" s="1501"/>
      <c r="E49" s="1501"/>
      <c r="F49" s="1501"/>
      <c r="G49" s="1501"/>
      <c r="H49" s="1501"/>
      <c r="I49" s="1501"/>
      <c r="J49" s="10"/>
      <c r="L49" s="1502"/>
      <c r="M49" s="1502"/>
      <c r="N49" s="1502"/>
      <c r="O49" s="2"/>
      <c r="P49" s="1502"/>
      <c r="Q49" s="1502"/>
      <c r="R49" s="1502"/>
      <c r="S49" s="2"/>
      <c r="T49" s="1502"/>
      <c r="U49" s="1502"/>
      <c r="V49" s="1502"/>
    </row>
    <row r="50" spans="1:24" ht="3" customHeight="1" x14ac:dyDescent="0.3">
      <c r="A50" s="34"/>
      <c r="B50" s="1503"/>
      <c r="C50" s="1503"/>
      <c r="D50" s="1503"/>
      <c r="E50" s="1503"/>
      <c r="F50" s="1503"/>
      <c r="G50" s="1503"/>
      <c r="H50" s="1503"/>
      <c r="I50" s="1503"/>
      <c r="J50" s="10"/>
      <c r="M50" s="10"/>
      <c r="N50" s="2"/>
      <c r="O50" s="2"/>
      <c r="P50" s="2"/>
      <c r="Q50" s="2"/>
      <c r="R50" s="2"/>
      <c r="S50" s="2"/>
      <c r="T50" s="2"/>
      <c r="U50" s="2"/>
      <c r="V50" s="2"/>
    </row>
    <row r="51" spans="1:24" ht="15" customHeight="1" x14ac:dyDescent="0.3">
      <c r="A51" s="1501" t="s">
        <v>847</v>
      </c>
      <c r="B51" s="1501"/>
      <c r="C51" s="1501"/>
      <c r="D51" s="1501"/>
      <c r="E51" s="1501"/>
      <c r="F51" s="1501"/>
      <c r="G51" s="1501"/>
      <c r="H51" s="1501"/>
      <c r="I51" s="1501"/>
      <c r="J51" s="10"/>
      <c r="L51" s="1502"/>
      <c r="M51" s="1502"/>
      <c r="N51" s="1502"/>
      <c r="O51" s="2"/>
      <c r="P51" s="1502"/>
      <c r="Q51" s="1502"/>
      <c r="R51" s="1502"/>
      <c r="S51" s="2"/>
      <c r="T51" s="1502"/>
      <c r="U51" s="1502"/>
      <c r="V51" s="1502"/>
    </row>
    <row r="52" spans="1:24" ht="3" customHeight="1" x14ac:dyDescent="0.3">
      <c r="A52" s="34"/>
      <c r="B52" s="168"/>
      <c r="C52" s="168"/>
      <c r="D52" s="168"/>
      <c r="E52" s="168"/>
      <c r="F52" s="168"/>
      <c r="G52" s="168"/>
      <c r="H52" s="168"/>
      <c r="I52" s="168"/>
      <c r="J52" s="10"/>
      <c r="M52" s="10"/>
      <c r="N52" s="2"/>
      <c r="O52" s="2"/>
      <c r="P52" s="2"/>
      <c r="Q52" s="2"/>
      <c r="R52" s="2"/>
      <c r="S52" s="2"/>
      <c r="T52" s="2"/>
      <c r="U52" s="2"/>
      <c r="V52" s="2"/>
    </row>
    <row r="53" spans="1:24" ht="16.5" customHeight="1" x14ac:dyDescent="0.3">
      <c r="A53" s="1501" t="s">
        <v>847</v>
      </c>
      <c r="B53" s="1501"/>
      <c r="C53" s="1501"/>
      <c r="D53" s="1501"/>
      <c r="E53" s="1501"/>
      <c r="F53" s="1501"/>
      <c r="G53" s="1501"/>
      <c r="H53" s="1501"/>
      <c r="I53" s="1501"/>
      <c r="J53" s="10"/>
      <c r="L53" s="1502"/>
      <c r="M53" s="1502"/>
      <c r="N53" s="1502"/>
      <c r="O53" s="2"/>
      <c r="P53" s="1502"/>
      <c r="Q53" s="1502"/>
      <c r="R53" s="1502"/>
      <c r="S53" s="2"/>
      <c r="T53" s="1502"/>
      <c r="U53" s="1502"/>
      <c r="V53" s="1502"/>
    </row>
    <row r="54" spans="1:24" ht="3" customHeight="1" x14ac:dyDescent="0.3">
      <c r="A54" s="34"/>
      <c r="B54" s="168"/>
      <c r="C54" s="168"/>
      <c r="D54" s="168"/>
      <c r="E54" s="168"/>
      <c r="F54" s="168"/>
      <c r="G54" s="168"/>
      <c r="H54" s="168"/>
      <c r="I54" s="168"/>
      <c r="J54" s="10"/>
      <c r="M54" s="10"/>
      <c r="N54" s="2"/>
      <c r="O54" s="2"/>
      <c r="P54" s="2"/>
      <c r="Q54" s="2"/>
      <c r="R54" s="2"/>
      <c r="S54" s="2"/>
      <c r="T54" s="2"/>
      <c r="U54" s="2"/>
      <c r="V54" s="2"/>
    </row>
    <row r="55" spans="1:24" ht="15.75" customHeight="1" x14ac:dyDescent="0.3">
      <c r="A55" s="1501" t="s">
        <v>847</v>
      </c>
      <c r="B55" s="1501"/>
      <c r="C55" s="1501"/>
      <c r="D55" s="1501"/>
      <c r="E55" s="1501"/>
      <c r="F55" s="1501"/>
      <c r="G55" s="1501"/>
      <c r="H55" s="1501"/>
      <c r="I55" s="1501"/>
      <c r="J55" s="10"/>
      <c r="L55" s="1502"/>
      <c r="M55" s="1502"/>
      <c r="N55" s="1502"/>
      <c r="O55" s="6"/>
      <c r="P55" s="1502"/>
      <c r="Q55" s="1502"/>
      <c r="R55" s="1502"/>
      <c r="S55" s="2"/>
      <c r="T55" s="1502"/>
      <c r="U55" s="1502"/>
      <c r="V55" s="1502"/>
    </row>
    <row r="56" spans="1:24" ht="3" customHeight="1" x14ac:dyDescent="0.3">
      <c r="A56" s="34"/>
      <c r="B56" s="168"/>
      <c r="C56" s="91"/>
      <c r="D56" s="91"/>
      <c r="E56" s="91"/>
      <c r="F56" s="91"/>
      <c r="G56" s="91"/>
      <c r="H56" s="91"/>
      <c r="I56" s="91"/>
      <c r="J56" s="10"/>
      <c r="M56" s="10"/>
      <c r="N56" s="2"/>
      <c r="O56" s="2"/>
      <c r="P56" s="42"/>
      <c r="Q56" s="2"/>
      <c r="R56" s="2"/>
      <c r="S56" s="2"/>
      <c r="T56" s="2"/>
      <c r="U56" s="2"/>
      <c r="V56" s="2"/>
    </row>
    <row r="57" spans="1:24" ht="15.75" customHeight="1" x14ac:dyDescent="0.3">
      <c r="A57" s="1501" t="s">
        <v>847</v>
      </c>
      <c r="B57" s="1501"/>
      <c r="C57" s="1501"/>
      <c r="D57" s="1501"/>
      <c r="E57" s="1501"/>
      <c r="F57" s="1501"/>
      <c r="G57" s="1501"/>
      <c r="H57" s="1501"/>
      <c r="I57" s="1501"/>
      <c r="J57" s="10"/>
      <c r="L57" s="1502"/>
      <c r="M57" s="1502"/>
      <c r="N57" s="1502"/>
      <c r="O57" s="2"/>
      <c r="P57" s="1502"/>
      <c r="Q57" s="1502"/>
      <c r="R57" s="1502"/>
      <c r="S57" s="2"/>
      <c r="T57" s="1502"/>
      <c r="U57" s="1502"/>
      <c r="V57" s="1502"/>
    </row>
    <row r="58" spans="1:24" ht="6" customHeight="1" x14ac:dyDescent="0.3">
      <c r="A58" s="34"/>
      <c r="B58" s="34"/>
      <c r="C58" s="34"/>
      <c r="D58" s="34"/>
      <c r="E58" s="34"/>
      <c r="F58" s="34"/>
      <c r="G58" s="34"/>
      <c r="H58" s="34"/>
      <c r="I58" s="34"/>
      <c r="J58" s="34"/>
      <c r="K58" s="34"/>
      <c r="L58" s="34"/>
      <c r="M58" s="34"/>
      <c r="N58" s="34"/>
      <c r="O58" s="34"/>
      <c r="P58" s="34"/>
      <c r="Q58" s="34"/>
      <c r="R58" s="34"/>
      <c r="S58" s="34"/>
      <c r="T58" s="34"/>
      <c r="U58" s="34"/>
      <c r="V58" s="34"/>
      <c r="W58" s="34"/>
    </row>
    <row r="59" spans="1:24" s="74" customFormat="1" ht="15.75" customHeight="1" x14ac:dyDescent="0.3">
      <c r="A59" s="1521" t="s">
        <v>98</v>
      </c>
      <c r="B59" s="1521"/>
      <c r="C59" s="99"/>
      <c r="D59" s="99"/>
      <c r="E59" s="99"/>
      <c r="F59" s="99"/>
      <c r="G59" s="99"/>
      <c r="H59" s="99"/>
      <c r="I59" s="99"/>
      <c r="J59" s="99"/>
      <c r="K59" s="99"/>
      <c r="L59" s="1518">
        <f>L17+L19+L21+L23+L25+L27+L29+L31+L33+L35+L37+L39+L41+L43+L45+L47+L49+L51+L53+L55+L57</f>
        <v>0</v>
      </c>
      <c r="M59" s="1518"/>
      <c r="N59" s="1518"/>
      <c r="O59" s="99"/>
      <c r="P59" s="1518">
        <f>P17+P19+P21+P23+P25+P27+P29+P31+P33+P35+P37+P39+P41+P43+P45+P47+P49+P51+P53+P55+P57</f>
        <v>0</v>
      </c>
      <c r="Q59" s="1518"/>
      <c r="R59" s="1518"/>
      <c r="S59" s="99"/>
      <c r="T59" s="1518">
        <f>T17+T19+T21+T23+T25+T27+T29+T31+T33+T35+T37+T39+T41+T43+T45+T47+T49+T51+T53+T55+T57</f>
        <v>0</v>
      </c>
      <c r="U59" s="1518"/>
      <c r="V59" s="1518"/>
      <c r="W59" s="99"/>
    </row>
    <row r="60" spans="1:24" s="421" customFormat="1" ht="9.6" customHeight="1" x14ac:dyDescent="0.3">
      <c r="A60" s="428"/>
      <c r="B60" s="428"/>
      <c r="C60" s="428"/>
      <c r="D60" s="428"/>
      <c r="E60" s="428"/>
      <c r="F60" s="428"/>
      <c r="G60" s="428"/>
      <c r="H60" s="1519" t="s">
        <v>814</v>
      </c>
      <c r="I60" s="1519"/>
      <c r="J60" s="1519"/>
      <c r="K60" s="1519"/>
      <c r="L60" s="1520">
        <f>IF(AND(M15&lt;12,M15&lt;&gt;""),(L59/M15)*12,L59)</f>
        <v>0</v>
      </c>
      <c r="M60" s="1520"/>
      <c r="N60" s="1520"/>
      <c r="O60" s="518"/>
      <c r="P60" s="1520">
        <f>IF(AND(Q15&lt;12,Q15&lt;&gt;""),(P59/Q15)*12,P59)</f>
        <v>0</v>
      </c>
      <c r="Q60" s="1520"/>
      <c r="R60" s="1520"/>
      <c r="S60" s="518"/>
      <c r="T60" s="1520">
        <f>IF(AND(U15&lt;12,U15&lt;&gt;""),(T59/U15)*12,T59)</f>
        <v>0</v>
      </c>
      <c r="U60" s="1520"/>
      <c r="V60" s="1520"/>
      <c r="W60" s="428"/>
    </row>
    <row r="61" spans="1:24" ht="9" customHeight="1" x14ac:dyDescent="0.3">
      <c r="A61" s="34"/>
      <c r="B61" s="1527" t="s">
        <v>104</v>
      </c>
      <c r="C61" s="1527"/>
      <c r="D61" s="1527"/>
      <c r="E61" s="1527"/>
      <c r="F61" s="1527"/>
      <c r="G61" s="1527"/>
      <c r="H61" s="1527"/>
      <c r="I61" s="1527"/>
      <c r="J61" s="1527"/>
      <c r="K61" s="1527"/>
      <c r="L61" s="1528" t="s">
        <v>180</v>
      </c>
      <c r="M61" s="1528"/>
      <c r="N61" s="1528"/>
      <c r="O61" s="34"/>
      <c r="P61" s="1528" t="s">
        <v>180</v>
      </c>
      <c r="Q61" s="1528"/>
      <c r="R61" s="1528"/>
      <c r="S61" s="539"/>
      <c r="T61" s="539" t="s">
        <v>103</v>
      </c>
      <c r="U61" s="539"/>
      <c r="V61" s="539"/>
      <c r="W61" s="539"/>
      <c r="X61" s="539"/>
    </row>
    <row r="62" spans="1:24" ht="9" customHeight="1" x14ac:dyDescent="0.3">
      <c r="A62" s="34"/>
      <c r="B62" s="1527"/>
      <c r="C62" s="1527"/>
      <c r="D62" s="1527"/>
      <c r="E62" s="1527"/>
      <c r="F62" s="1527"/>
      <c r="G62" s="1527"/>
      <c r="H62" s="1527"/>
      <c r="I62" s="1527"/>
      <c r="J62" s="1527"/>
      <c r="K62" s="1527"/>
      <c r="L62" s="1529" t="str">
        <f>CONCATENATE("                 ", L11,)</f>
        <v xml:space="preserve">                 2026</v>
      </c>
      <c r="M62" s="1529"/>
      <c r="N62" s="1529"/>
      <c r="O62" s="34"/>
      <c r="P62" s="1529" t="str">
        <f>CONCATENATE("                 ", P11,)</f>
        <v xml:space="preserve">                 2025</v>
      </c>
      <c r="Q62" s="1529"/>
      <c r="R62" s="1529"/>
      <c r="S62" s="539"/>
      <c r="T62" s="540" t="str">
        <f>CONCATENATE("              ", T11,)</f>
        <v xml:space="preserve">              2024</v>
      </c>
      <c r="U62" s="540"/>
      <c r="V62" s="540"/>
      <c r="W62" s="539"/>
      <c r="X62" s="539"/>
    </row>
    <row r="63" spans="1:24" ht="36" customHeight="1" x14ac:dyDescent="0.3">
      <c r="A63" s="34"/>
      <c r="B63" s="34"/>
      <c r="C63" s="34"/>
      <c r="D63" s="34"/>
      <c r="E63" s="34"/>
      <c r="F63" s="1530" t="str">
        <f>IF(OR(O16=1,S16=1,W16=1),"Error with dates above",IF(AND(F66&lt;&gt;I64,I64&lt;&gt;"",F66&lt;&gt;0),"Caution, Number of Months entered does not match number of months calculated based on Dates Entered.  Correct or explain/justify in notes.",""))</f>
        <v/>
      </c>
      <c r="G63" s="1530"/>
      <c r="H63" s="1530"/>
      <c r="I63" s="1530"/>
      <c r="J63" s="1530"/>
      <c r="K63" s="1530"/>
      <c r="L63" s="1530"/>
      <c r="M63" s="1530"/>
      <c r="N63" s="1530"/>
      <c r="O63" s="34"/>
      <c r="P63" s="1513" t="s">
        <v>992</v>
      </c>
      <c r="Q63" s="1513"/>
      <c r="R63" s="1513"/>
      <c r="S63" s="1513"/>
      <c r="T63" s="1513"/>
      <c r="U63" s="1513"/>
      <c r="V63" s="1513"/>
      <c r="W63" s="34"/>
    </row>
    <row r="64" spans="1:24" ht="18.600000000000001" customHeight="1" x14ac:dyDescent="0.45">
      <c r="A64" s="34"/>
      <c r="B64" s="51" t="s">
        <v>102</v>
      </c>
      <c r="C64" s="1531">
        <f>L4+L5+L6</f>
        <v>0</v>
      </c>
      <c r="D64" s="1531"/>
      <c r="E64" s="1531"/>
      <c r="F64" s="1476" t="s">
        <v>101</v>
      </c>
      <c r="G64" s="1476"/>
      <c r="H64" s="1476"/>
      <c r="I64" s="1532"/>
      <c r="J64" s="1532"/>
      <c r="K64" s="50"/>
      <c r="L64" s="1246" t="s">
        <v>100</v>
      </c>
      <c r="M64" s="1246"/>
      <c r="N64" s="1246"/>
      <c r="O64" s="1531">
        <f>IF(I64&gt;0,C64/I64,0)</f>
        <v>0</v>
      </c>
      <c r="P64" s="1531"/>
      <c r="Q64" s="1531"/>
      <c r="R64" s="1531"/>
      <c r="S64" s="1476" t="s">
        <v>99</v>
      </c>
      <c r="T64" s="1476"/>
      <c r="U64" s="1476"/>
      <c r="V64" s="1476"/>
      <c r="W64" s="34"/>
    </row>
    <row r="65" spans="1:23" ht="25.2" customHeight="1" thickBot="1" x14ac:dyDescent="0.35">
      <c r="A65" s="34"/>
      <c r="B65" s="34"/>
      <c r="C65" s="10"/>
      <c r="D65" s="10"/>
      <c r="E65" s="10"/>
      <c r="F65" s="10"/>
      <c r="G65" s="10"/>
      <c r="H65" s="10"/>
      <c r="I65" s="10"/>
      <c r="J65" s="10"/>
      <c r="K65" s="10"/>
      <c r="L65" s="10"/>
      <c r="M65" s="2"/>
      <c r="N65" s="2"/>
      <c r="O65" s="2"/>
      <c r="P65" s="2"/>
      <c r="Q65" s="2"/>
      <c r="R65" s="2"/>
      <c r="S65" s="2"/>
      <c r="T65" s="72">
        <f>IF(V86=TRUE,0,O64)</f>
        <v>0</v>
      </c>
      <c r="U65" s="72"/>
      <c r="V65" s="72"/>
    </row>
    <row r="66" spans="1:23" ht="15.6" customHeight="1" x14ac:dyDescent="0.3">
      <c r="A66" s="34"/>
      <c r="B66" s="34"/>
      <c r="C66" s="516"/>
      <c r="D66" s="1539" t="s">
        <v>894</v>
      </c>
      <c r="E66" s="1540" t="s">
        <v>179</v>
      </c>
      <c r="F66" s="1541">
        <f>IF(OR(O16=1,S16=1,W16=1),0,ROUND(O15+S15+W15,2))</f>
        <v>0</v>
      </c>
      <c r="G66" s="1542"/>
      <c r="H66" s="1543" t="s">
        <v>815</v>
      </c>
      <c r="I66" s="1544"/>
      <c r="J66" s="1544"/>
      <c r="K66" s="1544"/>
      <c r="L66" s="1533">
        <f>L11</f>
        <v>2026</v>
      </c>
      <c r="M66" s="1534"/>
      <c r="N66" s="1534"/>
      <c r="O66" s="519"/>
      <c r="P66" s="1533">
        <f>P11</f>
        <v>2025</v>
      </c>
      <c r="Q66" s="1534"/>
      <c r="R66" s="1534"/>
      <c r="S66" s="520"/>
      <c r="T66" s="1533">
        <f>T11</f>
        <v>2024</v>
      </c>
      <c r="U66" s="1534"/>
      <c r="V66" s="1536"/>
    </row>
    <row r="67" spans="1:23" ht="15.6" customHeight="1" thickBot="1" x14ac:dyDescent="0.35">
      <c r="A67" s="34"/>
      <c r="B67" s="34"/>
      <c r="C67" s="510"/>
      <c r="D67" s="1539"/>
      <c r="E67" s="1540"/>
      <c r="F67" s="1541"/>
      <c r="G67" s="1542"/>
      <c r="H67" s="1545"/>
      <c r="I67" s="1546"/>
      <c r="J67" s="1546"/>
      <c r="K67" s="1546"/>
      <c r="L67" s="1537">
        <f>L60</f>
        <v>0</v>
      </c>
      <c r="M67" s="1537"/>
      <c r="N67" s="1537"/>
      <c r="O67" s="521"/>
      <c r="P67" s="1537">
        <f>P60</f>
        <v>0</v>
      </c>
      <c r="Q67" s="1537"/>
      <c r="R67" s="1537"/>
      <c r="S67" s="522"/>
      <c r="T67" s="1537">
        <f>T60</f>
        <v>0</v>
      </c>
      <c r="U67" s="1537"/>
      <c r="V67" s="1538"/>
    </row>
    <row r="68" spans="1:23" ht="9.6" customHeight="1" x14ac:dyDescent="0.3">
      <c r="A68" s="34"/>
      <c r="B68" s="34"/>
      <c r="C68" s="114"/>
      <c r="D68" s="511"/>
      <c r="E68" s="165"/>
      <c r="F68" s="511"/>
      <c r="G68" s="511"/>
      <c r="H68" s="512"/>
      <c r="I68" s="515"/>
      <c r="J68" s="515"/>
      <c r="K68" s="515"/>
      <c r="M68" s="2"/>
      <c r="N68" s="2"/>
      <c r="O68" s="2"/>
      <c r="P68" s="2"/>
      <c r="Q68" s="2"/>
      <c r="R68" s="2"/>
      <c r="S68" s="2"/>
      <c r="T68" s="72"/>
      <c r="U68" s="72"/>
      <c r="V68" s="72"/>
    </row>
    <row r="69" spans="1:23" ht="9.6" customHeight="1" x14ac:dyDescent="0.3">
      <c r="A69" s="34"/>
      <c r="B69" s="34"/>
      <c r="C69" s="114"/>
      <c r="D69" s="114"/>
      <c r="E69" s="114"/>
      <c r="F69" s="513"/>
      <c r="G69" s="514"/>
      <c r="H69" s="514"/>
      <c r="I69" s="517"/>
      <c r="J69" s="517"/>
      <c r="K69" s="517"/>
      <c r="L69" s="10"/>
      <c r="M69" s="2"/>
      <c r="N69" s="2"/>
      <c r="O69" s="2"/>
      <c r="P69" s="2"/>
      <c r="Q69" s="2"/>
      <c r="R69" s="2"/>
      <c r="S69" s="2"/>
      <c r="T69" s="72"/>
      <c r="U69" s="72"/>
      <c r="V69" s="72"/>
    </row>
    <row r="70" spans="1:23" ht="15.6" customHeight="1" x14ac:dyDescent="0.3">
      <c r="A70" s="34"/>
      <c r="C70" s="1523" t="str">
        <f>IF(AND(T59&lt;&gt;0,P59&lt;&gt;0),CONCATENATE(T11," - ",P11, ":"),"")</f>
        <v/>
      </c>
      <c r="D70" s="1523"/>
      <c r="E70" s="1523"/>
      <c r="F70" s="1523"/>
      <c r="G70" s="1524" t="str">
        <f>IF(AND(P67&lt;&gt;0,T67&lt;&gt;0,T67&gt;P67),CONCATENATE(ROUND(((T67-P67)/T67)*100,2),"%"," Decline from ",T66," to ",P66),
IF(AND(P67&lt;&gt;0,T67&lt;&gt;0,T67&lt;P67),CONCATENATE(ROUND(((P67-T67)/T67)*100,2),"%"," Increase from ",T66," to ",P66),
IF(AND(P67&lt;&gt;0,T67&lt;&gt;0,T67=P67),"No Change",
"")))</f>
        <v/>
      </c>
      <c r="H70" s="1524"/>
      <c r="I70" s="1524"/>
      <c r="J70" s="1524"/>
      <c r="K70" s="1524"/>
      <c r="L70" s="1524"/>
      <c r="M70" s="1524"/>
      <c r="N70" s="1524"/>
      <c r="O70" s="1524"/>
      <c r="P70" s="1524"/>
      <c r="Q70" s="1524"/>
      <c r="R70" s="1524"/>
      <c r="S70" s="1524"/>
      <c r="T70" s="524"/>
      <c r="U70" s="524"/>
      <c r="V70" s="524"/>
    </row>
    <row r="71" spans="1:23" ht="15.6" customHeight="1" x14ac:dyDescent="0.3">
      <c r="A71" s="34"/>
      <c r="B71" s="523"/>
      <c r="C71" s="1523"/>
      <c r="D71" s="1523"/>
      <c r="E71" s="1523"/>
      <c r="F71" s="1523"/>
      <c r="G71" s="1524"/>
      <c r="H71" s="1524"/>
      <c r="I71" s="1524"/>
      <c r="J71" s="1524"/>
      <c r="K71" s="1524"/>
      <c r="L71" s="1524"/>
      <c r="M71" s="1524"/>
      <c r="N71" s="1524"/>
      <c r="O71" s="1524"/>
      <c r="P71" s="1524"/>
      <c r="Q71" s="1524"/>
      <c r="R71" s="1524"/>
      <c r="S71" s="1524"/>
      <c r="T71" s="524"/>
      <c r="U71" s="524"/>
      <c r="V71" s="524"/>
    </row>
    <row r="72" spans="1:23" ht="15.6" customHeight="1" x14ac:dyDescent="0.3">
      <c r="A72" s="34"/>
      <c r="C72" s="1523" t="str">
        <f>CONCATENATE(P11," - ",L11,":")</f>
        <v>2025 - 2026:</v>
      </c>
      <c r="D72" s="1523"/>
      <c r="E72" s="1523"/>
      <c r="F72" s="1523"/>
      <c r="G72" s="1524" t="str">
        <f>IF(AND(L67&lt;&gt;0,P67&lt;&gt;0,P67&gt;L67),CONCATENATE(ROUND(((P67-L67)/P67)*100,2),"%"," Decline from ",P66," to ",L66),
IF(AND(L67&lt;&gt;0,P67&lt;&gt;0,P67&lt;L67),CONCATENATE(ROUND(((L67-P67)/P67)*100,2),"%"," Increase from ",P66," to ",L66),
IF(AND(L67&lt;&gt;0,P67&lt;&gt;0,P67=L67),"No Change",
"")))</f>
        <v/>
      </c>
      <c r="H72" s="1524"/>
      <c r="I72" s="1524"/>
      <c r="J72" s="1524"/>
      <c r="K72" s="1524"/>
      <c r="L72" s="1524"/>
      <c r="M72" s="1524"/>
      <c r="N72" s="1524"/>
      <c r="O72" s="1524"/>
      <c r="P72" s="1524"/>
      <c r="Q72" s="1524"/>
      <c r="R72" s="1524"/>
      <c r="S72" s="1524"/>
      <c r="T72" s="524"/>
      <c r="U72" s="524"/>
      <c r="V72" s="524"/>
      <c r="W72" s="1525"/>
    </row>
    <row r="73" spans="1:23" ht="15.6" customHeight="1" x14ac:dyDescent="0.3">
      <c r="A73" s="34"/>
      <c r="B73" s="523"/>
      <c r="C73" s="1523"/>
      <c r="D73" s="1523"/>
      <c r="E73" s="1523"/>
      <c r="F73" s="1523"/>
      <c r="G73" s="1524"/>
      <c r="H73" s="1524"/>
      <c r="I73" s="1524"/>
      <c r="J73" s="1524"/>
      <c r="K73" s="1524"/>
      <c r="L73" s="1524"/>
      <c r="M73" s="1524"/>
      <c r="N73" s="1524"/>
      <c r="O73" s="1524"/>
      <c r="P73" s="1524"/>
      <c r="Q73" s="1524"/>
      <c r="R73" s="1524"/>
      <c r="S73" s="1524"/>
      <c r="T73" s="524"/>
      <c r="U73" s="524"/>
      <c r="V73" s="524"/>
      <c r="W73" s="1525"/>
    </row>
    <row r="74" spans="1:23" ht="15.6" customHeight="1" x14ac:dyDescent="0.3">
      <c r="A74" s="34"/>
      <c r="B74" s="1526" t="s">
        <v>1019</v>
      </c>
      <c r="C74" s="1526"/>
      <c r="D74" s="1526"/>
      <c r="E74" s="1526"/>
      <c r="F74" s="1526"/>
      <c r="G74" s="1526"/>
      <c r="H74" s="1526"/>
      <c r="I74" s="1526"/>
      <c r="J74" s="1526"/>
      <c r="K74" s="1526"/>
      <c r="L74" s="1526"/>
      <c r="M74" s="1526"/>
      <c r="N74" s="1526"/>
      <c r="O74" s="1526"/>
      <c r="P74" s="1526"/>
      <c r="Q74" s="1526"/>
      <c r="R74" s="1526"/>
      <c r="S74" s="1526"/>
      <c r="T74" s="1526"/>
      <c r="U74" s="1526"/>
      <c r="V74" s="1526"/>
    </row>
    <row r="75" spans="1:23" ht="9" customHeight="1" x14ac:dyDescent="0.3">
      <c r="A75" s="34"/>
      <c r="B75" s="34"/>
      <c r="C75" s="10"/>
      <c r="D75" s="10"/>
      <c r="E75" s="10"/>
      <c r="F75" s="10"/>
      <c r="G75" s="10"/>
      <c r="H75" s="10"/>
      <c r="I75" s="10"/>
      <c r="J75" s="10"/>
      <c r="K75" s="10"/>
      <c r="L75" s="10"/>
      <c r="M75" s="2"/>
      <c r="N75" s="2"/>
      <c r="O75" s="2"/>
      <c r="P75" s="2"/>
      <c r="Q75" s="2"/>
      <c r="R75" s="2"/>
      <c r="S75" s="2"/>
      <c r="T75" s="2"/>
      <c r="U75" s="2"/>
      <c r="V75" s="2"/>
    </row>
    <row r="76" spans="1:23" ht="10.8" customHeight="1" x14ac:dyDescent="0.3">
      <c r="A76" s="34"/>
      <c r="B76" s="34"/>
      <c r="C76" s="10"/>
      <c r="D76" s="10"/>
      <c r="E76" s="10"/>
      <c r="F76" s="1535" t="s">
        <v>977</v>
      </c>
      <c r="G76" s="1535"/>
      <c r="H76" s="1535"/>
      <c r="I76" s="1535"/>
      <c r="J76" s="1535"/>
      <c r="K76" s="1535"/>
      <c r="L76" s="1535"/>
      <c r="M76" s="1535"/>
      <c r="N76" s="1535"/>
      <c r="O76" s="1535"/>
      <c r="P76" s="1535"/>
      <c r="Q76" s="2"/>
      <c r="R76" s="2"/>
      <c r="S76" s="2"/>
      <c r="T76" s="2"/>
      <c r="U76" s="2"/>
      <c r="V76" s="2"/>
    </row>
    <row r="77" spans="1:23" ht="10.8" customHeight="1" x14ac:dyDescent="0.3">
      <c r="A77" s="34"/>
      <c r="B77" s="34"/>
      <c r="C77" s="10"/>
      <c r="D77" s="10"/>
      <c r="E77" s="10"/>
      <c r="F77" s="1535"/>
      <c r="G77" s="1535"/>
      <c r="H77" s="1535"/>
      <c r="I77" s="1535"/>
      <c r="J77" s="1535"/>
      <c r="K77" s="1535"/>
      <c r="L77" s="1535"/>
      <c r="M77" s="1535"/>
      <c r="N77" s="1535"/>
      <c r="O77" s="1535"/>
      <c r="P77" s="1535"/>
      <c r="Q77" s="2"/>
      <c r="R77" s="2"/>
      <c r="S77" s="2"/>
      <c r="T77" s="2"/>
      <c r="U77" s="2"/>
      <c r="V77" s="2"/>
    </row>
    <row r="78" spans="1:23" ht="10.8" customHeight="1" x14ac:dyDescent="0.3">
      <c r="A78" s="34"/>
      <c r="B78" s="34"/>
      <c r="C78" s="10"/>
      <c r="D78" s="10"/>
      <c r="E78" s="10"/>
      <c r="F78" s="1535"/>
      <c r="G78" s="1535"/>
      <c r="H78" s="1535"/>
      <c r="I78" s="1535"/>
      <c r="J78" s="1535"/>
      <c r="K78" s="1535"/>
      <c r="L78" s="1535"/>
      <c r="M78" s="1535"/>
      <c r="N78" s="1535"/>
      <c r="O78" s="1535"/>
      <c r="P78" s="1535"/>
      <c r="Q78" s="2"/>
      <c r="R78" s="2"/>
      <c r="S78" s="2"/>
      <c r="T78" s="2"/>
      <c r="U78" s="2"/>
      <c r="V78" s="2"/>
    </row>
    <row r="79" spans="1:23" ht="9.6" customHeight="1" x14ac:dyDescent="0.3">
      <c r="A79" s="34"/>
      <c r="B79" s="34"/>
      <c r="C79" s="10"/>
      <c r="D79" s="10"/>
      <c r="E79" s="10"/>
      <c r="G79" s="10"/>
      <c r="H79" s="10"/>
      <c r="L79" s="10"/>
      <c r="M79" s="2"/>
      <c r="N79" s="2"/>
      <c r="O79" s="2"/>
      <c r="P79" s="2"/>
      <c r="Q79" s="2"/>
      <c r="R79" s="2"/>
      <c r="S79" s="2"/>
      <c r="T79" s="2"/>
      <c r="U79" s="2"/>
      <c r="V79" s="2"/>
    </row>
    <row r="80" spans="1:23" ht="15.75" customHeight="1" x14ac:dyDescent="0.3">
      <c r="A80" s="1494" t="s">
        <v>1077</v>
      </c>
      <c r="B80" s="1494"/>
      <c r="C80" s="1494"/>
      <c r="D80" s="1494"/>
      <c r="E80" s="1494"/>
      <c r="F80" s="1494"/>
      <c r="G80" s="19"/>
      <c r="H80" s="19"/>
      <c r="I80" s="19"/>
      <c r="J80" s="19"/>
      <c r="K80" s="19"/>
      <c r="L80" s="19"/>
      <c r="M80" s="19"/>
      <c r="N80" s="19"/>
      <c r="O80" s="19"/>
      <c r="P80" s="19"/>
      <c r="Q80" s="19"/>
      <c r="R80" s="19"/>
      <c r="S80" s="19"/>
      <c r="T80" s="19"/>
      <c r="U80" s="19"/>
      <c r="V80" s="19"/>
    </row>
    <row r="81" spans="1:23" ht="15.75" customHeight="1" x14ac:dyDescent="0.3">
      <c r="A81" s="1325"/>
      <c r="B81" s="1325"/>
      <c r="C81" s="1325"/>
      <c r="D81" s="1325"/>
      <c r="E81" s="1325"/>
      <c r="F81" s="1325"/>
      <c r="G81" s="1325"/>
      <c r="H81" s="1325"/>
      <c r="I81" s="1325"/>
      <c r="J81" s="1325"/>
      <c r="K81" s="1325"/>
      <c r="L81" s="1325"/>
      <c r="M81" s="1325"/>
      <c r="N81" s="1325"/>
      <c r="O81" s="1325"/>
      <c r="P81" s="1325"/>
      <c r="Q81" s="1325"/>
      <c r="R81" s="1325"/>
      <c r="S81" s="1325"/>
      <c r="T81" s="1325"/>
      <c r="U81" s="1325"/>
      <c r="V81" s="1325"/>
      <c r="W81" s="1325"/>
    </row>
    <row r="82" spans="1:23" ht="15.75" customHeight="1" x14ac:dyDescent="0.3">
      <c r="A82" s="1325"/>
      <c r="B82" s="1325"/>
      <c r="C82" s="1325"/>
      <c r="D82" s="1325"/>
      <c r="E82" s="1325"/>
      <c r="F82" s="1325"/>
      <c r="G82" s="1325"/>
      <c r="H82" s="1325"/>
      <c r="I82" s="1325"/>
      <c r="J82" s="1325"/>
      <c r="K82" s="1325"/>
      <c r="L82" s="1325"/>
      <c r="M82" s="1325"/>
      <c r="N82" s="1325"/>
      <c r="O82" s="1325"/>
      <c r="P82" s="1325"/>
      <c r="Q82" s="1325"/>
      <c r="R82" s="1325"/>
      <c r="S82" s="1325"/>
      <c r="T82" s="1325"/>
      <c r="U82" s="1325"/>
      <c r="V82" s="1325"/>
      <c r="W82" s="1325"/>
    </row>
    <row r="83" spans="1:23" ht="15.75" customHeight="1" x14ac:dyDescent="0.3">
      <c r="A83" s="1325"/>
      <c r="B83" s="1325"/>
      <c r="C83" s="1325"/>
      <c r="D83" s="1325"/>
      <c r="E83" s="1325"/>
      <c r="F83" s="1325"/>
      <c r="G83" s="1325"/>
      <c r="H83" s="1325"/>
      <c r="I83" s="1325"/>
      <c r="J83" s="1325"/>
      <c r="K83" s="1325"/>
      <c r="L83" s="1325"/>
      <c r="M83" s="1325"/>
      <c r="N83" s="1325"/>
      <c r="O83" s="1325"/>
      <c r="P83" s="1325"/>
      <c r="Q83" s="1325"/>
      <c r="R83" s="1325"/>
      <c r="S83" s="1325"/>
      <c r="T83" s="1325"/>
      <c r="U83" s="1325"/>
      <c r="V83" s="1325"/>
      <c r="W83" s="1325"/>
    </row>
    <row r="84" spans="1:23" hidden="1" x14ac:dyDescent="0.3">
      <c r="A84" s="778"/>
      <c r="T84" s="1046" t="b">
        <v>0</v>
      </c>
      <c r="U84" s="47"/>
      <c r="V84" s="47"/>
    </row>
    <row r="85" spans="1:23" hidden="1" x14ac:dyDescent="0.3">
      <c r="T85" s="1046" t="b">
        <v>0</v>
      </c>
      <c r="U85" s="47"/>
      <c r="V85" s="47"/>
    </row>
    <row r="86" spans="1:23" ht="15" hidden="1" customHeight="1" x14ac:dyDescent="0.3">
      <c r="T86" s="1046" t="b">
        <v>0</v>
      </c>
      <c r="U86" s="47"/>
      <c r="V86" s="1046" t="b">
        <v>0</v>
      </c>
    </row>
    <row r="87" spans="1:23" hidden="1" x14ac:dyDescent="0.3">
      <c r="A87" s="1522" t="str">
        <f ca="1">REPLACE(CELL("filename",A87),1,FIND("]",CELL("filename",A87)),"")</f>
        <v>Income Averager</v>
      </c>
      <c r="B87" s="1522"/>
      <c r="C87" s="1522"/>
      <c r="D87" s="1522"/>
      <c r="Q87" s="186"/>
      <c r="R87" s="186"/>
    </row>
    <row r="91" spans="1:23" x14ac:dyDescent="0.3">
      <c r="S91" s="1419" t="str">
        <f>Version</f>
        <v>Version 2026.1</v>
      </c>
      <c r="T91" s="1419"/>
      <c r="U91" s="1419"/>
      <c r="V91" s="1419"/>
    </row>
  </sheetData>
  <sheetProtection algorithmName="SHA-512" hashValue="cPPqVtkm8m5X+9cvRp/NBTiP/6MBgPu5DGivnjJFfpX/sBrEhvOE3qgrC4EYHK/l+meHDb3bxtF4U6Ycok1TDQ==" saltValue="cRmaflbESsE2BktVsdkBUw==" spinCount="100000" sheet="1" objects="1" scenarios="1" selectLockedCells="1"/>
  <mergeCells count="156">
    <mergeCell ref="T66:V66"/>
    <mergeCell ref="L67:N67"/>
    <mergeCell ref="P67:R67"/>
    <mergeCell ref="T67:V67"/>
    <mergeCell ref="C70:F71"/>
    <mergeCell ref="G70:S71"/>
    <mergeCell ref="D66:D67"/>
    <mergeCell ref="E66:E67"/>
    <mergeCell ref="F66:G67"/>
    <mergeCell ref="H66:K67"/>
    <mergeCell ref="A87:D87"/>
    <mergeCell ref="S91:V91"/>
    <mergeCell ref="A81:W83"/>
    <mergeCell ref="C72:F73"/>
    <mergeCell ref="G72:S73"/>
    <mergeCell ref="W72:W73"/>
    <mergeCell ref="B74:V74"/>
    <mergeCell ref="S64:V64"/>
    <mergeCell ref="B61:K62"/>
    <mergeCell ref="L61:N61"/>
    <mergeCell ref="P61:R61"/>
    <mergeCell ref="L62:N62"/>
    <mergeCell ref="P62:R62"/>
    <mergeCell ref="F63:N63"/>
    <mergeCell ref="P63:V63"/>
    <mergeCell ref="C64:E64"/>
    <mergeCell ref="F64:H64"/>
    <mergeCell ref="I64:J64"/>
    <mergeCell ref="L64:N64"/>
    <mergeCell ref="O64:R64"/>
    <mergeCell ref="L66:N66"/>
    <mergeCell ref="P66:R66"/>
    <mergeCell ref="F76:P78"/>
    <mergeCell ref="A80:F80"/>
    <mergeCell ref="L59:N59"/>
    <mergeCell ref="P59:R59"/>
    <mergeCell ref="T59:V59"/>
    <mergeCell ref="H60:K60"/>
    <mergeCell ref="L60:N60"/>
    <mergeCell ref="P60:R60"/>
    <mergeCell ref="T60:V60"/>
    <mergeCell ref="A57:I57"/>
    <mergeCell ref="L57:N57"/>
    <mergeCell ref="P57:R57"/>
    <mergeCell ref="T57:V57"/>
    <mergeCell ref="A59:B59"/>
    <mergeCell ref="A53:I53"/>
    <mergeCell ref="L53:N53"/>
    <mergeCell ref="P53:R53"/>
    <mergeCell ref="T53:V53"/>
    <mergeCell ref="A55:I55"/>
    <mergeCell ref="L55:N55"/>
    <mergeCell ref="P55:R55"/>
    <mergeCell ref="T55:V55"/>
    <mergeCell ref="A49:I49"/>
    <mergeCell ref="L49:N49"/>
    <mergeCell ref="P49:R49"/>
    <mergeCell ref="T49:V49"/>
    <mergeCell ref="B50:I50"/>
    <mergeCell ref="A51:I51"/>
    <mergeCell ref="L51:N51"/>
    <mergeCell ref="P51:R51"/>
    <mergeCell ref="T51:V51"/>
    <mergeCell ref="A25:I25"/>
    <mergeCell ref="L25:N25"/>
    <mergeCell ref="P25:R25"/>
    <mergeCell ref="T25:V25"/>
    <mergeCell ref="A27:I27"/>
    <mergeCell ref="L27:N27"/>
    <mergeCell ref="P27:R27"/>
    <mergeCell ref="T27:V27"/>
    <mergeCell ref="A21:I21"/>
    <mergeCell ref="L21:N21"/>
    <mergeCell ref="P21:R21"/>
    <mergeCell ref="T21:V21"/>
    <mergeCell ref="B22:I22"/>
    <mergeCell ref="A23:I23"/>
    <mergeCell ref="L23:N23"/>
    <mergeCell ref="P23:R23"/>
    <mergeCell ref="T23:V23"/>
    <mergeCell ref="A17:I17"/>
    <mergeCell ref="L17:N17"/>
    <mergeCell ref="P17:R17"/>
    <mergeCell ref="T17:V17"/>
    <mergeCell ref="A19:I19"/>
    <mergeCell ref="L19:N19"/>
    <mergeCell ref="P19:R19"/>
    <mergeCell ref="T19:V19"/>
    <mergeCell ref="A14:I16"/>
    <mergeCell ref="L14:N14"/>
    <mergeCell ref="P14:R14"/>
    <mergeCell ref="T14:V14"/>
    <mergeCell ref="L16:N16"/>
    <mergeCell ref="P16:R16"/>
    <mergeCell ref="T16:V16"/>
    <mergeCell ref="L11:N11"/>
    <mergeCell ref="P11:R11"/>
    <mergeCell ref="T11:V11"/>
    <mergeCell ref="F12:K12"/>
    <mergeCell ref="L13:N13"/>
    <mergeCell ref="P13:R13"/>
    <mergeCell ref="T13:V13"/>
    <mergeCell ref="A2:W2"/>
    <mergeCell ref="L4:M4"/>
    <mergeCell ref="L5:M5"/>
    <mergeCell ref="A6:B6"/>
    <mergeCell ref="C6:J6"/>
    <mergeCell ref="L6:M6"/>
    <mergeCell ref="N3:X3"/>
    <mergeCell ref="N5:X9"/>
    <mergeCell ref="A8:B8"/>
    <mergeCell ref="C8:J8"/>
    <mergeCell ref="B10:F11"/>
    <mergeCell ref="A29:I29"/>
    <mergeCell ref="L29:N29"/>
    <mergeCell ref="P29:R29"/>
    <mergeCell ref="T29:V29"/>
    <mergeCell ref="A31:I31"/>
    <mergeCell ref="L31:N31"/>
    <mergeCell ref="P31:R31"/>
    <mergeCell ref="T31:V31"/>
    <mergeCell ref="B32:I32"/>
    <mergeCell ref="P33:R33"/>
    <mergeCell ref="T33:V33"/>
    <mergeCell ref="A35:I35"/>
    <mergeCell ref="L35:N35"/>
    <mergeCell ref="P35:R35"/>
    <mergeCell ref="T35:V35"/>
    <mergeCell ref="A37:I37"/>
    <mergeCell ref="L37:N37"/>
    <mergeCell ref="P37:R37"/>
    <mergeCell ref="T37:V37"/>
    <mergeCell ref="T1:V1"/>
    <mergeCell ref="A47:I47"/>
    <mergeCell ref="L47:N47"/>
    <mergeCell ref="P47:R47"/>
    <mergeCell ref="T47:V47"/>
    <mergeCell ref="A41:I41"/>
    <mergeCell ref="L41:N41"/>
    <mergeCell ref="P41:R41"/>
    <mergeCell ref="T41:V41"/>
    <mergeCell ref="A43:I43"/>
    <mergeCell ref="L43:N43"/>
    <mergeCell ref="P43:R43"/>
    <mergeCell ref="T43:V43"/>
    <mergeCell ref="A39:I39"/>
    <mergeCell ref="L39:N39"/>
    <mergeCell ref="P39:R39"/>
    <mergeCell ref="T39:V39"/>
    <mergeCell ref="B44:I44"/>
    <mergeCell ref="A45:I45"/>
    <mergeCell ref="L45:N45"/>
    <mergeCell ref="P45:R45"/>
    <mergeCell ref="T45:V45"/>
    <mergeCell ref="A33:I33"/>
    <mergeCell ref="L33:N33"/>
  </mergeCells>
  <conditionalFormatting sqref="P17">
    <cfRule type="expression" dxfId="1349" priority="91" stopIfTrue="1">
      <formula>#REF!=2</formula>
    </cfRule>
  </conditionalFormatting>
  <conditionalFormatting sqref="T17">
    <cfRule type="expression" dxfId="1348" priority="90" stopIfTrue="1">
      <formula>#REF!=2</formula>
    </cfRule>
  </conditionalFormatting>
  <conditionalFormatting sqref="P19">
    <cfRule type="expression" dxfId="1347" priority="89" stopIfTrue="1">
      <formula>#REF!=2</formula>
    </cfRule>
  </conditionalFormatting>
  <conditionalFormatting sqref="L25">
    <cfRule type="expression" dxfId="1346" priority="86" stopIfTrue="1">
      <formula>#REF!=2</formula>
    </cfRule>
  </conditionalFormatting>
  <conditionalFormatting sqref="L19">
    <cfRule type="expression" dxfId="1345" priority="87" stopIfTrue="1">
      <formula>#REF!=2</formula>
    </cfRule>
  </conditionalFormatting>
  <conditionalFormatting sqref="L17">
    <cfRule type="expression" dxfId="1344" priority="88" stopIfTrue="1">
      <formula>#REF!=2</formula>
    </cfRule>
  </conditionalFormatting>
  <conditionalFormatting sqref="L27">
    <cfRule type="expression" dxfId="1343" priority="85" stopIfTrue="1">
      <formula>#REF!=2</formula>
    </cfRule>
  </conditionalFormatting>
  <conditionalFormatting sqref="L49">
    <cfRule type="expression" dxfId="1342" priority="84" stopIfTrue="1">
      <formula>#REF!=2</formula>
    </cfRule>
  </conditionalFormatting>
  <conditionalFormatting sqref="L55">
    <cfRule type="expression" dxfId="1341" priority="83" stopIfTrue="1">
      <formula>#REF!=2</formula>
    </cfRule>
  </conditionalFormatting>
  <conditionalFormatting sqref="L57">
    <cfRule type="expression" dxfId="1340" priority="82" stopIfTrue="1">
      <formula>#REF!=2</formula>
    </cfRule>
  </conditionalFormatting>
  <conditionalFormatting sqref="P27">
    <cfRule type="expression" dxfId="1339" priority="81" stopIfTrue="1">
      <formula>#REF!=2</formula>
    </cfRule>
  </conditionalFormatting>
  <conditionalFormatting sqref="P49">
    <cfRule type="expression" dxfId="1338" priority="80" stopIfTrue="1">
      <formula>#REF!=2</formula>
    </cfRule>
  </conditionalFormatting>
  <conditionalFormatting sqref="P55">
    <cfRule type="expression" dxfId="1337" priority="79" stopIfTrue="1">
      <formula>#REF!=2</formula>
    </cfRule>
  </conditionalFormatting>
  <conditionalFormatting sqref="P57">
    <cfRule type="expression" dxfId="1336" priority="78" stopIfTrue="1">
      <formula>#REF!=2</formula>
    </cfRule>
  </conditionalFormatting>
  <conditionalFormatting sqref="L21">
    <cfRule type="expression" dxfId="1335" priority="70" stopIfTrue="1">
      <formula>#REF!=2</formula>
    </cfRule>
  </conditionalFormatting>
  <conditionalFormatting sqref="L47">
    <cfRule type="expression" dxfId="1334" priority="77" stopIfTrue="1">
      <formula>#REF!=2</formula>
    </cfRule>
  </conditionalFormatting>
  <conditionalFormatting sqref="P47">
    <cfRule type="expression" dxfId="1333" priority="76" stopIfTrue="1">
      <formula>#REF!=2</formula>
    </cfRule>
  </conditionalFormatting>
  <conditionalFormatting sqref="L53">
    <cfRule type="expression" dxfId="1332" priority="75" stopIfTrue="1">
      <formula>#REF!=2</formula>
    </cfRule>
  </conditionalFormatting>
  <conditionalFormatting sqref="P53">
    <cfRule type="expression" dxfId="1331" priority="74" stopIfTrue="1">
      <formula>#REF!=2</formula>
    </cfRule>
  </conditionalFormatting>
  <conditionalFormatting sqref="L51">
    <cfRule type="expression" dxfId="1330" priority="73" stopIfTrue="1">
      <formula>#REF!=2</formula>
    </cfRule>
  </conditionalFormatting>
  <conditionalFormatting sqref="P51">
    <cfRule type="expression" dxfId="1329" priority="72" stopIfTrue="1">
      <formula>#REF!=2</formula>
    </cfRule>
  </conditionalFormatting>
  <conditionalFormatting sqref="P25">
    <cfRule type="expression" dxfId="1328" priority="71" stopIfTrue="1">
      <formula>#REF!=2</formula>
    </cfRule>
  </conditionalFormatting>
  <conditionalFormatting sqref="P21">
    <cfRule type="expression" dxfId="1327" priority="69" stopIfTrue="1">
      <formula>#REF!=2</formula>
    </cfRule>
  </conditionalFormatting>
  <conditionalFormatting sqref="L23">
    <cfRule type="expression" dxfId="1326" priority="68" stopIfTrue="1">
      <formula>#REF!=2</formula>
    </cfRule>
  </conditionalFormatting>
  <conditionalFormatting sqref="P23">
    <cfRule type="expression" dxfId="1325" priority="67" stopIfTrue="1">
      <formula>#REF!=2</formula>
    </cfRule>
  </conditionalFormatting>
  <conditionalFormatting sqref="T19">
    <cfRule type="expression" dxfId="1324" priority="66" stopIfTrue="1">
      <formula>#REF!=2</formula>
    </cfRule>
  </conditionalFormatting>
  <conditionalFormatting sqref="T21">
    <cfRule type="expression" dxfId="1323" priority="65" stopIfTrue="1">
      <formula>#REF!=2</formula>
    </cfRule>
  </conditionalFormatting>
  <conditionalFormatting sqref="T23">
    <cfRule type="expression" dxfId="1322" priority="64" stopIfTrue="1">
      <formula>#REF!=2</formula>
    </cfRule>
  </conditionalFormatting>
  <conditionalFormatting sqref="T25">
    <cfRule type="expression" dxfId="1321" priority="63" stopIfTrue="1">
      <formula>#REF!=2</formula>
    </cfRule>
  </conditionalFormatting>
  <conditionalFormatting sqref="T27">
    <cfRule type="expression" dxfId="1320" priority="62" stopIfTrue="1">
      <formula>#REF!=2</formula>
    </cfRule>
  </conditionalFormatting>
  <conditionalFormatting sqref="T47">
    <cfRule type="expression" dxfId="1319" priority="61" stopIfTrue="1">
      <formula>#REF!=2</formula>
    </cfRule>
  </conditionalFormatting>
  <conditionalFormatting sqref="T49">
    <cfRule type="expression" dxfId="1318" priority="60" stopIfTrue="1">
      <formula>#REF!=2</formula>
    </cfRule>
  </conditionalFormatting>
  <conditionalFormatting sqref="T51">
    <cfRule type="expression" dxfId="1317" priority="59" stopIfTrue="1">
      <formula>#REF!=2</formula>
    </cfRule>
  </conditionalFormatting>
  <conditionalFormatting sqref="T53">
    <cfRule type="expression" dxfId="1316" priority="58" stopIfTrue="1">
      <formula>#REF!=2</formula>
    </cfRule>
  </conditionalFormatting>
  <conditionalFormatting sqref="T55">
    <cfRule type="expression" dxfId="1315" priority="57" stopIfTrue="1">
      <formula>#REF!=2</formula>
    </cfRule>
  </conditionalFormatting>
  <conditionalFormatting sqref="T57">
    <cfRule type="expression" dxfId="1314" priority="56" stopIfTrue="1">
      <formula>#REF!=2</formula>
    </cfRule>
  </conditionalFormatting>
  <conditionalFormatting sqref="L14:N14">
    <cfRule type="expression" dxfId="1313" priority="41">
      <formula>AND($N$12&lt;$L$12,$N$12&lt;&gt;"")</formula>
    </cfRule>
    <cfRule type="expression" dxfId="1312" priority="50">
      <formula>$L$59=0</formula>
    </cfRule>
    <cfRule type="expression" dxfId="1311" priority="55">
      <formula>AND($M$15&gt;12,$N$12&lt;&gt;"")</formula>
    </cfRule>
  </conditionalFormatting>
  <conditionalFormatting sqref="P14:R14">
    <cfRule type="expression" dxfId="1310" priority="39">
      <formula>$R$12&lt;$P$12</formula>
    </cfRule>
    <cfRule type="expression" dxfId="1309" priority="52">
      <formula>$P$59=0</formula>
    </cfRule>
    <cfRule type="expression" dxfId="1308" priority="54">
      <formula>AND($Q$15&gt;12,$R$12&lt;&gt;"")</formula>
    </cfRule>
  </conditionalFormatting>
  <conditionalFormatting sqref="T14:V14">
    <cfRule type="expression" dxfId="1307" priority="38">
      <formula>$V$12&lt;$T$12</formula>
    </cfRule>
    <cfRule type="expression" dxfId="1306" priority="51">
      <formula>$T$59=0</formula>
    </cfRule>
    <cfRule type="expression" dxfId="1305" priority="53">
      <formula>AND($U$15&gt;12,$V$12&lt;&gt;"")</formula>
    </cfRule>
  </conditionalFormatting>
  <conditionalFormatting sqref="G72">
    <cfRule type="expression" dxfId="1304" priority="49">
      <formula>AND($L$67&lt;&gt;0,$P$67&lt;&gt;0, $L$67&lt;$P$67)</formula>
    </cfRule>
  </conditionalFormatting>
  <conditionalFormatting sqref="F63:N63">
    <cfRule type="expression" dxfId="1303" priority="48">
      <formula>$F$63&lt;&gt;""</formula>
    </cfRule>
  </conditionalFormatting>
  <conditionalFormatting sqref="G70 T70:V71">
    <cfRule type="expression" dxfId="1302" priority="47">
      <formula>AND($P$67&lt;&gt;0,$T$67&lt;&gt;0,$P$67&lt;$T$67)</formula>
    </cfRule>
  </conditionalFormatting>
  <conditionalFormatting sqref="O64:R64">
    <cfRule type="expression" dxfId="1301" priority="46">
      <formula>$V$86=TRUE</formula>
    </cfRule>
  </conditionalFormatting>
  <conditionalFormatting sqref="N12">
    <cfRule type="expression" dxfId="1300" priority="40">
      <formula>AND($N$12&lt;$L$12,$N$12&lt;&gt;"")</formula>
    </cfRule>
    <cfRule type="expression" dxfId="1299" priority="45">
      <formula>AND($L$59&lt;&gt;0,$N$12="")</formula>
    </cfRule>
  </conditionalFormatting>
  <conditionalFormatting sqref="P63:V63">
    <cfRule type="expression" dxfId="1298" priority="44">
      <formula>OR($T$84=TRUE,$T$85=TRUE,$T$86=TRUE)</formula>
    </cfRule>
  </conditionalFormatting>
  <conditionalFormatting sqref="F76">
    <cfRule type="expression" dxfId="1297" priority="43">
      <formula>OR(AND($T$67&lt;&gt;0,$P$67&lt;&gt;0,$P$67&lt;$T$67),AND($P$59&lt;&gt;0,$L$59&lt;&gt;0,$L$67&lt;$P$67))</formula>
    </cfRule>
  </conditionalFormatting>
  <conditionalFormatting sqref="N3:X3">
    <cfRule type="expression" dxfId="1296" priority="42">
      <formula>AND(A87&lt;&gt;"Income Averager",A87&lt;&gt;"Income Averager (2)",A87&lt;&gt;"Income Averager (3)",A87&lt;&gt;"Income Averager (4)")</formula>
    </cfRule>
  </conditionalFormatting>
  <conditionalFormatting sqref="L11:N11 L12">
    <cfRule type="expression" dxfId="1295" priority="37">
      <formula>$J$13&lt;&gt;$L$11</formula>
    </cfRule>
  </conditionalFormatting>
  <conditionalFormatting sqref="P11:R11 P12">
    <cfRule type="expression" dxfId="1294" priority="36">
      <formula>$P$11&lt;&gt;$J$13-1</formula>
    </cfRule>
  </conditionalFormatting>
  <conditionalFormatting sqref="T11:V11 T12">
    <cfRule type="expression" dxfId="1293" priority="35">
      <formula>$T$11&lt;&gt;$J$13-2</formula>
    </cfRule>
  </conditionalFormatting>
  <conditionalFormatting sqref="L31">
    <cfRule type="expression" dxfId="1292" priority="34" stopIfTrue="1">
      <formula>#REF!=2</formula>
    </cfRule>
  </conditionalFormatting>
  <conditionalFormatting sqref="L37">
    <cfRule type="expression" dxfId="1291" priority="33" stopIfTrue="1">
      <formula>#REF!=2</formula>
    </cfRule>
  </conditionalFormatting>
  <conditionalFormatting sqref="L39">
    <cfRule type="expression" dxfId="1290" priority="32" stopIfTrue="1">
      <formula>#REF!=2</formula>
    </cfRule>
  </conditionalFormatting>
  <conditionalFormatting sqref="P31">
    <cfRule type="expression" dxfId="1289" priority="31" stopIfTrue="1">
      <formula>#REF!=2</formula>
    </cfRule>
  </conditionalFormatting>
  <conditionalFormatting sqref="P37">
    <cfRule type="expression" dxfId="1288" priority="30" stopIfTrue="1">
      <formula>#REF!=2</formula>
    </cfRule>
  </conditionalFormatting>
  <conditionalFormatting sqref="P39">
    <cfRule type="expression" dxfId="1287" priority="29" stopIfTrue="1">
      <formula>#REF!=2</formula>
    </cfRule>
  </conditionalFormatting>
  <conditionalFormatting sqref="L29">
    <cfRule type="expression" dxfId="1286" priority="28" stopIfTrue="1">
      <formula>#REF!=2</formula>
    </cfRule>
  </conditionalFormatting>
  <conditionalFormatting sqref="P29">
    <cfRule type="expression" dxfId="1285" priority="27" stopIfTrue="1">
      <formula>#REF!=2</formula>
    </cfRule>
  </conditionalFormatting>
  <conditionalFormatting sqref="L35">
    <cfRule type="expression" dxfId="1284" priority="26" stopIfTrue="1">
      <formula>#REF!=2</formula>
    </cfRule>
  </conditionalFormatting>
  <conditionalFormatting sqref="P35">
    <cfRule type="expression" dxfId="1283" priority="25" stopIfTrue="1">
      <formula>#REF!=2</formula>
    </cfRule>
  </conditionalFormatting>
  <conditionalFormatting sqref="L33">
    <cfRule type="expression" dxfId="1282" priority="24" stopIfTrue="1">
      <formula>#REF!=2</formula>
    </cfRule>
  </conditionalFormatting>
  <conditionalFormatting sqref="P33">
    <cfRule type="expression" dxfId="1281" priority="23" stopIfTrue="1">
      <formula>#REF!=2</formula>
    </cfRule>
  </conditionalFormatting>
  <conditionalFormatting sqref="T29">
    <cfRule type="expression" dxfId="1280" priority="22" stopIfTrue="1">
      <formula>#REF!=2</formula>
    </cfRule>
  </conditionalFormatting>
  <conditionalFormatting sqref="T31">
    <cfRule type="expression" dxfId="1279" priority="21" stopIfTrue="1">
      <formula>#REF!=2</formula>
    </cfRule>
  </conditionalFormatting>
  <conditionalFormatting sqref="T33">
    <cfRule type="expression" dxfId="1278" priority="20" stopIfTrue="1">
      <formula>#REF!=2</formula>
    </cfRule>
  </conditionalFormatting>
  <conditionalFormatting sqref="T35">
    <cfRule type="expression" dxfId="1277" priority="19" stopIfTrue="1">
      <formula>#REF!=2</formula>
    </cfRule>
  </conditionalFormatting>
  <conditionalFormatting sqref="T37">
    <cfRule type="expression" dxfId="1276" priority="18" stopIfTrue="1">
      <formula>#REF!=2</formula>
    </cfRule>
  </conditionalFormatting>
  <conditionalFormatting sqref="T39">
    <cfRule type="expression" dxfId="1275" priority="17" stopIfTrue="1">
      <formula>#REF!=2</formula>
    </cfRule>
  </conditionalFormatting>
  <conditionalFormatting sqref="L43">
    <cfRule type="expression" dxfId="1274" priority="16" stopIfTrue="1">
      <formula>#REF!=2</formula>
    </cfRule>
  </conditionalFormatting>
  <conditionalFormatting sqref="P43">
    <cfRule type="expression" dxfId="1273" priority="15" stopIfTrue="1">
      <formula>#REF!=2</formula>
    </cfRule>
  </conditionalFormatting>
  <conditionalFormatting sqref="L47">
    <cfRule type="expression" dxfId="1272" priority="14" stopIfTrue="1">
      <formula>#REF!=2</formula>
    </cfRule>
  </conditionalFormatting>
  <conditionalFormatting sqref="P47">
    <cfRule type="expression" dxfId="1271" priority="13" stopIfTrue="1">
      <formula>#REF!=2</formula>
    </cfRule>
  </conditionalFormatting>
  <conditionalFormatting sqref="L45">
    <cfRule type="expression" dxfId="1270" priority="12" stopIfTrue="1">
      <formula>#REF!=2</formula>
    </cfRule>
  </conditionalFormatting>
  <conditionalFormatting sqref="P45">
    <cfRule type="expression" dxfId="1269" priority="11" stopIfTrue="1">
      <formula>#REF!=2</formula>
    </cfRule>
  </conditionalFormatting>
  <conditionalFormatting sqref="T43">
    <cfRule type="expression" dxfId="1268" priority="10" stopIfTrue="1">
      <formula>#REF!=2</formula>
    </cfRule>
  </conditionalFormatting>
  <conditionalFormatting sqref="T45">
    <cfRule type="expression" dxfId="1267" priority="9" stopIfTrue="1">
      <formula>#REF!=2</formula>
    </cfRule>
  </conditionalFormatting>
  <conditionalFormatting sqref="T47">
    <cfRule type="expression" dxfId="1266" priority="8" stopIfTrue="1">
      <formula>#REF!=2</formula>
    </cfRule>
  </conditionalFormatting>
  <conditionalFormatting sqref="L41">
    <cfRule type="expression" dxfId="1265" priority="7" stopIfTrue="1">
      <formula>#REF!=2</formula>
    </cfRule>
  </conditionalFormatting>
  <conditionalFormatting sqref="P41">
    <cfRule type="expression" dxfId="1264" priority="6" stopIfTrue="1">
      <formula>#REF!=2</formula>
    </cfRule>
  </conditionalFormatting>
  <conditionalFormatting sqref="T41">
    <cfRule type="expression" dxfId="1263" priority="5" stopIfTrue="1">
      <formula>#REF!=2</formula>
    </cfRule>
  </conditionalFormatting>
  <conditionalFormatting sqref="L59:N59">
    <cfRule type="expression" dxfId="1262" priority="4">
      <formula>$T$84=TRUE</formula>
    </cfRule>
  </conditionalFormatting>
  <conditionalFormatting sqref="P59:R59">
    <cfRule type="expression" dxfId="1261" priority="3">
      <formula>$T$85=TRUE</formula>
    </cfRule>
  </conditionalFormatting>
  <conditionalFormatting sqref="T59:V59">
    <cfRule type="expression" dxfId="1260" priority="2">
      <formula>$T$86=TRUE</formula>
    </cfRule>
  </conditionalFormatting>
  <conditionalFormatting sqref="B10:F11">
    <cfRule type="expression" dxfId="1259" priority="1">
      <formula>$T$1="FHA"</formula>
    </cfRule>
  </conditionalFormatting>
  <dataValidations count="1">
    <dataValidation type="custom" allowBlank="1" showInputMessage="1" showErrorMessage="1" errorTitle="Incorrect Entry Type" error="A dollar amount should be entered in this field (ex. 25 or 25.50)" sqref="L17:N17 P17:R17 T17:V17" xr:uid="{0AADBAA9-5ED1-42D5-8F31-B4C256A26BEA}">
      <formula1>CELL("format")="C2"</formula1>
    </dataValidation>
  </dataValidations>
  <printOptions horizontalCentered="1"/>
  <pageMargins left="0.25" right="0.30092592592592599" top="0.25" bottom="0.25" header="0.3" footer="0.3"/>
  <pageSetup paperSize="5"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8962" r:id="rId4" name="Check Box 2">
              <controlPr defaultSize="0" autoFill="0" autoLine="0" autoPict="0">
                <anchor moveWithCells="1" sizeWithCells="1">
                  <from>
                    <xdr:col>11</xdr:col>
                    <xdr:colOff>99060</xdr:colOff>
                    <xdr:row>59</xdr:row>
                    <xdr:rowOff>91440</xdr:rowOff>
                  </from>
                  <to>
                    <xdr:col>13</xdr:col>
                    <xdr:colOff>38100</xdr:colOff>
                    <xdr:row>62</xdr:row>
                    <xdr:rowOff>30480</xdr:rowOff>
                  </to>
                </anchor>
              </controlPr>
            </control>
          </mc:Choice>
        </mc:AlternateContent>
        <mc:AlternateContent xmlns:mc="http://schemas.openxmlformats.org/markup-compatibility/2006">
          <mc:Choice Requires="x14">
            <control shapeId="1448963" r:id="rId5" name="Check Box 3">
              <controlPr defaultSize="0" autoFill="0" autoLine="0" autoPict="0">
                <anchor moveWithCells="1" sizeWithCells="1">
                  <from>
                    <xdr:col>15</xdr:col>
                    <xdr:colOff>121920</xdr:colOff>
                    <xdr:row>60</xdr:row>
                    <xdr:rowOff>0</xdr:rowOff>
                  </from>
                  <to>
                    <xdr:col>17</xdr:col>
                    <xdr:colOff>68580</xdr:colOff>
                    <xdr:row>62</xdr:row>
                    <xdr:rowOff>7620</xdr:rowOff>
                  </to>
                </anchor>
              </controlPr>
            </control>
          </mc:Choice>
        </mc:AlternateContent>
        <mc:AlternateContent xmlns:mc="http://schemas.openxmlformats.org/markup-compatibility/2006">
          <mc:Choice Requires="x14">
            <control shapeId="1448964" r:id="rId6" name="Check Box 4">
              <controlPr defaultSize="0" autoFill="0" autoLine="0" autoPict="0">
                <anchor moveWithCells="1" sizeWithCells="1">
                  <from>
                    <xdr:col>19</xdr:col>
                    <xdr:colOff>114300</xdr:colOff>
                    <xdr:row>59</xdr:row>
                    <xdr:rowOff>83820</xdr:rowOff>
                  </from>
                  <to>
                    <xdr:col>21</xdr:col>
                    <xdr:colOff>518160</xdr:colOff>
                    <xdr:row>62</xdr:row>
                    <xdr:rowOff>30480</xdr:rowOff>
                  </to>
                </anchor>
              </controlPr>
            </control>
          </mc:Choice>
        </mc:AlternateContent>
        <mc:AlternateContent xmlns:mc="http://schemas.openxmlformats.org/markup-compatibility/2006">
          <mc:Choice Requires="x14">
            <control shapeId="1448967" r:id="rId7" name="Check Box 7">
              <controlPr defaultSize="0" autoFill="0" autoLine="0" autoPict="0">
                <anchor moveWithCells="1">
                  <from>
                    <xdr:col>14</xdr:col>
                    <xdr:colOff>53340</xdr:colOff>
                    <xdr:row>64</xdr:row>
                    <xdr:rowOff>53340</xdr:rowOff>
                  </from>
                  <to>
                    <xdr:col>18</xdr:col>
                    <xdr:colOff>22860</xdr:colOff>
                    <xdr:row>64</xdr:row>
                    <xdr:rowOff>259080</xdr:rowOff>
                  </to>
                </anchor>
              </controlPr>
            </control>
          </mc:Choice>
        </mc:AlternateContent>
        <mc:AlternateContent xmlns:mc="http://schemas.openxmlformats.org/markup-compatibility/2006">
          <mc:Choice Requires="x14">
            <control shapeId="1448972" r:id="rId8" name="Button 12">
              <controlPr defaultSize="0" print="0" autoFill="0" autoPict="0" macro="[0]!IW_Copy">
                <anchor moveWithCells="1" sizeWithCells="1">
                  <from>
                    <xdr:col>1</xdr:col>
                    <xdr:colOff>312420</xdr:colOff>
                    <xdr:row>0</xdr:row>
                    <xdr:rowOff>7620</xdr:rowOff>
                  </from>
                  <to>
                    <xdr:col>3</xdr:col>
                    <xdr:colOff>45720</xdr:colOff>
                    <xdr:row>1</xdr:row>
                    <xdr:rowOff>114300</xdr:rowOff>
                  </to>
                </anchor>
              </controlPr>
            </control>
          </mc:Choice>
        </mc:AlternateContent>
        <mc:AlternateContent xmlns:mc="http://schemas.openxmlformats.org/markup-compatibility/2006">
          <mc:Choice Requires="x14">
            <control shapeId="1448973" r:id="rId9" name="Button 13">
              <controlPr defaultSize="0" print="0" autoFill="0" autoPict="0" macro="[0]!IW_Home">
                <anchor moveWithCells="1" sizeWithCells="1">
                  <from>
                    <xdr:col>0</xdr:col>
                    <xdr:colOff>0</xdr:colOff>
                    <xdr:row>0</xdr:row>
                    <xdr:rowOff>7620</xdr:rowOff>
                  </from>
                  <to>
                    <xdr:col>1</xdr:col>
                    <xdr:colOff>259080</xdr:colOff>
                    <xdr:row>1</xdr:row>
                    <xdr:rowOff>114300</xdr:rowOff>
                  </to>
                </anchor>
              </controlPr>
            </control>
          </mc:Choice>
        </mc:AlternateContent>
        <mc:AlternateContent xmlns:mc="http://schemas.openxmlformats.org/markup-compatibility/2006">
          <mc:Choice Requires="x14">
            <control shapeId="1448974" r:id="rId10" name="Button 14">
              <controlPr defaultSize="0" print="0" autoFill="0" autoPict="0" macro="[0]!Income_Avg_Clear">
                <anchor moveWithCells="1" sizeWithCells="1">
                  <from>
                    <xdr:col>3</xdr:col>
                    <xdr:colOff>106680</xdr:colOff>
                    <xdr:row>0</xdr:row>
                    <xdr:rowOff>7620</xdr:rowOff>
                  </from>
                  <to>
                    <xdr:col>3</xdr:col>
                    <xdr:colOff>541020</xdr:colOff>
                    <xdr:row>1</xdr:row>
                    <xdr:rowOff>114300</xdr:rowOff>
                  </to>
                </anchor>
              </controlPr>
            </control>
          </mc:Choice>
        </mc:AlternateContent>
        <mc:AlternateContent xmlns:mc="http://schemas.openxmlformats.org/markup-compatibility/2006">
          <mc:Choice Requires="x14">
            <control shapeId="1448975" r:id="rId11" name="Button 15">
              <controlPr defaultSize="0" print="0" autoFill="0" autoPict="0" macro="[0]!Income_Avg_OMitHide">
                <anchor moveWithCells="1" sizeWithCells="1">
                  <from>
                    <xdr:col>0</xdr:col>
                    <xdr:colOff>7620</xdr:colOff>
                    <xdr:row>1</xdr:row>
                    <xdr:rowOff>167640</xdr:rowOff>
                  </from>
                  <to>
                    <xdr:col>2</xdr:col>
                    <xdr:colOff>0</xdr:colOff>
                    <xdr:row>2</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A575A-EB25-4C84-83F4-A0EB2475F393}">
  <sheetPr codeName="Sheet42">
    <tabColor rgb="FFFFDDAB"/>
  </sheetPr>
  <dimension ref="A1:BB414"/>
  <sheetViews>
    <sheetView showGridLines="0" showRowColHeaders="0" showRuler="0" view="pageLayout" zoomScale="90" zoomScaleNormal="100" zoomScalePageLayoutView="90" workbookViewId="0">
      <selection activeCell="D6" sqref="D6:M6"/>
      <extLst>
        <ext xmlns:xlsdti="http://schemas.microsoft.com/office/spreadsheetml/2023/showDataTypeIcons" uri="{77bfe23e-c014-4d31-8a63-9c772dbf06b6}">
          <xlsdti:showDataTypeIcons visible="0"/>
        </ext>
      </extLst>
    </sheetView>
  </sheetViews>
  <sheetFormatPr defaultColWidth="9.109375" defaultRowHeight="14.4" x14ac:dyDescent="0.3"/>
  <cols>
    <col min="1" max="1" width="1.21875" style="15" customWidth="1"/>
    <col min="2" max="2" width="4.21875" style="15" customWidth="1"/>
    <col min="3" max="3" width="5" customWidth="1"/>
    <col min="4" max="4" width="0.6640625" customWidth="1"/>
    <col min="5" max="5" width="9.5546875" customWidth="1"/>
    <col min="6" max="6" width="1.88671875" customWidth="1"/>
    <col min="7" max="7" width="9.5546875" customWidth="1"/>
    <col min="8" max="8" width="9.5546875" hidden="1" customWidth="1"/>
    <col min="9" max="9" width="1.88671875" hidden="1" customWidth="1"/>
    <col min="10" max="10" width="9.5546875" hidden="1" customWidth="1"/>
    <col min="11" max="11" width="3.5546875" customWidth="1"/>
    <col min="12" max="12" width="7.21875" customWidth="1"/>
    <col min="13" max="13" width="7" customWidth="1"/>
    <col min="14" max="14" width="2.44140625" customWidth="1"/>
    <col min="15" max="15" width="4.44140625" customWidth="1"/>
    <col min="16" max="17" width="7.21875" customWidth="1"/>
    <col min="18" max="18" width="1.21875" customWidth="1"/>
    <col min="19" max="19" width="8.6640625" customWidth="1"/>
    <col min="20" max="20" width="6.88671875" customWidth="1"/>
    <col min="21" max="21" width="1.33203125" customWidth="1"/>
    <col min="22" max="22" width="11.21875" customWidth="1"/>
    <col min="23" max="23" width="1.33203125" customWidth="1"/>
    <col min="24" max="24" width="3.21875" customWidth="1"/>
    <col min="25" max="25" width="0.88671875" customWidth="1"/>
    <col min="26" max="26" width="16.33203125" hidden="1" customWidth="1"/>
    <col min="27" max="27" width="4.6640625" hidden="1" customWidth="1"/>
    <col min="28" max="28" width="9" hidden="1" customWidth="1"/>
    <col min="29" max="29" width="10.88671875" hidden="1" customWidth="1"/>
    <col min="30" max="30" width="5.5546875" hidden="1" customWidth="1"/>
    <col min="31" max="31" width="5.5546875" style="29" hidden="1" customWidth="1"/>
    <col min="32" max="32" width="2.33203125" style="29" hidden="1" customWidth="1"/>
    <col min="33" max="33" width="10.5546875" hidden="1" customWidth="1"/>
    <col min="34" max="34" width="10.77734375" hidden="1" customWidth="1"/>
    <col min="35" max="35" width="7.88671875" hidden="1" customWidth="1"/>
    <col min="36" max="36" width="2.109375" hidden="1" customWidth="1"/>
    <col min="37" max="37" width="10.5546875" hidden="1" customWidth="1"/>
    <col min="38" max="38" width="10.77734375" hidden="1" customWidth="1"/>
    <col min="39" max="39" width="6.77734375" hidden="1" customWidth="1"/>
    <col min="40" max="40" width="6.109375" hidden="1" customWidth="1"/>
    <col min="41" max="41" width="15.5546875" hidden="1" customWidth="1"/>
    <col min="42" max="42" width="4.44140625" hidden="1" customWidth="1"/>
    <col min="43" max="44" width="9.109375" hidden="1" customWidth="1"/>
    <col min="45" max="45" width="6.21875" hidden="1" customWidth="1"/>
    <col min="46" max="46" width="4.5546875" hidden="1" customWidth="1"/>
    <col min="47" max="47" width="1.77734375" hidden="1" customWidth="1"/>
    <col min="48" max="48" width="8.88671875" hidden="1" customWidth="1"/>
    <col min="49" max="49" width="10.6640625" hidden="1" customWidth="1"/>
    <col min="50" max="50" width="6.88671875" hidden="1" customWidth="1"/>
    <col min="51" max="51" width="2.21875" hidden="1" customWidth="1"/>
    <col min="52" max="52" width="10.5546875" hidden="1" customWidth="1"/>
    <col min="53" max="53" width="9.109375" hidden="1" customWidth="1"/>
    <col min="54" max="54" width="7.88671875" hidden="1" customWidth="1"/>
  </cols>
  <sheetData>
    <row r="1" spans="1:54" x14ac:dyDescent="0.3">
      <c r="A1" s="471"/>
      <c r="B1" s="471"/>
      <c r="C1" s="38"/>
      <c r="D1" s="38"/>
      <c r="E1" s="38"/>
      <c r="F1" s="38"/>
      <c r="G1" s="1631"/>
      <c r="H1" s="1631"/>
      <c r="I1" s="1631"/>
      <c r="J1" s="1631"/>
      <c r="K1" s="1631"/>
      <c r="L1" s="1631"/>
      <c r="M1" s="1631"/>
      <c r="N1" s="1631"/>
      <c r="O1" s="1631"/>
      <c r="P1" s="1631"/>
      <c r="Q1" s="1631"/>
      <c r="R1" s="1631"/>
      <c r="S1" s="1631"/>
      <c r="T1" s="1631"/>
      <c r="U1" s="1631"/>
      <c r="V1" s="36">
        <f>'I&amp;D Worksheet'!J8</f>
        <v>0</v>
      </c>
      <c r="W1" s="544"/>
      <c r="X1" s="36">
        <f>IF(V1="Conventional",1,IF(OR(V1="VA",V1="FHA",V1="USDA",V1="Other"),2,0))</f>
        <v>0</v>
      </c>
      <c r="Y1" s="38"/>
      <c r="Z1" s="556"/>
      <c r="AA1" s="556"/>
      <c r="AB1" s="556"/>
      <c r="AC1" s="556"/>
      <c r="AD1" s="556"/>
      <c r="AE1" s="977"/>
      <c r="AF1" s="977"/>
      <c r="AG1" s="556"/>
      <c r="AH1" s="556"/>
      <c r="AI1" s="556"/>
      <c r="AJ1" s="556"/>
      <c r="AK1" s="556"/>
      <c r="AL1" s="556"/>
      <c r="AM1" s="556"/>
      <c r="AN1" s="556"/>
      <c r="AO1" s="556"/>
      <c r="AP1" s="556"/>
      <c r="AQ1" s="556"/>
      <c r="AR1" s="556"/>
      <c r="AS1" s="556"/>
      <c r="AT1" s="556"/>
      <c r="AU1" s="556"/>
      <c r="AV1" s="556"/>
      <c r="AW1" s="556"/>
      <c r="AX1" s="556"/>
      <c r="AY1" s="556"/>
      <c r="AZ1" s="556"/>
      <c r="BA1" s="556"/>
      <c r="BB1" s="556"/>
    </row>
    <row r="2" spans="1:54" ht="36" customHeight="1" x14ac:dyDescent="0.5">
      <c r="A2" s="1632" t="s">
        <v>1139</v>
      </c>
      <c r="B2" s="1632"/>
      <c r="C2" s="1632"/>
      <c r="D2" s="1632"/>
      <c r="E2" s="1632"/>
      <c r="F2" s="1632"/>
      <c r="G2" s="1632"/>
      <c r="H2" s="1632"/>
      <c r="I2" s="1632"/>
      <c r="J2" s="1632"/>
      <c r="K2" s="1632"/>
      <c r="L2" s="1632"/>
      <c r="M2" s="1632"/>
      <c r="N2" s="1632"/>
      <c r="O2" s="1632"/>
      <c r="P2" s="1632"/>
      <c r="Q2" s="1632"/>
      <c r="R2" s="1632"/>
      <c r="S2" s="1632"/>
      <c r="T2" s="1632"/>
      <c r="U2" s="1632"/>
      <c r="V2" s="1632"/>
      <c r="W2" s="1632"/>
      <c r="X2" s="1632"/>
      <c r="Y2" s="1632"/>
      <c r="Z2" s="1035"/>
      <c r="AA2" s="556"/>
      <c r="AB2" s="556"/>
      <c r="AC2" s="556"/>
      <c r="AD2" s="556"/>
      <c r="AE2" s="977"/>
      <c r="AF2" s="977"/>
      <c r="AG2" s="556"/>
      <c r="AH2" s="556"/>
      <c r="AI2" s="556"/>
      <c r="AJ2" s="556"/>
      <c r="AK2" s="556"/>
      <c r="AL2" s="556"/>
      <c r="AM2" s="556"/>
      <c r="AN2" s="556"/>
      <c r="AO2" s="556"/>
      <c r="AP2" s="556"/>
      <c r="AQ2" s="556"/>
      <c r="AR2" s="556"/>
      <c r="AS2" s="556"/>
      <c r="AT2" s="556"/>
      <c r="AU2" s="556"/>
      <c r="AV2" s="556"/>
      <c r="AW2" s="556"/>
      <c r="AX2" s="556"/>
      <c r="AY2" s="556"/>
      <c r="AZ2" s="556"/>
      <c r="BA2" s="556"/>
      <c r="BB2" s="556"/>
    </row>
    <row r="3" spans="1:54" ht="25.8" x14ac:dyDescent="0.5">
      <c r="A3" s="1632" t="s">
        <v>1034</v>
      </c>
      <c r="B3" s="1632"/>
      <c r="C3" s="1632"/>
      <c r="D3" s="1632"/>
      <c r="E3" s="1632"/>
      <c r="F3" s="1632"/>
      <c r="G3" s="1632"/>
      <c r="H3" s="1632"/>
      <c r="I3" s="1632"/>
      <c r="J3" s="1632"/>
      <c r="K3" s="1632"/>
      <c r="L3" s="1632"/>
      <c r="M3" s="1632"/>
      <c r="N3" s="1632"/>
      <c r="O3" s="1632"/>
      <c r="P3" s="1632"/>
      <c r="Q3" s="1632"/>
      <c r="R3" s="1632"/>
      <c r="S3" s="1632"/>
      <c r="T3" s="1632"/>
      <c r="U3" s="1632"/>
      <c r="V3" s="1632"/>
      <c r="W3" s="1632"/>
      <c r="X3" s="1632"/>
      <c r="Y3" s="1632"/>
      <c r="Z3" s="1033"/>
      <c r="AA3" s="556"/>
      <c r="AB3" s="556"/>
      <c r="AC3" s="556"/>
      <c r="AD3" s="556"/>
      <c r="AE3" s="977"/>
      <c r="AF3" s="977"/>
      <c r="AG3" s="556"/>
      <c r="AH3" s="556"/>
      <c r="AI3" s="556"/>
      <c r="AJ3" s="556"/>
      <c r="AK3" s="556"/>
      <c r="AL3" s="556"/>
      <c r="AM3" s="556"/>
      <c r="AN3" s="556"/>
      <c r="AO3" s="556"/>
      <c r="AP3" s="556"/>
      <c r="AQ3" s="556"/>
      <c r="AR3" s="556"/>
      <c r="AS3" s="556"/>
      <c r="AT3" s="556"/>
      <c r="AU3" s="556"/>
      <c r="AV3" s="556"/>
      <c r="AW3" s="556"/>
      <c r="AX3" s="556"/>
      <c r="AY3" s="556"/>
      <c r="AZ3" s="556"/>
      <c r="BA3" s="556"/>
      <c r="BB3" s="556"/>
    </row>
    <row r="4" spans="1:54" ht="11.4" customHeight="1" x14ac:dyDescent="0.3">
      <c r="A4" s="471"/>
      <c r="C4" s="217"/>
      <c r="D4" s="217"/>
      <c r="E4" s="217"/>
      <c r="F4" s="217"/>
      <c r="G4" s="217"/>
      <c r="H4" s="217"/>
      <c r="I4" s="217"/>
      <c r="J4" s="217"/>
      <c r="K4" s="38"/>
      <c r="L4" s="1633"/>
      <c r="M4" s="1633"/>
      <c r="N4" s="1633"/>
      <c r="Y4" s="703"/>
      <c r="Z4" s="1035"/>
      <c r="AA4" s="556"/>
      <c r="AB4" s="556"/>
      <c r="AC4" s="556"/>
      <c r="AD4" s="556"/>
      <c r="AE4" s="977"/>
      <c r="AF4" s="977"/>
      <c r="AG4" s="556"/>
      <c r="AH4" s="556"/>
      <c r="AI4" s="556"/>
      <c r="AJ4" s="556"/>
      <c r="AK4" s="556"/>
      <c r="AL4" s="556"/>
      <c r="AM4" s="556"/>
      <c r="AN4" s="556"/>
      <c r="AO4" s="556"/>
      <c r="AP4" s="556"/>
      <c r="AQ4" s="556"/>
      <c r="AR4" s="556"/>
      <c r="AS4" s="556"/>
      <c r="AT4" s="556"/>
      <c r="AU4" s="556"/>
      <c r="AV4" s="556"/>
      <c r="AW4" s="556"/>
      <c r="AX4" s="556"/>
      <c r="AY4" s="556"/>
      <c r="AZ4" s="556"/>
      <c r="BA4" s="556"/>
      <c r="BB4" s="556"/>
    </row>
    <row r="5" spans="1:54" ht="15.6" x14ac:dyDescent="0.3">
      <c r="A5" s="38"/>
      <c r="B5" s="217"/>
      <c r="C5" s="217"/>
      <c r="D5" s="217"/>
      <c r="E5" s="217"/>
      <c r="F5" s="217"/>
      <c r="G5" s="217"/>
      <c r="H5" s="217"/>
      <c r="I5" s="217"/>
      <c r="J5" s="217"/>
      <c r="K5" s="45"/>
      <c r="L5" s="1633"/>
      <c r="M5" s="1633"/>
      <c r="N5" s="1633"/>
      <c r="O5" s="1634"/>
      <c r="P5" s="1635"/>
      <c r="Q5" s="1635"/>
      <c r="R5" s="1635"/>
      <c r="S5" s="1635"/>
      <c r="T5" s="1635"/>
      <c r="U5" s="1635"/>
      <c r="V5" s="1635"/>
      <c r="W5" s="1635"/>
      <c r="X5" s="1635"/>
      <c r="Y5" s="703"/>
      <c r="Z5" s="556"/>
      <c r="AA5" s="556"/>
      <c r="AB5" s="556"/>
      <c r="AC5" s="556"/>
      <c r="AD5" s="556"/>
      <c r="AE5" s="977"/>
      <c r="AF5" s="977"/>
      <c r="AG5" s="556"/>
      <c r="AH5" s="556"/>
      <c r="AI5" s="556"/>
      <c r="AJ5" s="556"/>
      <c r="AK5" s="556"/>
      <c r="AL5" s="556"/>
      <c r="AM5" s="556"/>
      <c r="AN5" s="556"/>
      <c r="AO5" s="556"/>
      <c r="AP5" s="556"/>
      <c r="AQ5" s="556"/>
      <c r="AR5" s="556"/>
      <c r="AS5" s="556"/>
      <c r="AT5" s="556"/>
      <c r="AU5" s="556"/>
      <c r="AV5" s="556"/>
      <c r="AW5" s="556"/>
      <c r="AX5" s="556"/>
      <c r="AY5" s="556"/>
      <c r="AZ5" s="556"/>
      <c r="BA5" s="556"/>
      <c r="BB5" s="556"/>
    </row>
    <row r="6" spans="1:54" ht="15.6" customHeight="1" x14ac:dyDescent="0.3">
      <c r="A6" s="1661" t="s">
        <v>37</v>
      </c>
      <c r="B6" s="1661"/>
      <c r="C6" s="1661"/>
      <c r="D6" s="1497"/>
      <c r="E6" s="1497"/>
      <c r="F6" s="1497"/>
      <c r="G6" s="1497"/>
      <c r="H6" s="1497"/>
      <c r="I6" s="1497"/>
      <c r="J6" s="1497"/>
      <c r="K6" s="1497"/>
      <c r="L6" s="1497"/>
      <c r="M6" s="1497"/>
      <c r="N6" s="46" t="str">
        <f>IF(D6="","",D6)</f>
        <v/>
      </c>
      <c r="O6" s="1635"/>
      <c r="P6" s="1635"/>
      <c r="Q6" s="1635"/>
      <c r="R6" s="1635"/>
      <c r="S6" s="1635"/>
      <c r="T6" s="1635"/>
      <c r="U6" s="1635"/>
      <c r="V6" s="1635"/>
      <c r="W6" s="1635"/>
      <c r="X6" s="1635"/>
      <c r="Y6" s="703"/>
      <c r="Z6" s="556"/>
      <c r="AA6" s="556"/>
      <c r="AB6" s="556"/>
      <c r="AC6" s="556"/>
      <c r="AD6" s="556"/>
      <c r="AE6" s="977"/>
      <c r="AF6" s="977"/>
      <c r="AG6" s="556"/>
      <c r="AH6" s="556"/>
      <c r="AI6" s="556"/>
      <c r="AJ6" s="556"/>
      <c r="AK6" s="556"/>
      <c r="AL6" s="556"/>
      <c r="AM6" s="556"/>
      <c r="AN6" s="556"/>
      <c r="AO6" s="556"/>
      <c r="AP6" s="556"/>
      <c r="AQ6" s="556"/>
      <c r="AR6" s="556"/>
      <c r="AS6" s="556"/>
      <c r="AT6" s="556"/>
      <c r="AU6" s="556"/>
      <c r="AV6" s="556"/>
      <c r="AW6" s="556"/>
      <c r="AX6" s="556"/>
      <c r="AY6" s="556"/>
      <c r="AZ6" s="556"/>
      <c r="BA6" s="556"/>
      <c r="BB6" s="556"/>
    </row>
    <row r="7" spans="1:54" ht="6" customHeight="1" x14ac:dyDescent="0.3">
      <c r="A7" s="38"/>
      <c r="B7" s="38"/>
      <c r="C7" s="38"/>
      <c r="D7" s="115"/>
      <c r="E7" s="115"/>
      <c r="F7" s="115"/>
      <c r="G7" s="115"/>
      <c r="H7" s="115"/>
      <c r="I7" s="115"/>
      <c r="J7" s="115"/>
      <c r="K7" s="45"/>
      <c r="L7" s="45"/>
      <c r="M7" s="45"/>
      <c r="N7" s="45"/>
      <c r="O7" s="1635"/>
      <c r="P7" s="1635"/>
      <c r="Q7" s="1635"/>
      <c r="R7" s="1635"/>
      <c r="S7" s="1635"/>
      <c r="T7" s="1635"/>
      <c r="U7" s="1635"/>
      <c r="V7" s="1635"/>
      <c r="W7" s="1635"/>
      <c r="X7" s="1635"/>
      <c r="Y7" s="45"/>
      <c r="Z7" s="556"/>
      <c r="AA7" s="556"/>
      <c r="AB7" s="556"/>
      <c r="AC7" s="556"/>
      <c r="AD7" s="556"/>
      <c r="AE7" s="977"/>
      <c r="AF7" s="977"/>
      <c r="AG7" s="556"/>
      <c r="AH7" s="556"/>
      <c r="AI7" s="556"/>
      <c r="AJ7" s="556"/>
      <c r="AK7" s="556"/>
      <c r="AL7" s="556"/>
      <c r="AM7" s="556"/>
      <c r="AN7" s="556"/>
      <c r="AO7" s="556"/>
      <c r="AP7" s="556"/>
      <c r="AQ7" s="556"/>
      <c r="AR7" s="556"/>
      <c r="AS7" s="556"/>
      <c r="AT7" s="556"/>
      <c r="AU7" s="556"/>
      <c r="AV7" s="556"/>
      <c r="AW7" s="556"/>
      <c r="AX7" s="556"/>
      <c r="AY7" s="556"/>
      <c r="AZ7" s="556"/>
      <c r="BA7" s="556"/>
      <c r="BB7" s="556"/>
    </row>
    <row r="8" spans="1:54" ht="15.6" x14ac:dyDescent="0.3">
      <c r="A8" s="1661" t="s">
        <v>95</v>
      </c>
      <c r="B8" s="1661"/>
      <c r="C8" s="1661"/>
      <c r="D8" s="1497"/>
      <c r="E8" s="1497"/>
      <c r="F8" s="1497"/>
      <c r="G8" s="1497"/>
      <c r="H8" s="1497"/>
      <c r="I8" s="1497"/>
      <c r="J8" s="1497"/>
      <c r="K8" s="1497"/>
      <c r="L8" s="1497"/>
      <c r="M8" s="1497"/>
      <c r="N8" s="46" t="str">
        <f>IF(D8="","",D8)</f>
        <v/>
      </c>
      <c r="O8" s="1635"/>
      <c r="P8" s="1635"/>
      <c r="Q8" s="1635"/>
      <c r="R8" s="1635"/>
      <c r="S8" s="1635"/>
      <c r="T8" s="1635"/>
      <c r="U8" s="1635"/>
      <c r="V8" s="1635"/>
      <c r="W8" s="1635"/>
      <c r="X8" s="1635"/>
      <c r="Y8" s="45"/>
      <c r="AF8" s="977"/>
      <c r="AG8" s="556"/>
      <c r="AH8" s="556"/>
      <c r="AI8" s="556"/>
      <c r="AJ8" s="556"/>
      <c r="AK8" s="556"/>
      <c r="AL8" s="556"/>
      <c r="AM8" s="556"/>
      <c r="AN8" s="556"/>
      <c r="AO8" s="556"/>
      <c r="AP8" s="556"/>
      <c r="AQ8" s="556"/>
      <c r="AR8" s="556"/>
      <c r="AS8" s="556"/>
      <c r="AT8" s="556"/>
      <c r="AU8" s="556"/>
      <c r="AV8" s="556"/>
      <c r="AW8" s="556"/>
      <c r="AX8" s="556"/>
      <c r="AY8" s="556"/>
      <c r="AZ8" s="556"/>
      <c r="BA8" s="556"/>
      <c r="BB8" s="556"/>
    </row>
    <row r="9" spans="1:54" ht="9.6" customHeight="1" x14ac:dyDescent="0.3">
      <c r="A9" s="116"/>
      <c r="B9" s="116"/>
      <c r="C9" s="661"/>
      <c r="D9" s="645"/>
      <c r="E9" s="645"/>
      <c r="F9" s="645"/>
      <c r="G9" s="645"/>
      <c r="H9" s="645"/>
      <c r="I9" s="645"/>
      <c r="J9" s="645"/>
      <c r="K9" s="645"/>
      <c r="L9" s="645"/>
      <c r="M9" s="645"/>
      <c r="N9" s="45"/>
      <c r="O9" s="1635"/>
      <c r="P9" s="1635"/>
      <c r="Q9" s="1635"/>
      <c r="R9" s="1635"/>
      <c r="S9" s="1635"/>
      <c r="T9" s="1635"/>
      <c r="U9" s="1635"/>
      <c r="V9" s="1635"/>
      <c r="W9" s="1635"/>
      <c r="X9" s="1635"/>
      <c r="Y9" s="45"/>
      <c r="Z9" s="556"/>
      <c r="AA9" s="556"/>
      <c r="AB9" s="556"/>
      <c r="AC9" s="556"/>
      <c r="AD9" s="556"/>
      <c r="AE9" s="977"/>
      <c r="AF9" s="977"/>
      <c r="AG9" s="556"/>
      <c r="AH9" s="556"/>
      <c r="AI9" s="556"/>
      <c r="AJ9" s="556"/>
      <c r="AK9" s="556"/>
      <c r="AL9" s="556"/>
      <c r="AM9" s="556"/>
      <c r="AN9" s="556"/>
      <c r="AO9" s="556"/>
      <c r="AP9" s="556"/>
      <c r="AQ9" s="556"/>
      <c r="AR9" s="556"/>
      <c r="AS9" s="556"/>
      <c r="AT9" s="556"/>
      <c r="AU9" s="556"/>
      <c r="AV9" s="556"/>
      <c r="AW9" s="556"/>
      <c r="AX9" s="556"/>
      <c r="AY9" s="556"/>
      <c r="AZ9" s="556"/>
      <c r="BA9" s="556"/>
      <c r="BB9" s="556"/>
    </row>
    <row r="10" spans="1:54" ht="31.8" customHeight="1" x14ac:dyDescent="0.3">
      <c r="A10" s="116"/>
      <c r="B10" s="116"/>
      <c r="C10" s="1510" t="str">
        <f>IF(AND(OR(L13=1,L13=2),X1=2),"Loan Type does not match I&amp;D worksheet",
IF(AND(L13=3,X1=1),"Loan Type does not match I&amp;D worksheet",
IF(D13="Conventional - Fannie","Income source not eligible for Loan Type (Fannie)","Data from this sheet is not auto feeding to the main page (Inc. and Debt wkst) due to tab name change or more than 1 addition copy of this wkst made")))</f>
        <v>Data from this sheet is not auto feeding to the main page (Inc. and Debt wkst) due to tab name change or more than 1 addition copy of this wkst made</v>
      </c>
      <c r="D10" s="1510"/>
      <c r="E10" s="1510"/>
      <c r="F10" s="1510"/>
      <c r="G10" s="1510"/>
      <c r="H10" s="1510"/>
      <c r="I10" s="1510"/>
      <c r="J10" s="1510"/>
      <c r="K10" s="1510"/>
      <c r="L10" s="1510"/>
      <c r="M10" s="645"/>
      <c r="N10" s="45"/>
      <c r="O10" s="975"/>
      <c r="P10" s="975"/>
      <c r="Q10" s="975"/>
      <c r="R10" s="975"/>
      <c r="S10" s="975"/>
      <c r="T10" s="975"/>
      <c r="U10" s="975"/>
      <c r="V10" s="975"/>
      <c r="W10" s="975"/>
      <c r="X10" s="975"/>
      <c r="Y10" s="45"/>
      <c r="Z10" s="556"/>
      <c r="AA10" s="556"/>
      <c r="AB10" s="556"/>
      <c r="AC10" s="556"/>
      <c r="AD10" s="556"/>
      <c r="AE10" s="977"/>
      <c r="AF10" s="977"/>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6"/>
    </row>
    <row r="11" spans="1:54" ht="7.2" customHeight="1" x14ac:dyDescent="0.3">
      <c r="A11" s="116"/>
      <c r="B11" s="116"/>
      <c r="C11" s="661"/>
      <c r="D11" s="645"/>
      <c r="E11" s="645"/>
      <c r="F11" s="645"/>
      <c r="G11" s="645"/>
      <c r="H11" s="645"/>
      <c r="I11" s="645"/>
      <c r="J11" s="645"/>
      <c r="K11" s="645"/>
      <c r="L11" s="645"/>
      <c r="M11" s="645"/>
      <c r="N11" s="45"/>
      <c r="O11" s="1610" t="s">
        <v>1284</v>
      </c>
      <c r="P11" s="1610"/>
      <c r="Q11" s="1610"/>
      <c r="R11" s="1610"/>
      <c r="S11" s="1610"/>
      <c r="T11" s="1610"/>
      <c r="U11" s="1610"/>
      <c r="V11" s="1610"/>
      <c r="W11" s="1610"/>
      <c r="X11" s="1610"/>
      <c r="Y11" s="45"/>
      <c r="Z11" s="556"/>
      <c r="AA11" s="556"/>
      <c r="AB11" s="556"/>
      <c r="AC11" s="556"/>
      <c r="AD11" s="556"/>
      <c r="AE11" s="977"/>
      <c r="AF11" s="977"/>
      <c r="AG11" s="556"/>
      <c r="AH11" s="556"/>
      <c r="AI11" s="556"/>
      <c r="AJ11" s="556"/>
      <c r="AK11" s="556"/>
      <c r="AL11" s="556"/>
      <c r="AM11" s="556"/>
      <c r="AN11" s="556"/>
      <c r="AO11" s="556"/>
      <c r="AP11" s="556"/>
      <c r="AQ11" s="556"/>
      <c r="AR11" s="556"/>
      <c r="AS11" s="556"/>
      <c r="AT11" s="556"/>
      <c r="AU11" s="556"/>
      <c r="AV11" s="556"/>
      <c r="AW11" s="556"/>
      <c r="AX11" s="556"/>
      <c r="AY11" s="556"/>
      <c r="AZ11" s="556"/>
      <c r="BA11" s="556"/>
      <c r="BB11" s="556"/>
    </row>
    <row r="12" spans="1:54" ht="15.6" customHeight="1" x14ac:dyDescent="0.3">
      <c r="A12" s="116"/>
      <c r="B12" s="681" t="s">
        <v>142</v>
      </c>
      <c r="C12" s="1604" t="s">
        <v>943</v>
      </c>
      <c r="D12" s="1604"/>
      <c r="E12" s="1604"/>
      <c r="F12" s="1604"/>
      <c r="G12" s="1604"/>
      <c r="H12" s="1604"/>
      <c r="I12" s="645"/>
      <c r="J12" s="645"/>
      <c r="K12" s="645"/>
      <c r="L12" s="645"/>
      <c r="M12" s="645"/>
      <c r="N12" s="45"/>
      <c r="O12" s="1610"/>
      <c r="P12" s="1610"/>
      <c r="Q12" s="1610"/>
      <c r="R12" s="1610"/>
      <c r="S12" s="1610"/>
      <c r="T12" s="1610"/>
      <c r="U12" s="1610"/>
      <c r="V12" s="1610"/>
      <c r="W12" s="1610"/>
      <c r="X12" s="1610"/>
      <c r="Y12" s="45"/>
      <c r="Z12" s="556"/>
      <c r="AA12" s="556"/>
      <c r="AB12" s="556"/>
      <c r="AC12" s="556"/>
      <c r="AD12" s="556"/>
      <c r="AE12" s="977"/>
      <c r="AF12" s="977"/>
      <c r="AG12" s="556"/>
      <c r="AH12" s="556"/>
      <c r="AI12" s="556"/>
      <c r="AJ12" s="556"/>
      <c r="AK12" s="556"/>
      <c r="AL12" s="556"/>
      <c r="AM12" s="556"/>
      <c r="AN12" s="556"/>
      <c r="AO12" s="556"/>
      <c r="AP12" s="556"/>
      <c r="AQ12" s="556"/>
      <c r="AR12" s="556"/>
      <c r="AS12" s="556"/>
      <c r="AT12" s="556"/>
      <c r="AU12" s="556"/>
      <c r="AV12" s="556"/>
      <c r="AW12" s="556"/>
      <c r="AX12" s="556"/>
      <c r="AY12" s="556"/>
      <c r="AZ12" s="556"/>
      <c r="BA12" s="556"/>
      <c r="BB12" s="556"/>
    </row>
    <row r="13" spans="1:54" ht="16.2" customHeight="1" x14ac:dyDescent="0.3">
      <c r="A13" s="116"/>
      <c r="B13" s="116"/>
      <c r="D13" s="1605" t="s">
        <v>847</v>
      </c>
      <c r="E13" s="1606"/>
      <c r="F13" s="1606"/>
      <c r="G13" s="1606"/>
      <c r="H13" s="1606"/>
      <c r="I13" s="1606"/>
      <c r="J13" s="1606"/>
      <c r="K13" s="1607"/>
      <c r="L13" s="1042">
        <f>IF(D13="",0,IF(D13="Conventional - Fannie",1,IF(D13="Conventional - Freddie",2,IF(OR(D13="FHA",D13="Other"),3,""))))</f>
        <v>0</v>
      </c>
      <c r="M13" s="647"/>
      <c r="N13" s="647"/>
      <c r="O13" s="1610"/>
      <c r="P13" s="1610"/>
      <c r="Q13" s="1610"/>
      <c r="R13" s="1610"/>
      <c r="S13" s="1610"/>
      <c r="T13" s="1610"/>
      <c r="U13" s="1610"/>
      <c r="V13" s="1610"/>
      <c r="W13" s="1610"/>
      <c r="X13" s="1610"/>
      <c r="Y13" s="45"/>
      <c r="Z13" s="731" t="str">
        <f>IF(OR(D13="",L13=0),"Loan Type Needed",
IF(L13=1,"Loan Type Not Eligible",
IF(L13=3,"Monthly  (12 Pay Periods)",
IF(L13=2,"Monthly  (12 Pay Periods) (Freddie)","Loan Type Needed"))))</f>
        <v>Loan Type Needed</v>
      </c>
      <c r="AA13" s="556"/>
      <c r="AB13" s="556"/>
      <c r="AC13" s="556"/>
      <c r="AD13" s="556"/>
      <c r="AE13" s="977"/>
      <c r="AF13" s="977"/>
      <c r="AG13" s="556"/>
      <c r="AH13" s="556"/>
      <c r="AI13" s="556"/>
      <c r="AJ13" s="556"/>
      <c r="AK13" s="556"/>
      <c r="AL13" s="556"/>
      <c r="AM13" s="556"/>
      <c r="AN13" s="556"/>
      <c r="AO13" s="556"/>
      <c r="AP13" s="556"/>
      <c r="AQ13" s="556"/>
      <c r="AR13" s="556"/>
      <c r="AS13" s="556"/>
      <c r="AT13" s="556"/>
      <c r="AU13" s="556"/>
      <c r="AV13" s="556"/>
      <c r="AW13" s="556"/>
      <c r="AX13" s="556"/>
      <c r="AY13" s="556"/>
      <c r="AZ13" s="556"/>
      <c r="BA13" s="556"/>
      <c r="BB13" s="556"/>
    </row>
    <row r="14" spans="1:54" ht="7.8" customHeight="1" x14ac:dyDescent="0.3">
      <c r="A14" s="116"/>
      <c r="B14" s="116"/>
      <c r="C14" s="529"/>
      <c r="D14" s="646"/>
      <c r="E14" s="646"/>
      <c r="F14" s="646"/>
      <c r="G14" s="646"/>
      <c r="H14" s="646"/>
      <c r="I14" s="646"/>
      <c r="J14" s="646"/>
      <c r="K14" s="645"/>
      <c r="L14" s="647"/>
      <c r="M14" s="647"/>
      <c r="N14" s="647"/>
      <c r="O14" s="647"/>
      <c r="P14" s="45"/>
      <c r="Q14" s="647"/>
      <c r="R14" s="647"/>
      <c r="S14" s="647"/>
      <c r="T14" s="647"/>
      <c r="U14" s="38"/>
      <c r="V14" s="647"/>
      <c r="W14" s="647"/>
      <c r="X14" s="647"/>
      <c r="Y14" s="45"/>
      <c r="Z14" s="731" t="str">
        <f>IF(L13=3,"Semi-Monthly  (24 Pay Periods)",
IF(L13=2,"Semi-Monthly  (24 Pay Periods) (Freddie)",""))</f>
        <v/>
      </c>
      <c r="AA14" s="556"/>
      <c r="AB14" s="556"/>
      <c r="AC14" s="556"/>
      <c r="AD14" s="556"/>
      <c r="AE14" s="977"/>
      <c r="AF14" s="977"/>
      <c r="AG14" s="556"/>
      <c r="AH14" s="556"/>
      <c r="AI14" s="556"/>
      <c r="AJ14" s="556"/>
      <c r="AK14" s="556"/>
      <c r="AL14" s="556"/>
      <c r="AM14" s="556"/>
      <c r="AN14" s="556"/>
      <c r="AO14" s="556"/>
      <c r="AP14" s="556"/>
      <c r="AQ14" s="556"/>
      <c r="AR14" s="556"/>
      <c r="AS14" s="556"/>
      <c r="AT14" s="556"/>
      <c r="AU14" s="556"/>
      <c r="AV14" s="556"/>
      <c r="AW14" s="556"/>
      <c r="AX14" s="556"/>
      <c r="AY14" s="556"/>
      <c r="AZ14" s="556"/>
      <c r="BA14" s="556"/>
      <c r="BB14" s="556"/>
    </row>
    <row r="15" spans="1:54" ht="15" customHeight="1" x14ac:dyDescent="0.3">
      <c r="A15" s="116"/>
      <c r="B15" s="681" t="s">
        <v>143</v>
      </c>
      <c r="C15" s="1611" t="s">
        <v>1268</v>
      </c>
      <c r="D15" s="1611"/>
      <c r="E15" s="1611"/>
      <c r="F15" s="1611"/>
      <c r="G15" s="1611"/>
      <c r="H15" s="1611"/>
      <c r="I15" s="1611"/>
      <c r="J15" s="1611"/>
      <c r="K15" s="1611"/>
      <c r="O15" s="690" t="s">
        <v>145</v>
      </c>
      <c r="P15" s="1662" t="s">
        <v>1041</v>
      </c>
      <c r="Q15" s="1662"/>
      <c r="R15" s="1662"/>
      <c r="S15" s="1662"/>
      <c r="T15" s="1662"/>
      <c r="V15" s="1618">
        <v>0</v>
      </c>
      <c r="W15" s="1619"/>
      <c r="X15" s="631"/>
      <c r="Y15" s="45"/>
      <c r="Z15" s="731" t="str">
        <f>IF(L13=3,"Bi-Weekly  (26 Pay Periods)",
IF(L13=2,"Bi-Weekly  (26 Pay Periods) (Freddie)",""))</f>
        <v/>
      </c>
      <c r="AA15" s="556"/>
      <c r="AB15" s="556"/>
      <c r="AC15" s="556"/>
      <c r="AD15" s="556"/>
      <c r="AE15" s="977"/>
      <c r="AF15" s="977"/>
      <c r="AG15" s="556"/>
      <c r="AH15" s="556"/>
      <c r="AI15" s="556"/>
      <c r="AJ15" s="556"/>
      <c r="AK15" s="556"/>
      <c r="AL15" s="556"/>
      <c r="AM15" s="556"/>
      <c r="AN15" s="556"/>
      <c r="AO15" s="556"/>
      <c r="AP15" s="556"/>
      <c r="AQ15" s="556"/>
      <c r="AR15" s="556"/>
      <c r="AS15" s="556"/>
      <c r="AT15" s="556"/>
      <c r="AU15" s="556"/>
      <c r="AV15" s="556"/>
      <c r="AW15" s="556"/>
      <c r="AX15" s="556"/>
      <c r="AY15" s="556"/>
      <c r="AZ15" s="556"/>
      <c r="BA15" s="556"/>
      <c r="BB15" s="556"/>
    </row>
    <row r="16" spans="1:54" ht="16.2" customHeight="1" x14ac:dyDescent="0.3">
      <c r="A16" s="116"/>
      <c r="B16" s="116"/>
      <c r="C16" s="1612" t="str">
        <f>IF(AND(L13=0,V285&gt;=1),"Loan Type Needed Above",
IF(AND(L13=3,V285=1),"12 months history of hours not required. Must enter 0 for non worked pay periods.",
IF(AND(L13=3,V285=2),"12 months history of hours not required. Must enter 0 for non worked pay periods.",
IF(AND(L13=2,V285=1),"At least 12 months history of receipt is required.
Cannot input 0 to supplement unemployed pay periods.",
IF(AND(L13=2,V285=2),"At least 12 months history of receipt is required; 
cannot use with less than 12 months receipt.",
"")))))</f>
        <v/>
      </c>
      <c r="D16" s="1612"/>
      <c r="E16" s="1612"/>
      <c r="F16" s="1612"/>
      <c r="G16" s="1612"/>
      <c r="H16" s="1612"/>
      <c r="I16" s="1612"/>
      <c r="J16" s="1612"/>
      <c r="K16" s="1612"/>
      <c r="L16" s="1612"/>
      <c r="M16" s="1612"/>
      <c r="N16" s="631"/>
      <c r="O16" s="684"/>
      <c r="P16" s="1629" t="s">
        <v>1042</v>
      </c>
      <c r="Q16" s="1629"/>
      <c r="R16" s="1629"/>
      <c r="S16" s="1629"/>
      <c r="T16" s="1629"/>
      <c r="U16" s="1041"/>
      <c r="V16" s="1620"/>
      <c r="W16" s="1621"/>
      <c r="X16" s="631"/>
      <c r="Y16" s="45"/>
      <c r="Z16" s="731" t="str">
        <f>IF(L13=3,"Weekly  (52 Pay Periods)",
IF(L13=2,"Weekly  (52 Pay Periods) (Freddie)",""))</f>
        <v/>
      </c>
      <c r="AA16" s="556"/>
      <c r="AB16" s="556"/>
      <c r="AC16" s="556"/>
      <c r="AD16" s="556"/>
      <c r="AE16" s="977"/>
      <c r="AF16" s="977"/>
      <c r="AG16" s="556"/>
      <c r="AH16" s="556"/>
      <c r="AI16" s="556"/>
      <c r="AJ16" s="556"/>
      <c r="AK16" s="556"/>
      <c r="AL16" s="556"/>
      <c r="AM16" s="556"/>
      <c r="AN16" s="556"/>
      <c r="AO16" s="556"/>
      <c r="AP16" s="556"/>
      <c r="AQ16" s="556"/>
      <c r="AR16" s="556"/>
      <c r="AS16" s="556"/>
      <c r="AT16" s="556"/>
      <c r="AU16" s="556"/>
      <c r="AV16" s="556"/>
      <c r="AW16" s="556"/>
      <c r="AX16" s="556"/>
      <c r="AY16" s="556"/>
      <c r="AZ16" s="556"/>
      <c r="BA16" s="556"/>
      <c r="BB16" s="556"/>
    </row>
    <row r="17" spans="1:54" ht="7.8" customHeight="1" x14ac:dyDescent="0.3">
      <c r="A17" s="116"/>
      <c r="B17" s="116"/>
      <c r="C17" s="1612"/>
      <c r="D17" s="1612"/>
      <c r="E17" s="1612"/>
      <c r="F17" s="1612"/>
      <c r="G17" s="1612"/>
      <c r="H17" s="1612"/>
      <c r="I17" s="1612"/>
      <c r="J17" s="1612"/>
      <c r="K17" s="1612"/>
      <c r="L17" s="1612"/>
      <c r="M17" s="1612"/>
      <c r="N17" s="631"/>
      <c r="O17" s="684"/>
      <c r="P17" s="948"/>
      <c r="Q17" s="948"/>
      <c r="R17" s="948"/>
      <c r="S17" s="948"/>
      <c r="T17" s="948"/>
      <c r="U17" s="951"/>
      <c r="V17" s="951"/>
      <c r="W17" s="951"/>
      <c r="X17" s="631"/>
      <c r="Y17" s="45"/>
      <c r="Z17" s="556"/>
      <c r="AA17" s="556"/>
      <c r="AB17" s="556"/>
      <c r="AC17" s="556"/>
      <c r="AD17" s="556"/>
      <c r="AE17" s="977"/>
      <c r="AF17" s="977"/>
      <c r="AG17" s="556"/>
      <c r="AH17" s="556"/>
      <c r="AI17" s="556"/>
      <c r="AJ17" s="556"/>
      <c r="AK17" s="556"/>
      <c r="AL17" s="556"/>
      <c r="AM17" s="556"/>
      <c r="AN17" s="556"/>
      <c r="AO17" s="556"/>
      <c r="AP17" s="556"/>
      <c r="AQ17" s="556"/>
      <c r="AR17" s="556"/>
      <c r="AS17" s="556"/>
      <c r="AT17" s="556"/>
      <c r="AU17" s="556"/>
      <c r="AV17" s="556"/>
      <c r="AW17" s="556"/>
      <c r="AX17" s="556"/>
      <c r="AY17" s="556"/>
      <c r="AZ17" s="556"/>
      <c r="BA17" s="556"/>
      <c r="BB17" s="556"/>
    </row>
    <row r="18" spans="1:54" ht="15.6" customHeight="1" x14ac:dyDescent="0.3">
      <c r="A18" s="116"/>
      <c r="B18" s="950" t="s">
        <v>146</v>
      </c>
      <c r="C18" s="1630" t="s">
        <v>1037</v>
      </c>
      <c r="D18" s="1630"/>
      <c r="E18" s="1630"/>
      <c r="F18" s="1630"/>
      <c r="G18" s="1630"/>
      <c r="H18" s="1630"/>
      <c r="I18" s="1630"/>
      <c r="J18" s="1630"/>
      <c r="K18" s="1630"/>
      <c r="L18" s="1630"/>
      <c r="M18" s="1630"/>
      <c r="N18" s="631"/>
      <c r="O18" s="950" t="s">
        <v>147</v>
      </c>
      <c r="P18" s="1608" t="s">
        <v>1250</v>
      </c>
      <c r="Q18" s="1608"/>
      <c r="R18" s="1624" t="s">
        <v>1252</v>
      </c>
      <c r="S18" s="1624"/>
      <c r="T18" s="1624"/>
      <c r="U18" s="952"/>
      <c r="V18" s="952"/>
      <c r="W18" s="952"/>
      <c r="X18" s="631"/>
      <c r="Y18" s="45"/>
      <c r="Z18" s="556"/>
      <c r="AA18" s="556"/>
      <c r="AB18" s="556"/>
      <c r="AC18" s="556"/>
      <c r="AD18" s="556"/>
      <c r="AE18" s="977"/>
      <c r="AF18" s="977"/>
      <c r="AG18" s="556"/>
      <c r="AH18" s="556"/>
      <c r="AI18" s="556"/>
      <c r="AJ18" s="556"/>
      <c r="AK18" s="556"/>
      <c r="AL18" s="556"/>
      <c r="AM18" s="556"/>
      <c r="AN18" s="556"/>
      <c r="AO18" s="556"/>
      <c r="AP18" s="556"/>
      <c r="AQ18" s="556"/>
      <c r="AR18" s="556"/>
      <c r="AS18" s="556"/>
      <c r="AT18" s="556"/>
      <c r="AU18" s="556"/>
      <c r="AV18" s="556"/>
      <c r="AW18" s="556"/>
      <c r="AX18" s="556"/>
      <c r="AY18" s="556"/>
      <c r="AZ18" s="556"/>
      <c r="BA18" s="556"/>
      <c r="BB18" s="556"/>
    </row>
    <row r="19" spans="1:54" ht="16.2" customHeight="1" x14ac:dyDescent="0.3">
      <c r="A19" s="116"/>
      <c r="B19" s="374"/>
      <c r="D19" s="1626" t="s">
        <v>847</v>
      </c>
      <c r="E19" s="1627"/>
      <c r="F19" s="1627"/>
      <c r="G19" s="1627"/>
      <c r="H19" s="1627"/>
      <c r="I19" s="1627"/>
      <c r="J19" s="1627"/>
      <c r="K19" s="1627"/>
      <c r="L19" s="1628"/>
      <c r="M19" s="1040">
        <f>IF(D19="",0,IF(OR(D19="Loan Type Needed",D19="Loan Type Not Eligible",Z13="Loan Type Needed",Z13="Loan Type Not Eligible"),0,
IF(D19="Monthly  (12 Pay Periods)",1,IF(D19="Semi-Monthly  (24 Pay Periods)",2,IF(D19="Bi-Weekly  (26 Pay Periods)",3,IF(D19="Weekly  (52 Pay Periods)",4,
IF(D19="Monthly  (12 Pay Periods) (Freddie)",1,IF(D19="Semi-Monthly  (24 Pay Periods) (Freddie)",2,IF(D19="Bi-Weekly  (26 Pay Periods) (Freddie)",3,IF(D19="Weekly  (52 Pay Periods) (Freddie)",4,""))))))))))</f>
        <v>0</v>
      </c>
      <c r="N19" s="1040">
        <f>IF(OR(L13=0,L13="",L13=1,M19=0,M19=""),0,
IF(AND(L13=3,M19=1),1,
IF(AND(L13=3,M19=2),2,
IF(AND(L13=3,M19=3),3,
IF(AND(L13=3,M19=4),4,
IF(AND(L13=2,M19=1),5,
IF(AND(L13=2,M19=2),6,
IF(AND(L13=2,M19=3),7,
IF(AND(L13=2,M19=4),8,""
)))))))))</f>
        <v>0</v>
      </c>
      <c r="O19" s="956"/>
      <c r="P19" s="1609" t="s">
        <v>1251</v>
      </c>
      <c r="Q19" s="1609"/>
      <c r="R19" s="1609"/>
      <c r="S19" s="1609"/>
      <c r="T19" s="1609"/>
      <c r="U19" s="1609"/>
      <c r="V19" s="1622"/>
      <c r="W19" s="1623"/>
      <c r="X19" s="631"/>
      <c r="Y19" s="45"/>
      <c r="Z19" s="556"/>
      <c r="AA19" s="556"/>
      <c r="AB19" s="556"/>
      <c r="AC19" s="556"/>
      <c r="AD19" s="556"/>
      <c r="AE19" s="977"/>
      <c r="AF19" s="977"/>
      <c r="AG19" s="556"/>
      <c r="AH19" s="556"/>
      <c r="AI19" s="556"/>
      <c r="AJ19" s="556"/>
      <c r="AK19" s="556"/>
      <c r="AL19" s="556"/>
      <c r="AM19" s="556"/>
      <c r="AN19" s="556"/>
      <c r="AO19" s="556"/>
      <c r="AP19" s="556"/>
      <c r="AQ19" s="556"/>
      <c r="AR19" s="556"/>
      <c r="AS19" s="556"/>
      <c r="AT19" s="556"/>
      <c r="AU19" s="556"/>
      <c r="AV19" s="556"/>
      <c r="AW19" s="556"/>
      <c r="AX19" s="556"/>
      <c r="AY19" s="556"/>
      <c r="AZ19" s="556"/>
      <c r="BA19" s="556"/>
      <c r="BB19" s="556"/>
    </row>
    <row r="20" spans="1:54" ht="3" customHeight="1" x14ac:dyDescent="0.3">
      <c r="A20" s="116"/>
      <c r="B20" s="116"/>
      <c r="C20" s="1616" t="str">
        <f>IF(AND(D13="",OR(V285&gt;=1,VIZero&gt;0,M19&gt;0,N19&gt;0,V19&lt;&gt;"",V21&lt;&gt;"")),"Loan Type needed above.",
IF(AND(V285="",OR(VIZero&gt;0,M19&gt;0,N19&gt;0,V19&lt;&gt;"",V21&lt;&gt;"")),"Answer to Question 2 needed above.",
IF(L13=1,"Income source not eligible for Fannie",
IF(AND(L13=2,V285=2),"Income source not eligible for Freddie, 
Must have at least 12 months receipt.",
IF(AND(D19="",OR(E30&lt;&gt;"",L30&lt;&gt;"",AND(V15&lt;&gt;"",V15&gt;0))),"Pay Frequency Needed",IF(AND(V21&lt;&gt;"",V19&lt;&gt;"",V21&lt;V19),"Error: 'Job Start date'  should be before
'Most recent pay period start date'",
IF(AND(L13=2,X285=FALSE,Z401&gt;0,Z401&lt;=12),"Does not meet length of receipt requirement(s). Must have greater than 12 months receipt, and pay periods (end dates) must elapse 1 year.",
IF(AND(L13=2,X285=TRUE,AO401&gt;0,AO401&lt;=12),"Does not meet length of receipt requirement(s). Must have greater than 12 months receipt, and pay periods (end dates) must elapse 1 year.",
IF(AND(L13=2,X285=FALSE,V19&lt;&gt;"",V21&lt;&gt;"",AE294&lt;&gt;"",AE398&lt;&gt;0,AE294=AE398),"Does not meet length of receipt requirement(s). Must have greater than 12 months receipt, and pay periods (end dates) must elapse 1 year.",
IF(AND(L13=2,X285=TRUE,V19&lt;&gt;"",V21&lt;&gt;"",AT294&lt;&gt;"",AT398&lt;&gt;0,AT294=AT398),"Does not meet length of receipt requirement(s). Must have greater than 12 months receipt, and pay periods (end dates) must elapse 1 year.",
IF(AND(M19=2,C28&lt;&gt;1,C28&lt;&gt;16),"The Pay Period start date should generally be the 1st or 16th for Semi Monthly pay frequency",
IF(AND(L13&gt;1,N19&gt;=1,V19&lt;&gt;"",V21&lt;&gt;"",VIZero=0),"Documented Pay Increase needed",
IF(AND(L13=2,N19&gt;=1,L246=""),"Hours for all applicable pay periods required below.",
IF(AND(L13=3,N19&gt;=1,L246=""),"Hours for all pay periods required below. 
Enter '0' if none.",
IF(AND(P27&gt;0,T27&gt;0,T27&lt;P27),"Average hours per Month declined
from prior year to YTD, Income should
not be used unless justification provided.",
IF(AND(L13=2,OR(N19=1,N19=2,N19=3,N19=4)),"Pay Frequency Type needs to be 
updated for Loan Type",
IF(AND(L13=3,OR(N19=5,N19=6,N19=7,N19=8)),"Pay Frequency Type needs to be 
updated for Loan Type","")))))))))))))))))</f>
        <v/>
      </c>
      <c r="D20" s="1616"/>
      <c r="E20" s="1616"/>
      <c r="F20" s="1616"/>
      <c r="G20" s="1616"/>
      <c r="H20" s="1616"/>
      <c r="I20" s="1616"/>
      <c r="J20" s="1616"/>
      <c r="K20" s="1616"/>
      <c r="L20" s="1616"/>
      <c r="M20" s="1616"/>
      <c r="N20" s="631"/>
      <c r="O20" s="684"/>
      <c r="W20" s="951"/>
      <c r="X20" s="631"/>
      <c r="Y20" s="45"/>
      <c r="Z20" s="556"/>
      <c r="AA20" s="556"/>
      <c r="AB20" s="556"/>
      <c r="AC20" s="556"/>
      <c r="AD20" s="556"/>
      <c r="AE20" s="977"/>
      <c r="AF20" s="977"/>
      <c r="AG20" s="556"/>
      <c r="AH20" s="556"/>
      <c r="AI20" s="556"/>
      <c r="AJ20" s="556"/>
      <c r="AK20" s="556"/>
      <c r="AL20" s="556"/>
      <c r="AM20" s="556"/>
      <c r="AN20" s="556"/>
      <c r="AO20" s="556"/>
      <c r="AP20" s="556"/>
      <c r="AQ20" s="556"/>
      <c r="AR20" s="556"/>
      <c r="AS20" s="556"/>
      <c r="AT20" s="556"/>
      <c r="AU20" s="556"/>
      <c r="AV20" s="556"/>
      <c r="AW20" s="556"/>
      <c r="AX20" s="556"/>
      <c r="AY20" s="556"/>
      <c r="AZ20" s="556"/>
      <c r="BA20" s="556"/>
      <c r="BB20" s="556"/>
    </row>
    <row r="21" spans="1:54" ht="16.2" customHeight="1" x14ac:dyDescent="0.3">
      <c r="A21" s="116"/>
      <c r="B21" s="116"/>
      <c r="C21" s="1616"/>
      <c r="D21" s="1616"/>
      <c r="E21" s="1616"/>
      <c r="F21" s="1616"/>
      <c r="G21" s="1616"/>
      <c r="H21" s="1616"/>
      <c r="I21" s="1616"/>
      <c r="J21" s="1616"/>
      <c r="K21" s="1616"/>
      <c r="L21" s="1616"/>
      <c r="M21" s="1616"/>
      <c r="N21" s="631"/>
      <c r="O21" s="684"/>
      <c r="P21" s="1609" t="s">
        <v>1249</v>
      </c>
      <c r="Q21" s="1609"/>
      <c r="R21" s="1609"/>
      <c r="S21" s="1609"/>
      <c r="T21" s="1609"/>
      <c r="U21" s="1609"/>
      <c r="V21" s="1622"/>
      <c r="W21" s="1623"/>
      <c r="X21" s="631"/>
      <c r="Y21" s="45"/>
      <c r="Z21" s="556"/>
      <c r="AA21" s="1677"/>
      <c r="AB21" s="1677"/>
      <c r="AC21" s="556"/>
      <c r="AD21" s="556"/>
      <c r="AE21" s="977"/>
      <c r="AF21" s="977"/>
      <c r="AG21" s="556"/>
      <c r="AH21" s="556"/>
      <c r="AI21" s="556"/>
      <c r="AJ21" s="556"/>
      <c r="AK21" s="556"/>
      <c r="AL21" s="556"/>
      <c r="AM21" s="556"/>
      <c r="AN21" s="556"/>
      <c r="AO21" s="556"/>
      <c r="AP21" s="556"/>
      <c r="AQ21" s="556"/>
      <c r="AR21" s="556"/>
      <c r="AS21" s="556"/>
      <c r="AT21" s="556"/>
      <c r="AU21" s="556"/>
      <c r="AV21" s="556"/>
      <c r="AW21" s="556"/>
      <c r="AX21" s="556"/>
      <c r="AY21" s="556"/>
      <c r="AZ21" s="556"/>
      <c r="BA21" s="556"/>
      <c r="BB21" s="556"/>
    </row>
    <row r="22" spans="1:54" ht="28.2" customHeight="1" thickBot="1" x14ac:dyDescent="0.35">
      <c r="A22" s="116"/>
      <c r="B22" s="116"/>
      <c r="C22" s="1617"/>
      <c r="D22" s="1617"/>
      <c r="E22" s="1617"/>
      <c r="F22" s="1617"/>
      <c r="G22" s="1617"/>
      <c r="H22" s="1617"/>
      <c r="I22" s="1617"/>
      <c r="J22" s="1617"/>
      <c r="K22" s="1617"/>
      <c r="L22" s="1617"/>
      <c r="M22" s="1617"/>
      <c r="N22" s="773"/>
      <c r="O22" s="631"/>
      <c r="P22" s="1625" t="s">
        <v>1253</v>
      </c>
      <c r="Q22" s="1625"/>
      <c r="R22" s="1625"/>
      <c r="S22" s="1625"/>
      <c r="T22" s="1625"/>
      <c r="U22" s="1625"/>
      <c r="V22" s="1039" t="str">
        <f>IF(N19=1,X22,
IF(N19=2,(12/24)*X22,
IF(N19=3,(12/26)*X22,
IF(N19=4,(12/52)*X22,""))))</f>
        <v/>
      </c>
      <c r="W22" s="772"/>
      <c r="X22" s="1038" t="str">
        <f>IF(N19=1,COUNTA(L30,L32,L34,L36,L38,L40,L42,L44,L46,L48,L50,L52),
IF(N19=2,COUNTA(L30,L32,L34,L36,L38,L40,L42,L44,L46,L48,L50,L52,L54,L56,L58,L60,L62,L64,L66,L68,L70,L72,L74,L76),
IF(N19=3,COUNTA(L30,L32,L34,L36,L38,L40,L42,L44,L46,L48,L50,L52,L54,L56,L58,L60,L62,L64,L66,L68,L70,L72,L74,L76,L78,L80),
IF(N19=4,COUNTA(L30,L32,L34,L36,L38,L40,L42,L44,L46,L48,L50,L52,L54,L56,L58,L60,L62,L64,L66,L68,L70,L72,L74,L76,L78,L80,L82,L84,L86,L88,L90,L92,L94,L100,L102,L104,L106,L108,L110,L112,L114,L116,L118,L120,L122,L124,L126,L128,L130,L132,L134,L136),""))))</f>
        <v/>
      </c>
      <c r="Y22" s="45"/>
      <c r="Z22" s="556"/>
      <c r="AA22" s="1000"/>
      <c r="AB22" s="556"/>
      <c r="AC22" s="556"/>
      <c r="AD22" s="556"/>
      <c r="AE22" s="977"/>
      <c r="AF22" s="977"/>
      <c r="AG22" s="556"/>
      <c r="AH22" s="556"/>
      <c r="AI22" s="556"/>
      <c r="AJ22" s="556"/>
      <c r="AK22" s="556"/>
      <c r="AL22" s="556"/>
      <c r="AM22" s="556"/>
      <c r="AN22" s="556"/>
      <c r="AO22" s="556"/>
      <c r="AP22" s="556"/>
      <c r="AQ22" s="556"/>
      <c r="AR22" s="556"/>
      <c r="AS22" s="556"/>
      <c r="AT22" s="556"/>
      <c r="AU22" s="556"/>
      <c r="AV22" s="556"/>
      <c r="AW22" s="556"/>
      <c r="AX22" s="556"/>
      <c r="AY22" s="556"/>
      <c r="AZ22" s="556"/>
      <c r="BA22" s="556"/>
      <c r="BB22" s="556"/>
    </row>
    <row r="23" spans="1:54" ht="8.4" customHeight="1" thickTop="1" x14ac:dyDescent="0.3">
      <c r="A23" s="116"/>
      <c r="B23" s="1678" t="s">
        <v>148</v>
      </c>
      <c r="C23" s="957"/>
      <c r="D23" s="953"/>
      <c r="E23" s="953"/>
      <c r="F23" s="953"/>
      <c r="G23" s="953"/>
      <c r="H23" s="953"/>
      <c r="I23" s="953"/>
      <c r="J23" s="953"/>
      <c r="K23" s="953"/>
      <c r="L23" s="953"/>
      <c r="M23" s="953"/>
      <c r="N23" s="958"/>
      <c r="O23" s="631"/>
      <c r="P23" s="959"/>
      <c r="Q23" s="960"/>
      <c r="R23" s="960"/>
      <c r="S23" s="960"/>
      <c r="T23" s="960"/>
      <c r="U23" s="960"/>
      <c r="V23" s="961"/>
      <c r="W23" s="962"/>
      <c r="X23" s="963"/>
      <c r="Y23" s="45"/>
      <c r="Z23" s="556"/>
      <c r="AA23" s="1000"/>
      <c r="AB23" s="556"/>
      <c r="AC23" s="556"/>
      <c r="AD23" s="556"/>
      <c r="AE23" s="977"/>
      <c r="AF23" s="977"/>
      <c r="AG23" s="556"/>
      <c r="AH23" s="556"/>
      <c r="AI23" s="556"/>
      <c r="AJ23" s="556"/>
      <c r="AK23" s="556"/>
      <c r="AL23" s="556"/>
      <c r="AM23" s="556"/>
      <c r="AN23" s="556"/>
      <c r="AO23" s="556"/>
      <c r="AP23" s="556"/>
      <c r="AQ23" s="556"/>
      <c r="AR23" s="556"/>
      <c r="AS23" s="556"/>
      <c r="AT23" s="556"/>
      <c r="AU23" s="556"/>
      <c r="AV23" s="556"/>
      <c r="AW23" s="556"/>
      <c r="AX23" s="556"/>
      <c r="AY23" s="556"/>
      <c r="AZ23" s="556"/>
      <c r="BA23" s="556"/>
      <c r="BB23" s="556"/>
    </row>
    <row r="24" spans="1:54" ht="20.399999999999999" customHeight="1" x14ac:dyDescent="0.35">
      <c r="A24" s="116"/>
      <c r="B24" s="1678"/>
      <c r="C24" s="685"/>
      <c r="D24" s="118"/>
      <c r="E24" s="1578" t="s">
        <v>1036</v>
      </c>
      <c r="F24" s="1578"/>
      <c r="G24" s="1578"/>
      <c r="H24" s="1579" t="s">
        <v>1036</v>
      </c>
      <c r="I24" s="1579"/>
      <c r="J24" s="1579"/>
      <c r="K24" s="686"/>
      <c r="L24" s="1578" t="s">
        <v>1038</v>
      </c>
      <c r="M24" s="1578"/>
      <c r="N24" s="672"/>
      <c r="O24" s="971"/>
      <c r="P24" s="965"/>
      <c r="Q24" s="965"/>
      <c r="R24" s="1552" t="s">
        <v>1072</v>
      </c>
      <c r="S24" s="1552"/>
      <c r="T24" s="1552"/>
      <c r="U24" s="1552"/>
      <c r="V24" s="965"/>
      <c r="W24" s="965"/>
      <c r="X24" s="966"/>
      <c r="Y24" s="691"/>
      <c r="Z24" s="556"/>
      <c r="AA24" s="556"/>
      <c r="AB24" s="556"/>
      <c r="AC24" s="556"/>
      <c r="AD24" s="556"/>
      <c r="AE24" s="977"/>
      <c r="AF24" s="977"/>
      <c r="AG24" s="556"/>
      <c r="AH24" s="556"/>
      <c r="AI24" s="556"/>
      <c r="AJ24" s="556"/>
      <c r="AK24" s="556"/>
      <c r="AL24" s="556"/>
      <c r="AM24" s="556"/>
      <c r="AN24" s="556"/>
      <c r="AO24" s="556"/>
      <c r="AP24" s="556"/>
      <c r="AQ24" s="556"/>
      <c r="AR24" s="556"/>
      <c r="AS24" s="556"/>
      <c r="AT24" s="556"/>
      <c r="AU24" s="556"/>
      <c r="AV24" s="556"/>
      <c r="AW24" s="556"/>
      <c r="AX24" s="556"/>
      <c r="AY24" s="556"/>
      <c r="AZ24" s="556"/>
      <c r="BA24" s="556"/>
      <c r="BB24" s="556"/>
    </row>
    <row r="25" spans="1:54" ht="12.6" customHeight="1" x14ac:dyDescent="0.35">
      <c r="A25" s="116"/>
      <c r="B25" s="954"/>
      <c r="C25" s="685"/>
      <c r="D25" s="118"/>
      <c r="E25" s="1439" t="str">
        <f>IF(D13="Conventional - Freddie", "Pay Period Hours required 
for Prior Year through YTD 
(Verified Pay period)", " Pay Period Hours required
for Most Recent full year.")</f>
        <v xml:space="preserve"> Pay Period Hours required
for Most Recent full year.</v>
      </c>
      <c r="F25" s="1439"/>
      <c r="G25" s="1439"/>
      <c r="H25" s="1439" t="str">
        <f>IF(AND(N19=0,L13&lt;&gt;2),"Enter 12 months pay period 
Start Dates and End Dates
(Most recent at top)",
IF(AND(N19=0,L13=2),"Enter YTD through Prior Years pay period Start Dates and End Dates
(Most recent at top)",
IF(N19=1,"Enter 12 pay period 
Start Dates and End Dates",
IF(N19=2,"Enter 24 pay period 
Start Dates and End Dates",
IF(N19=3,"Enter 26 months pay period 
Start Dates and End Dates",
IF(N19=4,"Enter 52 months pay period 
Start Dates and End Dates",
IF(AND(AC399=0,OR(N19=5,N19=6,N19=7,N19=8)),"Enter YTD through Prior Years pay period Start Dates and End Dates",
IF(AND(AC399&gt;0,OR(N19=5,N19=6,N19=7,N19=8)),CONCATENATE("Enter YTD through Prior Years pay period Start Dates and End Dates - TYD at top.
(About ",AC399," pay periods)"),
"Enter 12 months pay period Start Dates and End Dates"))))))))</f>
        <v>Enter 12 months pay period 
Start Dates and End Dates
(Most recent at top)</v>
      </c>
      <c r="I25" s="1439"/>
      <c r="J25" s="1439"/>
      <c r="K25" s="686"/>
      <c r="L25" s="1581" t="s">
        <v>1066</v>
      </c>
      <c r="M25" s="1581"/>
      <c r="N25" s="672"/>
      <c r="O25" s="971"/>
      <c r="P25" s="1613" t="s">
        <v>1263</v>
      </c>
      <c r="Q25" s="1614"/>
      <c r="R25" s="1614"/>
      <c r="S25" s="1614"/>
      <c r="T25" s="1614"/>
      <c r="U25" s="1614"/>
      <c r="V25" s="1614"/>
      <c r="W25" s="1614"/>
      <c r="X25" s="1615"/>
      <c r="Y25" s="691"/>
      <c r="Z25" s="556"/>
      <c r="AA25" s="556"/>
      <c r="AB25" s="556"/>
      <c r="AC25" s="556"/>
      <c r="AD25" s="556"/>
      <c r="AE25" s="977"/>
      <c r="AF25" s="977"/>
      <c r="AG25" s="556"/>
      <c r="AH25" s="556"/>
      <c r="AI25" s="556"/>
      <c r="AJ25" s="556"/>
      <c r="AK25" s="556"/>
      <c r="AL25" s="556"/>
      <c r="AM25" s="556"/>
      <c r="AN25" s="556"/>
      <c r="AO25" s="556"/>
      <c r="AP25" s="556"/>
      <c r="AQ25" s="556"/>
      <c r="AR25" s="556"/>
      <c r="AS25" s="556"/>
      <c r="AT25" s="556"/>
      <c r="AU25" s="556"/>
      <c r="AV25" s="556"/>
      <c r="AW25" s="556"/>
      <c r="AX25" s="556"/>
      <c r="AY25" s="556"/>
      <c r="AZ25" s="556"/>
      <c r="BA25" s="556"/>
      <c r="BB25" s="556"/>
    </row>
    <row r="26" spans="1:54" ht="13.8" customHeight="1" x14ac:dyDescent="0.35">
      <c r="A26" s="116"/>
      <c r="B26" s="954"/>
      <c r="C26" s="685"/>
      <c r="D26" s="118"/>
      <c r="E26" s="1439"/>
      <c r="F26" s="1439"/>
      <c r="G26" s="1439"/>
      <c r="H26" s="1439"/>
      <c r="I26" s="1439"/>
      <c r="J26" s="1439"/>
      <c r="K26" s="686"/>
      <c r="L26" s="1581"/>
      <c r="M26" s="1581"/>
      <c r="N26" s="672"/>
      <c r="O26" s="683"/>
      <c r="P26" s="1557" t="str">
        <f>IF(X285=TRUE,AZ293,AK293)</f>
        <v/>
      </c>
      <c r="Q26" s="1558"/>
      <c r="R26" s="1558"/>
      <c r="S26" s="1558"/>
      <c r="T26" s="1558" t="str">
        <f>IF(X285=TRUE,AV293,AG293)</f>
        <v/>
      </c>
      <c r="U26" s="1558"/>
      <c r="V26" s="1558"/>
      <c r="W26" s="1558"/>
      <c r="X26" s="1559"/>
      <c r="Y26" s="691"/>
      <c r="Z26" s="556"/>
      <c r="AA26" s="556"/>
      <c r="AB26" s="556"/>
      <c r="AC26" s="556"/>
      <c r="AD26" s="556"/>
      <c r="AE26" s="977"/>
      <c r="AF26" s="977"/>
      <c r="AG26" s="556"/>
      <c r="AH26" s="556"/>
      <c r="AI26" s="556"/>
      <c r="AJ26" s="556"/>
      <c r="AK26" s="556"/>
      <c r="AL26" s="556"/>
      <c r="AM26" s="556"/>
      <c r="AN26" s="556"/>
      <c r="AO26" s="556"/>
      <c r="AP26" s="556"/>
      <c r="AQ26" s="556"/>
      <c r="AR26" s="556"/>
      <c r="AS26" s="556"/>
      <c r="AT26" s="556"/>
      <c r="AU26" s="556"/>
      <c r="AV26" s="556"/>
      <c r="AW26" s="556"/>
      <c r="AX26" s="556"/>
      <c r="AY26" s="556"/>
      <c r="AZ26" s="556"/>
      <c r="BA26" s="556"/>
      <c r="BB26" s="556"/>
    </row>
    <row r="27" spans="1:54" ht="13.8" customHeight="1" x14ac:dyDescent="0.35">
      <c r="A27" s="116"/>
      <c r="B27" s="954"/>
      <c r="C27" s="685"/>
      <c r="D27" s="118"/>
      <c r="E27" s="1439"/>
      <c r="F27" s="1439"/>
      <c r="G27" s="1439"/>
      <c r="H27" s="1439"/>
      <c r="I27" s="1439"/>
      <c r="J27" s="1439"/>
      <c r="K27" s="686"/>
      <c r="L27" s="1581"/>
      <c r="M27" s="1581"/>
      <c r="N27" s="672"/>
      <c r="O27" s="683"/>
      <c r="P27" s="1583" t="str">
        <f>IF(AND(X285=FALSE,P26&lt;&gt;""),AM402,
IF(AND(X285=TRUE,P26&lt;&gt;""),BB402,""))</f>
        <v/>
      </c>
      <c r="Q27" s="1584"/>
      <c r="R27" s="1584"/>
      <c r="S27" s="1584"/>
      <c r="T27" s="1585" t="str">
        <f>IF(AND(X285=FALSE,T26&lt;&gt;""),AI402,
IF(AND(X285=TRUE,T26&lt;&gt;""),AX402,""))</f>
        <v/>
      </c>
      <c r="U27" s="1585"/>
      <c r="V27" s="1585"/>
      <c r="W27" s="1585"/>
      <c r="X27" s="1586"/>
      <c r="Y27" s="691"/>
      <c r="Z27" s="556"/>
      <c r="AA27" s="1035"/>
      <c r="AB27" s="1035"/>
      <c r="AC27" s="1035"/>
      <c r="AD27" s="556"/>
      <c r="AE27" s="977"/>
      <c r="AF27" s="977"/>
      <c r="AG27" s="556"/>
      <c r="AH27" s="556"/>
      <c r="AI27" s="556"/>
      <c r="AJ27" s="556"/>
      <c r="AK27" s="556"/>
      <c r="AL27" s="556"/>
      <c r="AM27" s="556"/>
      <c r="AN27" s="556"/>
      <c r="AO27" s="556"/>
      <c r="AP27" s="556"/>
      <c r="AQ27" s="556"/>
      <c r="AR27" s="556"/>
      <c r="AS27" s="556"/>
      <c r="AT27" s="556"/>
      <c r="AU27" s="556"/>
      <c r="AV27" s="556"/>
      <c r="AW27" s="556"/>
      <c r="AX27" s="556"/>
      <c r="AY27" s="556"/>
      <c r="AZ27" s="556"/>
      <c r="BA27" s="556"/>
      <c r="BB27" s="556"/>
    </row>
    <row r="28" spans="1:54" ht="13.8" customHeight="1" x14ac:dyDescent="0.3">
      <c r="A28" s="116"/>
      <c r="B28" s="955"/>
      <c r="C28" s="753">
        <f>DAY(V21)</f>
        <v>0</v>
      </c>
      <c r="D28" s="952"/>
      <c r="E28" s="1439"/>
      <c r="F28" s="1439"/>
      <c r="G28" s="1439"/>
      <c r="H28" s="1439"/>
      <c r="I28" s="1439"/>
      <c r="J28" s="1439"/>
      <c r="K28" s="662"/>
      <c r="L28" s="1581"/>
      <c r="M28" s="1581"/>
      <c r="N28" s="673"/>
      <c r="P28" s="1580" t="s">
        <v>1039</v>
      </c>
      <c r="Q28" s="1577"/>
      <c r="R28" s="1577"/>
      <c r="S28" s="1577"/>
      <c r="T28" s="1577"/>
      <c r="U28" s="1570">
        <f>IF(V285&lt;1,0,
IF(AND(L13=2,V285=2),0,
IF(C20="Does not meet length of receipt requirement(s). Must have greater than 12 months receipt, and pay periods (end dates) must elapse 1 year.",0,
IF(C100="Loan Type does not match I&amp;D worksheet",0,
IF(AND(L13=3,L246&lt;&gt;""),ROUNDDOWN(L246/12,2),
IF(AND(L13=2,AD404&lt;&gt;0,X285=FALSE),ROUNDDOWN(AD404,2),
IF(AND(L13=2,AS404&lt;&gt;0,X285=TRUE),ROUNDDOWN(AS404,2),0)))))))</f>
        <v>0</v>
      </c>
      <c r="V28" s="1571"/>
      <c r="W28" s="1572"/>
      <c r="X28" s="692"/>
      <c r="Y28" s="45"/>
      <c r="Z28" s="556"/>
      <c r="AA28" s="556"/>
      <c r="AB28" s="1035"/>
      <c r="AC28" s="1035"/>
      <c r="AD28" s="556"/>
      <c r="AE28" s="977"/>
      <c r="AF28" s="977"/>
      <c r="AG28" s="556"/>
      <c r="AH28" s="556"/>
      <c r="AI28" s="556"/>
      <c r="AJ28" s="556"/>
      <c r="AK28" s="556"/>
      <c r="AL28" s="556"/>
      <c r="AM28" s="556"/>
      <c r="AN28" s="556"/>
      <c r="AO28" s="556"/>
      <c r="AP28" s="556"/>
      <c r="AQ28" s="556"/>
      <c r="AR28" s="556"/>
      <c r="AS28" s="556"/>
      <c r="AT28" s="556"/>
      <c r="AU28" s="556"/>
      <c r="AV28" s="556"/>
      <c r="AW28" s="556"/>
      <c r="AX28" s="556"/>
      <c r="AY28" s="556"/>
      <c r="AZ28" s="556"/>
      <c r="BA28" s="556"/>
      <c r="BB28" s="556"/>
    </row>
    <row r="29" spans="1:54" ht="13.2" customHeight="1" x14ac:dyDescent="0.3">
      <c r="A29" s="38"/>
      <c r="B29" s="544"/>
      <c r="C29" s="674"/>
      <c r="D29" s="663"/>
      <c r="E29" s="664" t="s">
        <v>550</v>
      </c>
      <c r="F29" s="664"/>
      <c r="G29" s="664" t="s">
        <v>1035</v>
      </c>
      <c r="H29" s="664" t="s">
        <v>550</v>
      </c>
      <c r="I29" s="664"/>
      <c r="J29" s="664" t="s">
        <v>1035</v>
      </c>
      <c r="K29" s="665"/>
      <c r="L29" s="1582"/>
      <c r="M29" s="1582"/>
      <c r="N29" s="675"/>
      <c r="P29" s="1576" t="s">
        <v>1044</v>
      </c>
      <c r="Q29" s="1577"/>
      <c r="R29" s="1577"/>
      <c r="S29" s="1577"/>
      <c r="T29" s="1577"/>
      <c r="U29" s="1573"/>
      <c r="V29" s="1574"/>
      <c r="W29" s="1575"/>
      <c r="X29" s="693"/>
      <c r="Y29" s="45"/>
      <c r="Z29" s="556"/>
      <c r="AA29" s="1035"/>
      <c r="AB29" s="1035"/>
      <c r="AC29" s="1035"/>
      <c r="AD29" s="556"/>
      <c r="AE29" s="977"/>
      <c r="AF29" s="977"/>
      <c r="AG29" s="556"/>
      <c r="AH29" s="556"/>
      <c r="AI29" s="556"/>
      <c r="AJ29" s="556"/>
      <c r="AK29" s="556"/>
      <c r="AL29" s="556"/>
      <c r="AM29" s="556"/>
      <c r="AN29" s="556"/>
      <c r="AO29" s="556"/>
      <c r="AP29" s="556"/>
      <c r="AQ29" s="556"/>
      <c r="AR29" s="556"/>
      <c r="AS29" s="556"/>
      <c r="AT29" s="556"/>
      <c r="AU29" s="556"/>
      <c r="AV29" s="556"/>
      <c r="AW29" s="556"/>
      <c r="AX29" s="556"/>
      <c r="AY29" s="556"/>
      <c r="AZ29" s="556"/>
      <c r="BA29" s="556"/>
      <c r="BB29" s="556"/>
    </row>
    <row r="30" spans="1:54" s="374" customFormat="1" ht="15.6" customHeight="1" x14ac:dyDescent="0.3">
      <c r="A30" s="1032" t="s">
        <v>847</v>
      </c>
      <c r="B30" s="732" t="str">
        <f>IF(E30="","",DAY(E30))</f>
        <v/>
      </c>
      <c r="C30" s="676" t="str">
        <f>CONCATENATE("1",".")</f>
        <v>1.</v>
      </c>
      <c r="D30" s="666"/>
      <c r="E30" s="704" t="str">
        <f>IF(OR(D19="",V19="",V21="",M19=0,M19="",L13=1,L13=0,L13="",),"",
IF(AND(M19=2,C28&lt;=15),EOMONTH(V21,-1)+1,
IF(AND(M19=2,C28&gt;15),EOMONTH(V21,-1)+16,V21)))</f>
        <v/>
      </c>
      <c r="F30" s="654" t="s">
        <v>240</v>
      </c>
      <c r="G30" s="704" t="str">
        <f>IF(AND($M$19=1,E30&lt;&gt;""),EDATE(E30,1)-1,
IF(AND($M$19=2,E30&lt;&gt;"",$C$28&gt;=16),EOMONTH(E30,0),
IF(AND($M$19=2,E30&lt;&gt;"",$C$28&lt;16),E30+14,
IF(AND($M$19=3,E30&lt;&gt;""),E30+13,
IF(AND($M$19=4,E30&lt;&gt;""),E30+6,
"")))))</f>
        <v/>
      </c>
      <c r="H30" s="660"/>
      <c r="I30" s="654" t="s">
        <v>240</v>
      </c>
      <c r="J30" s="660"/>
      <c r="K30" s="976" t="str">
        <f>IF(G30&lt;&gt;"",YEAR(G30),"")</f>
        <v/>
      </c>
      <c r="L30" s="1547"/>
      <c r="M30" s="1548"/>
      <c r="N30" s="677"/>
      <c r="O30" s="74"/>
      <c r="P30" s="688"/>
      <c r="Q30" s="682"/>
      <c r="R30" s="682"/>
      <c r="S30" s="682"/>
      <c r="T30" s="682"/>
      <c r="U30"/>
      <c r="V30"/>
      <c r="W30"/>
      <c r="X30" s="693"/>
      <c r="Y30" s="657"/>
      <c r="Z30" s="1030"/>
      <c r="AA30" s="1030"/>
      <c r="AB30" s="1034"/>
      <c r="AC30" s="1034"/>
      <c r="AD30" s="1030"/>
      <c r="AE30" s="1031"/>
      <c r="AF30" s="1031"/>
      <c r="AG30" s="1030"/>
      <c r="AH30" s="1030"/>
      <c r="AI30" s="1030"/>
      <c r="AJ30" s="1030"/>
      <c r="AK30" s="1030"/>
      <c r="AL30" s="1030"/>
      <c r="AM30" s="1030"/>
      <c r="AN30" s="1030"/>
      <c r="AO30" s="1030"/>
      <c r="AP30" s="1030"/>
      <c r="AQ30" s="1030"/>
      <c r="AR30" s="1030"/>
      <c r="AS30" s="1030"/>
      <c r="AT30" s="1030"/>
      <c r="AU30" s="1030"/>
      <c r="AV30" s="1030"/>
      <c r="AW30" s="1030"/>
      <c r="AX30" s="1030"/>
      <c r="AY30" s="1030"/>
      <c r="AZ30" s="1030"/>
      <c r="BA30" s="1030"/>
      <c r="BB30" s="1030"/>
    </row>
    <row r="31" spans="1:54" s="374" customFormat="1" ht="3" customHeight="1" x14ac:dyDescent="0.3">
      <c r="A31" s="1037"/>
      <c r="B31" s="1037"/>
      <c r="C31" s="676"/>
      <c r="D31" s="659"/>
      <c r="E31" s="667"/>
      <c r="F31" s="659"/>
      <c r="G31" s="667"/>
      <c r="H31" s="667"/>
      <c r="I31" s="659"/>
      <c r="J31" s="667"/>
      <c r="K31" s="969"/>
      <c r="L31" s="658"/>
      <c r="M31" s="658"/>
      <c r="N31" s="678"/>
      <c r="O31" s="657"/>
      <c r="P31" s="1593" t="s">
        <v>1040</v>
      </c>
      <c r="Q31" s="1594"/>
      <c r="R31" s="1594"/>
      <c r="S31" s="1594"/>
      <c r="T31" s="1594"/>
      <c r="V31" s="7"/>
      <c r="W31" s="7"/>
      <c r="X31" s="694"/>
      <c r="Y31" s="658"/>
      <c r="Z31" s="1030"/>
      <c r="AA31" s="1034"/>
      <c r="AB31" s="1034"/>
      <c r="AC31" s="1034"/>
      <c r="AD31" s="1030"/>
      <c r="AE31" s="1031"/>
      <c r="AF31" s="1031"/>
      <c r="AG31" s="1030"/>
      <c r="AH31" s="1030"/>
      <c r="AI31" s="1030"/>
      <c r="AJ31" s="1030"/>
      <c r="AK31" s="1030"/>
      <c r="AL31" s="1030"/>
      <c r="AM31" s="1030"/>
      <c r="AN31" s="1030"/>
      <c r="AO31" s="1030"/>
      <c r="AP31" s="1030"/>
      <c r="AQ31" s="1030"/>
      <c r="AR31" s="1030"/>
      <c r="AS31" s="1030"/>
      <c r="AT31" s="1030"/>
      <c r="AU31" s="1030"/>
      <c r="AV31" s="1030"/>
      <c r="AW31" s="1030"/>
      <c r="AX31" s="1030"/>
      <c r="AY31" s="1030"/>
      <c r="AZ31" s="1030"/>
      <c r="BA31" s="1030"/>
      <c r="BB31" s="1030"/>
    </row>
    <row r="32" spans="1:54" s="374" customFormat="1" ht="15.6" x14ac:dyDescent="0.3">
      <c r="A32" s="1032" t="s">
        <v>847</v>
      </c>
      <c r="B32" s="732" t="str">
        <f>IF(E32="","",DAY(E32))</f>
        <v/>
      </c>
      <c r="C32" s="676" t="str">
        <f>CONCATENATE(C30+1,".")</f>
        <v>2.</v>
      </c>
      <c r="D32" s="654"/>
      <c r="E32" s="704" t="str">
        <f>(IF(E30="","",IF(G32="","",
IF($M$19=1,EDATE(E30,-1),
IF(AND($M$19=2,B30=1),EOMONTH(E30,-2)+16,
IF(AND($M$19=2,B30=16),EOMONTH(E30,-1)+1,
IF($M$19=3,E30-14,
IF($M$19=4,E30-7,
""))))))))</f>
        <v/>
      </c>
      <c r="F32" s="654" t="s">
        <v>240</v>
      </c>
      <c r="G32" s="704" t="str">
        <f>IF(E30="","",
IF($L$13=3,E30-1,
IF(AND($L$13=2,E30-1&gt;=$V$19,YEAR(E30-1)&gt;=($K$30-1)),E30-1,"")))</f>
        <v/>
      </c>
      <c r="H32" s="660"/>
      <c r="I32" s="654" t="s">
        <v>240</v>
      </c>
      <c r="J32" s="660"/>
      <c r="K32" s="976" t="str">
        <f>IF(J30&lt;&gt;"",YEAR(J30),"")</f>
        <v/>
      </c>
      <c r="L32" s="1547"/>
      <c r="M32" s="1548"/>
      <c r="N32" s="677"/>
      <c r="O32" s="655"/>
      <c r="P32" s="1593"/>
      <c r="Q32" s="1594"/>
      <c r="R32" s="1594"/>
      <c r="S32" s="1594"/>
      <c r="T32" s="1594"/>
      <c r="U32" s="1595">
        <f>IF(AND(V15&gt;0,V15&lt;&gt;"",U28&lt;&gt;"",U28&gt;0),V15*U28,0)</f>
        <v>0</v>
      </c>
      <c r="V32" s="1596"/>
      <c r="W32" s="1597"/>
      <c r="X32" s="964">
        <f>IF(L13=1,0,
IF(AND(L13=3,X286=TRUE),0,
IF(AND(L13=2,T27&lt;P27,X286=FALSE),0,
IF(AND(L13=2,T27&lt;P27,X286=TRUE),U32,
IF(AND(L13=2,T27&gt;=P27,X286=TRUE),0,U32)))))</f>
        <v>0</v>
      </c>
      <c r="Y32" s="657"/>
      <c r="Z32" s="1030"/>
      <c r="AA32" s="1034"/>
      <c r="AB32" s="1034"/>
      <c r="AC32" s="1034"/>
      <c r="AD32" s="1030"/>
      <c r="AE32" s="1031"/>
      <c r="AF32" s="1031"/>
      <c r="AG32" s="1030"/>
      <c r="AH32" s="1030"/>
      <c r="AI32" s="1030"/>
      <c r="AJ32" s="1030"/>
      <c r="AK32" s="1030"/>
      <c r="AL32" s="1030"/>
      <c r="AM32" s="1030"/>
      <c r="AN32" s="1030"/>
      <c r="AO32" s="1030"/>
      <c r="AP32" s="1030"/>
      <c r="AQ32" s="1030"/>
      <c r="AR32" s="1030"/>
      <c r="AS32" s="1030"/>
      <c r="AT32" s="1030"/>
      <c r="AU32" s="1030"/>
      <c r="AV32" s="1030"/>
      <c r="AW32" s="1030"/>
      <c r="AX32" s="1030"/>
      <c r="AY32" s="1030"/>
      <c r="AZ32" s="1030"/>
      <c r="BA32" s="1030"/>
      <c r="BB32" s="1030"/>
    </row>
    <row r="33" spans="1:54" ht="3" customHeight="1" x14ac:dyDescent="0.3">
      <c r="A33" s="779"/>
      <c r="B33" s="752"/>
      <c r="C33" s="679"/>
      <c r="D33" s="668"/>
      <c r="E33" s="669"/>
      <c r="F33" s="670"/>
      <c r="G33" s="669"/>
      <c r="H33" s="669"/>
      <c r="I33" s="670"/>
      <c r="J33" s="669"/>
      <c r="K33" s="969"/>
      <c r="L33" s="38"/>
      <c r="M33" s="38"/>
      <c r="N33" s="680"/>
      <c r="O33" s="45"/>
      <c r="P33" s="1593"/>
      <c r="Q33" s="1594"/>
      <c r="R33" s="1594"/>
      <c r="S33" s="1594"/>
      <c r="T33" s="1594"/>
      <c r="U33" s="1598"/>
      <c r="V33" s="1599"/>
      <c r="W33" s="1600"/>
      <c r="X33" s="689"/>
      <c r="Y33" s="38"/>
      <c r="Z33" s="556"/>
      <c r="AA33" s="1035"/>
      <c r="AB33" s="1035"/>
      <c r="AC33" s="1035"/>
      <c r="AD33" s="556"/>
      <c r="AE33" s="977"/>
      <c r="AF33" s="977"/>
      <c r="AG33" s="556"/>
      <c r="AH33" s="556"/>
      <c r="AI33" s="556"/>
      <c r="AJ33" s="556"/>
      <c r="AK33" s="556"/>
      <c r="AL33" s="556"/>
      <c r="AM33" s="556"/>
      <c r="AN33" s="556"/>
      <c r="AO33" s="556"/>
      <c r="AP33" s="556"/>
      <c r="AQ33" s="556"/>
      <c r="AR33" s="556"/>
      <c r="AS33" s="556"/>
      <c r="AT33" s="556"/>
      <c r="AU33" s="556"/>
      <c r="AV33" s="556"/>
      <c r="AW33" s="556"/>
      <c r="AX33" s="556"/>
      <c r="AY33" s="556"/>
      <c r="AZ33" s="556"/>
      <c r="BA33" s="556"/>
      <c r="BB33" s="556"/>
    </row>
    <row r="34" spans="1:54" s="374" customFormat="1" ht="15.6" x14ac:dyDescent="0.3">
      <c r="A34" s="1032" t="s">
        <v>847</v>
      </c>
      <c r="B34" s="732" t="str">
        <f>IF(E34="","",DAY(E34))</f>
        <v/>
      </c>
      <c r="C34" s="676" t="str">
        <f>CONCATENATE(C32+1,".")</f>
        <v>3.</v>
      </c>
      <c r="D34" s="654"/>
      <c r="E34" s="704" t="str">
        <f>(IF(E32="","",IF(G34="","",
IF($M$19=1,EDATE(E32,-1),
IF(AND($M$19=2,B32=1),EOMONTH(E32,-2)+16,
IF(AND($M$19=2,B32=16),EOMONTH(E32,-1)+1,
IF($M$19=3,E32-14,
IF($M$19=4,E32-7,
""))))))))</f>
        <v/>
      </c>
      <c r="F34" s="654" t="s">
        <v>240</v>
      </c>
      <c r="G34" s="704" t="str">
        <f>IF(E32="","",
IF($L$13=3,E32-1,
IF(AND($L$13=2,E32-1&gt;=$V$19,YEAR(E32-1)&gt;=($K$30-1)),E32-1,"")))</f>
        <v/>
      </c>
      <c r="H34" s="660"/>
      <c r="I34" s="654" t="s">
        <v>240</v>
      </c>
      <c r="J34" s="660"/>
      <c r="K34" s="969"/>
      <c r="L34" s="1547"/>
      <c r="M34" s="1548"/>
      <c r="N34" s="677"/>
      <c r="O34" s="655"/>
      <c r="P34" s="1593"/>
      <c r="Q34" s="1594"/>
      <c r="R34" s="1594"/>
      <c r="S34" s="1594"/>
      <c r="T34" s="1594"/>
      <c r="U34" s="1601"/>
      <c r="V34" s="1602"/>
      <c r="W34" s="1603"/>
      <c r="X34" s="695"/>
      <c r="Y34" s="657"/>
      <c r="Z34" s="1030"/>
      <c r="AA34" s="1033"/>
      <c r="AB34" s="1034"/>
      <c r="AC34" s="1034"/>
      <c r="AD34" s="1030"/>
      <c r="AE34" s="1031"/>
      <c r="AF34" s="1031"/>
      <c r="AG34" s="1030"/>
      <c r="AH34" s="1030"/>
      <c r="AI34" s="1030"/>
      <c r="AJ34" s="1030"/>
      <c r="AK34" s="1030"/>
      <c r="AL34" s="1030"/>
      <c r="AM34" s="1030"/>
      <c r="AN34" s="1030"/>
      <c r="AO34" s="1030"/>
      <c r="AP34" s="1030"/>
      <c r="AQ34" s="1030"/>
      <c r="AR34" s="1030"/>
      <c r="AS34" s="1030"/>
      <c r="AT34" s="1030"/>
      <c r="AU34" s="1030"/>
      <c r="AV34" s="1030"/>
      <c r="AW34" s="1030"/>
      <c r="AX34" s="1030"/>
      <c r="AY34" s="1030"/>
      <c r="AZ34" s="1030"/>
      <c r="BA34" s="1030"/>
      <c r="BB34" s="1030"/>
    </row>
    <row r="35" spans="1:54" ht="3" customHeight="1" x14ac:dyDescent="0.3">
      <c r="A35" s="779"/>
      <c r="B35" s="752"/>
      <c r="C35" s="679"/>
      <c r="D35" s="117"/>
      <c r="E35" s="671"/>
      <c r="F35" s="671"/>
      <c r="G35" s="671"/>
      <c r="H35" s="671"/>
      <c r="I35" s="671"/>
      <c r="J35" s="671"/>
      <c r="K35" s="969"/>
      <c r="L35" s="38"/>
      <c r="M35" s="38"/>
      <c r="N35" s="680"/>
      <c r="O35" s="45"/>
      <c r="P35" s="1569"/>
      <c r="Q35" s="1245"/>
      <c r="R35" s="1245"/>
      <c r="S35" s="1245"/>
      <c r="T35" s="1245"/>
      <c r="X35" s="687"/>
      <c r="Y35" s="38"/>
      <c r="Z35" s="556"/>
      <c r="AA35" s="1035"/>
      <c r="AB35" s="1035"/>
      <c r="AC35" s="1035"/>
      <c r="AD35" s="556"/>
      <c r="AE35" s="977"/>
      <c r="AF35" s="977"/>
      <c r="AG35" s="556"/>
      <c r="AH35" s="556"/>
      <c r="AI35" s="556"/>
      <c r="AJ35" s="556"/>
      <c r="AK35" s="556"/>
      <c r="AL35" s="556"/>
      <c r="AM35" s="556"/>
      <c r="AN35" s="556"/>
      <c r="AO35" s="556"/>
      <c r="AP35" s="556"/>
      <c r="AQ35" s="556"/>
      <c r="AR35" s="556"/>
      <c r="AS35" s="556"/>
      <c r="AT35" s="556"/>
      <c r="AU35" s="556"/>
      <c r="AV35" s="556"/>
      <c r="AW35" s="556"/>
      <c r="AX35" s="556"/>
      <c r="AY35" s="556"/>
      <c r="AZ35" s="556"/>
      <c r="BA35" s="556"/>
      <c r="BB35" s="556"/>
    </row>
    <row r="36" spans="1:54" s="374" customFormat="1" ht="15.6" x14ac:dyDescent="0.3">
      <c r="A36" s="1032" t="s">
        <v>847</v>
      </c>
      <c r="B36" s="732" t="str">
        <f>IF(E36="","",DAY(E36))</f>
        <v/>
      </c>
      <c r="C36" s="676" t="str">
        <f>CONCATENATE(C34+1,".")</f>
        <v>4.</v>
      </c>
      <c r="D36" s="654"/>
      <c r="E36" s="704" t="str">
        <f>(IF(E34="","",IF(G36="","",
IF($M$19=1,EDATE(E34,-1),
IF(AND($M$19=2,B34=1),EOMONTH(E34,-2)+16,
IF(AND($M$19=2,B34=16),EOMONTH(E34,-1)+1,
IF($M$19=3,E34-14,
IF($M$19=4,E34-7,
""))))))))</f>
        <v/>
      </c>
      <c r="F36" s="654" t="s">
        <v>240</v>
      </c>
      <c r="G36" s="704" t="str">
        <f>IF(E34="","",
IF($L$13=3,E34-1,
IF(AND($L$13=2,E34-1&gt;=$V$19,YEAR(E34-1)&gt;=($K$30-1)),E34-1,"")))</f>
        <v/>
      </c>
      <c r="H36" s="660"/>
      <c r="I36" s="654" t="s">
        <v>240</v>
      </c>
      <c r="J36" s="660"/>
      <c r="K36" s="969"/>
      <c r="L36" s="1547"/>
      <c r="M36" s="1548"/>
      <c r="N36" s="677"/>
      <c r="O36" s="655"/>
      <c r="P36" s="1569"/>
      <c r="Q36" s="1245"/>
      <c r="R36" s="1245"/>
      <c r="S36" s="1245"/>
      <c r="T36" s="1245"/>
      <c r="U36" s="1663" t="str">
        <f>IF(AND(L13=2,P27&gt;0,T27&gt;0,T27&lt;P27),"Include (Explain/Justify)","Omit (Explain/Justify)")</f>
        <v>Omit (Explain/Justify)</v>
      </c>
      <c r="V36" s="1663"/>
      <c r="W36" s="1663"/>
      <c r="X36" s="1664"/>
      <c r="Y36" s="657"/>
      <c r="Z36" s="1030"/>
      <c r="AA36" s="1034"/>
      <c r="AB36" s="1034"/>
      <c r="AC36" s="1034"/>
      <c r="AD36" s="1030"/>
      <c r="AE36" s="1031"/>
      <c r="AF36" s="1031"/>
      <c r="AG36" s="1030"/>
      <c r="AH36" s="1030"/>
      <c r="AI36" s="1030"/>
      <c r="AJ36" s="1030"/>
      <c r="AK36" s="1030"/>
      <c r="AL36" s="1030"/>
      <c r="AM36" s="1030"/>
      <c r="AN36" s="1030"/>
      <c r="AO36" s="1030"/>
      <c r="AP36" s="1030"/>
      <c r="AQ36" s="1030"/>
      <c r="AR36" s="1030"/>
      <c r="AS36" s="1030"/>
      <c r="AT36" s="1030"/>
      <c r="AU36" s="1030"/>
      <c r="AV36" s="1030"/>
      <c r="AW36" s="1030"/>
      <c r="AX36" s="1030"/>
      <c r="AY36" s="1030"/>
      <c r="AZ36" s="1030"/>
      <c r="BA36" s="1030"/>
      <c r="BB36" s="1030"/>
    </row>
    <row r="37" spans="1:54" ht="3" customHeight="1" thickBot="1" x14ac:dyDescent="0.35">
      <c r="A37" s="779"/>
      <c r="B37" s="752"/>
      <c r="C37" s="679"/>
      <c r="D37" s="144"/>
      <c r="E37" s="671"/>
      <c r="F37" s="671"/>
      <c r="G37" s="671"/>
      <c r="H37" s="671"/>
      <c r="I37" s="671"/>
      <c r="J37" s="671"/>
      <c r="K37" s="969"/>
      <c r="L37" s="38"/>
      <c r="M37" s="38"/>
      <c r="N37" s="680"/>
      <c r="O37" s="45"/>
      <c r="P37" s="696"/>
      <c r="Q37" s="697"/>
      <c r="R37" s="697"/>
      <c r="S37" s="697"/>
      <c r="T37" s="697"/>
      <c r="U37" s="697"/>
      <c r="V37" s="697"/>
      <c r="W37" s="697"/>
      <c r="X37" s="698"/>
      <c r="Y37" s="38"/>
      <c r="Z37" s="556"/>
      <c r="AA37" s="1035"/>
      <c r="AB37" s="1035"/>
      <c r="AC37" s="1035"/>
      <c r="AD37" s="556"/>
      <c r="AE37" s="977"/>
      <c r="AF37" s="977"/>
      <c r="AG37" s="556"/>
      <c r="AH37" s="556"/>
      <c r="AI37" s="556"/>
      <c r="AJ37" s="556"/>
      <c r="AK37" s="556"/>
      <c r="AL37" s="556"/>
      <c r="AM37" s="556"/>
      <c r="AN37" s="556"/>
      <c r="AO37" s="556"/>
      <c r="AP37" s="556"/>
      <c r="AQ37" s="556"/>
      <c r="AR37" s="556"/>
      <c r="AS37" s="556"/>
      <c r="AT37" s="556"/>
      <c r="AU37" s="556"/>
      <c r="AV37" s="556"/>
      <c r="AW37" s="556"/>
      <c r="AX37" s="556"/>
      <c r="AY37" s="556"/>
      <c r="AZ37" s="556"/>
      <c r="BA37" s="556"/>
      <c r="BB37" s="556"/>
    </row>
    <row r="38" spans="1:54" s="374" customFormat="1" ht="15.6" customHeight="1" thickTop="1" thickBot="1" x14ac:dyDescent="0.35">
      <c r="A38" s="1032" t="s">
        <v>847</v>
      </c>
      <c r="B38" s="732" t="str">
        <f>IF(E38="","",DAY(E38))</f>
        <v/>
      </c>
      <c r="C38" s="676" t="str">
        <f>CONCATENATE(C36+1,".")</f>
        <v>5.</v>
      </c>
      <c r="D38" s="654"/>
      <c r="E38" s="704" t="str">
        <f>(IF(E36="","",IF(G38="","",
IF($M$19=1,EDATE(E36,-1),
IF(AND($M$19=2,B36=1),EOMONTH(E36,-2)+16,
IF(AND($M$19=2,B36=16),EOMONTH(E36,-1)+1,
IF($M$19=3,E36-14,
IF($M$19=4,E36-7,
""))))))))</f>
        <v/>
      </c>
      <c r="F38" s="654" t="s">
        <v>240</v>
      </c>
      <c r="G38" s="704" t="str">
        <f>IF(E36="","",
IF($L$13=3,E36-1,
IF(AND($L$13=2,E36-1&gt;=$V$19,YEAR(E36-1)&gt;=($K$30-1)),E36-1,"")))</f>
        <v/>
      </c>
      <c r="H38" s="660"/>
      <c r="I38" s="654" t="s">
        <v>240</v>
      </c>
      <c r="J38" s="660"/>
      <c r="K38" s="969"/>
      <c r="L38" s="1547"/>
      <c r="M38" s="1548"/>
      <c r="N38" s="677"/>
      <c r="O38" s="655"/>
      <c r="P38" s="656"/>
      <c r="Q38" s="655"/>
      <c r="R38" s="655"/>
      <c r="S38" s="655"/>
      <c r="T38" s="655"/>
      <c r="U38" s="657"/>
      <c r="W38" s="655"/>
      <c r="X38" s="655"/>
      <c r="Y38" s="657"/>
      <c r="Z38" s="1036"/>
      <c r="AA38" s="1034"/>
      <c r="AB38" s="1034"/>
      <c r="AC38" s="1034"/>
      <c r="AD38" s="1030"/>
      <c r="AE38" s="1031"/>
      <c r="AF38" s="1031"/>
      <c r="AG38" s="1030"/>
      <c r="AH38" s="1030"/>
      <c r="AI38" s="1030"/>
      <c r="AJ38" s="1030"/>
      <c r="AK38" s="1030"/>
      <c r="AL38" s="1030"/>
      <c r="AM38" s="1030"/>
      <c r="AN38" s="1030"/>
      <c r="AO38" s="1030"/>
      <c r="AP38" s="1030"/>
      <c r="AQ38" s="1030"/>
      <c r="AR38" s="1030"/>
      <c r="AS38" s="1030"/>
      <c r="AT38" s="1030"/>
      <c r="AU38" s="1030"/>
      <c r="AV38" s="1030"/>
      <c r="AW38" s="1030"/>
      <c r="AX38" s="1030"/>
      <c r="AY38" s="1030"/>
      <c r="AZ38" s="1030"/>
      <c r="BA38" s="1030"/>
      <c r="BB38" s="1030"/>
    </row>
    <row r="39" spans="1:54" ht="3" customHeight="1" thickTop="1" x14ac:dyDescent="0.3">
      <c r="A39" s="779"/>
      <c r="B39" s="752"/>
      <c r="C39" s="679"/>
      <c r="D39" s="668"/>
      <c r="E39" s="669"/>
      <c r="F39" s="670"/>
      <c r="G39" s="669"/>
      <c r="H39" s="669"/>
      <c r="I39" s="670"/>
      <c r="J39" s="669"/>
      <c r="K39" s="969"/>
      <c r="L39" s="38"/>
      <c r="M39" s="38"/>
      <c r="N39" s="680"/>
      <c r="O39" s="45"/>
      <c r="P39" s="1587" t="s">
        <v>1065</v>
      </c>
      <c r="Q39" s="1588"/>
      <c r="R39" s="1588"/>
      <c r="S39" s="1588"/>
      <c r="T39" s="1588"/>
      <c r="U39" s="1588"/>
      <c r="V39" s="1588"/>
      <c r="W39" s="1588"/>
      <c r="X39" s="1589"/>
      <c r="Y39" s="38"/>
      <c r="Z39" s="556"/>
      <c r="AA39" s="1035"/>
      <c r="AB39" s="1035"/>
      <c r="AC39" s="1035"/>
      <c r="AD39" s="556"/>
      <c r="AE39" s="977"/>
      <c r="AF39" s="977"/>
      <c r="AG39" s="556"/>
      <c r="AH39" s="556"/>
      <c r="AI39" s="556"/>
      <c r="AJ39" s="556"/>
      <c r="AK39" s="556"/>
      <c r="AL39" s="556"/>
      <c r="AM39" s="556"/>
      <c r="AN39" s="556"/>
      <c r="AO39" s="556"/>
      <c r="AP39" s="556"/>
      <c r="AQ39" s="556"/>
      <c r="AR39" s="556"/>
      <c r="AS39" s="556"/>
      <c r="AT39" s="556"/>
      <c r="AU39" s="556"/>
      <c r="AV39" s="556"/>
      <c r="AW39" s="556"/>
      <c r="AX39" s="556"/>
      <c r="AY39" s="556"/>
      <c r="AZ39" s="556"/>
      <c r="BA39" s="556"/>
      <c r="BB39" s="556"/>
    </row>
    <row r="40" spans="1:54" s="374" customFormat="1" ht="15.6" x14ac:dyDescent="0.3">
      <c r="A40" s="1032" t="s">
        <v>847</v>
      </c>
      <c r="B40" s="732" t="str">
        <f>IF(E40="","",DAY(E40))</f>
        <v/>
      </c>
      <c r="C40" s="676" t="str">
        <f>CONCATENATE(C38+1,".")</f>
        <v>6.</v>
      </c>
      <c r="D40" s="654"/>
      <c r="E40" s="704" t="str">
        <f>(IF(E38="","",IF(G40="","",
IF($M$19=1,EDATE(E38,-1),
IF(AND($M$19=2,B38=1),EOMONTH(E38,-2)+16,
IF(AND($M$19=2,B38=16),EOMONTH(E38,-1)+1,
IF($M$19=3,E38-14,
IF($M$19=4,E38-7,
""))))))))</f>
        <v/>
      </c>
      <c r="F40" s="654" t="s">
        <v>240</v>
      </c>
      <c r="G40" s="704" t="str">
        <f>IF(E38="","",
IF($L$13=3,E38-1,
IF(AND($L$13=2,E38-1&gt;=$V$19,YEAR(E38-1)&gt;=($K$30-1)),E38-1,"")))</f>
        <v/>
      </c>
      <c r="H40" s="660"/>
      <c r="I40" s="654" t="s">
        <v>240</v>
      </c>
      <c r="J40" s="660"/>
      <c r="K40" s="969"/>
      <c r="L40" s="1547"/>
      <c r="M40" s="1548"/>
      <c r="N40" s="677"/>
      <c r="P40" s="1590"/>
      <c r="Q40" s="1591"/>
      <c r="R40" s="1591"/>
      <c r="S40" s="1591"/>
      <c r="T40" s="1591"/>
      <c r="U40" s="1591"/>
      <c r="V40" s="1591"/>
      <c r="W40" s="1591"/>
      <c r="X40" s="1592"/>
      <c r="Y40" s="657"/>
      <c r="Z40" s="1030"/>
      <c r="AA40" s="1034"/>
      <c r="AB40" s="1034"/>
      <c r="AC40" s="1034"/>
      <c r="AD40" s="1030"/>
      <c r="AE40" s="1031"/>
      <c r="AF40" s="1031"/>
      <c r="AG40" s="1030"/>
      <c r="AH40" s="1030"/>
      <c r="AI40" s="1030"/>
      <c r="AJ40" s="1030"/>
      <c r="AK40" s="1030"/>
      <c r="AL40" s="1030"/>
      <c r="AM40" s="1030"/>
      <c r="AN40" s="1030"/>
      <c r="AO40" s="1030"/>
      <c r="AP40" s="1030"/>
      <c r="AQ40" s="1030"/>
      <c r="AR40" s="1030"/>
      <c r="AS40" s="1030"/>
      <c r="AT40" s="1030"/>
      <c r="AU40" s="1030"/>
      <c r="AV40" s="1030"/>
      <c r="AW40" s="1030"/>
      <c r="AX40" s="1030"/>
      <c r="AY40" s="1030"/>
      <c r="AZ40" s="1030"/>
      <c r="BA40" s="1030"/>
      <c r="BB40" s="1030"/>
    </row>
    <row r="41" spans="1:54" ht="3" customHeight="1" x14ac:dyDescent="0.3">
      <c r="A41" s="779"/>
      <c r="B41" s="752"/>
      <c r="C41" s="679"/>
      <c r="D41" s="668"/>
      <c r="E41" s="669"/>
      <c r="F41" s="670"/>
      <c r="G41" s="669"/>
      <c r="H41" s="669"/>
      <c r="I41" s="670"/>
      <c r="J41" s="669"/>
      <c r="K41" s="969"/>
      <c r="L41" s="38"/>
      <c r="M41" s="38"/>
      <c r="N41" s="680"/>
      <c r="O41" s="45"/>
      <c r="P41" s="1590"/>
      <c r="Q41" s="1591"/>
      <c r="R41" s="1591"/>
      <c r="S41" s="1591"/>
      <c r="T41" s="1591"/>
      <c r="U41" s="1591"/>
      <c r="V41" s="1591"/>
      <c r="W41" s="1591"/>
      <c r="X41" s="1592"/>
      <c r="Y41" s="38"/>
      <c r="Z41" s="556"/>
      <c r="AA41" s="1035"/>
      <c r="AB41" s="1035"/>
      <c r="AC41" s="1035"/>
      <c r="AD41" s="556"/>
      <c r="AE41" s="977"/>
      <c r="AF41" s="977"/>
      <c r="AG41" s="556"/>
      <c r="AH41" s="556"/>
      <c r="AI41" s="556"/>
      <c r="AJ41" s="556"/>
      <c r="AK41" s="556"/>
      <c r="AL41" s="556"/>
      <c r="AM41" s="556"/>
      <c r="AN41" s="556"/>
      <c r="AO41" s="556"/>
      <c r="AP41" s="556"/>
      <c r="AQ41" s="556"/>
      <c r="AR41" s="556"/>
      <c r="AS41" s="556"/>
      <c r="AT41" s="556"/>
      <c r="AU41" s="556"/>
      <c r="AV41" s="556"/>
      <c r="AW41" s="556"/>
      <c r="AX41" s="556"/>
      <c r="AY41" s="556"/>
      <c r="AZ41" s="556"/>
      <c r="BA41" s="556"/>
      <c r="BB41" s="556"/>
    </row>
    <row r="42" spans="1:54" s="374" customFormat="1" ht="15.6" customHeight="1" x14ac:dyDescent="0.3">
      <c r="A42" s="1032" t="s">
        <v>847</v>
      </c>
      <c r="B42" s="732" t="str">
        <f>IF(E42="","",DAY(E42))</f>
        <v/>
      </c>
      <c r="C42" s="676" t="str">
        <f>CONCATENATE(C40+1,".")</f>
        <v>7.</v>
      </c>
      <c r="D42" s="654"/>
      <c r="E42" s="704" t="str">
        <f>(IF(E40="","",IF(G42="","",
IF($M$19=1,EDATE(E40,-1),
IF(AND($M$19=2,B40=1),EOMONTH(E40,-2)+16,
IF(AND($M$19=2,B40=16),EOMONTH(E40,-1)+1,
IF($M$19=3,E40-14,
IF($M$19=4,E40-7,
""))))))))</f>
        <v/>
      </c>
      <c r="F42" s="654" t="s">
        <v>240</v>
      </c>
      <c r="G42" s="704" t="str">
        <f>IF(E40="","",
IF($L$13=3,E40-1,
IF(AND($L$13=2,E40-1&gt;=$V$19,YEAR(E40-1)&gt;=($K$30-1)),E40-1,"")))</f>
        <v/>
      </c>
      <c r="H42" s="660"/>
      <c r="I42" s="654" t="s">
        <v>240</v>
      </c>
      <c r="J42" s="660"/>
      <c r="K42" s="969"/>
      <c r="L42" s="1547"/>
      <c r="M42" s="1548"/>
      <c r="N42" s="677"/>
      <c r="P42" s="1645" t="s">
        <v>1039</v>
      </c>
      <c r="Q42" s="1646"/>
      <c r="R42" s="1646"/>
      <c r="S42" s="1646"/>
      <c r="T42" s="1646"/>
      <c r="U42" s="1647">
        <f>IF(AND(L13=3,G246&lt;&gt;0,G246&lt;&gt;""),ROUNDDOWN(G246/V22,2),
IF(AND(L13=2,AD411&lt;&gt;0,X285=FALSE),ROUNDDOWN(AD411,2),
IF(AND(L13=2,AS411&lt;&gt;0,X285=TRUE),ROUNDDOWN(AS411,2),0)))</f>
        <v>0</v>
      </c>
      <c r="V42" s="1648"/>
      <c r="W42" s="1649"/>
      <c r="X42" s="758"/>
      <c r="Y42" s="657"/>
      <c r="Z42" s="1030"/>
      <c r="AA42" s="1034"/>
      <c r="AB42" s="1034"/>
      <c r="AC42" s="1034"/>
      <c r="AD42" s="1030"/>
      <c r="AE42" s="1031"/>
      <c r="AF42" s="1031"/>
      <c r="AG42" s="1030"/>
      <c r="AH42" s="1030"/>
      <c r="AI42" s="1030"/>
      <c r="AJ42" s="1030"/>
      <c r="AK42" s="1030"/>
      <c r="AL42" s="1030"/>
      <c r="AM42" s="1030"/>
      <c r="AN42" s="1030"/>
      <c r="AO42" s="1030"/>
      <c r="AP42" s="1030"/>
      <c r="AQ42" s="1030"/>
      <c r="AR42" s="1030"/>
      <c r="AS42" s="1030"/>
      <c r="AT42" s="1030"/>
      <c r="AU42" s="1030"/>
      <c r="AV42" s="1030"/>
      <c r="AW42" s="1030"/>
      <c r="AX42" s="1030"/>
      <c r="AY42" s="1030"/>
      <c r="AZ42" s="1030"/>
      <c r="BA42" s="1030"/>
      <c r="BB42" s="1030"/>
    </row>
    <row r="43" spans="1:54" ht="3" customHeight="1" x14ac:dyDescent="0.3">
      <c r="A43" s="779"/>
      <c r="B43" s="752"/>
      <c r="C43" s="679"/>
      <c r="D43" s="668"/>
      <c r="E43" s="669"/>
      <c r="F43" s="670"/>
      <c r="G43" s="669"/>
      <c r="H43" s="669"/>
      <c r="I43" s="670"/>
      <c r="J43" s="669"/>
      <c r="K43" s="969"/>
      <c r="L43" s="134"/>
      <c r="M43" s="134"/>
      <c r="N43" s="680"/>
      <c r="O43" s="45"/>
      <c r="P43" s="1656" t="s">
        <v>1044</v>
      </c>
      <c r="Q43" s="1657"/>
      <c r="R43" s="1657"/>
      <c r="S43" s="1657"/>
      <c r="T43" s="1658"/>
      <c r="U43" s="1650"/>
      <c r="V43" s="1651"/>
      <c r="W43" s="1652"/>
      <c r="X43" s="759"/>
      <c r="Y43" s="38"/>
      <c r="Z43" s="556"/>
      <c r="AA43" s="1035"/>
      <c r="AB43" s="1035"/>
      <c r="AC43" s="1035"/>
      <c r="AD43" s="556"/>
      <c r="AE43" s="977"/>
      <c r="AF43" s="977"/>
      <c r="AG43" s="556"/>
      <c r="AH43" s="556"/>
      <c r="AI43" s="556"/>
      <c r="AJ43" s="556"/>
      <c r="AK43" s="556"/>
      <c r="AL43" s="556"/>
      <c r="AM43" s="556"/>
      <c r="AN43" s="556"/>
      <c r="AO43" s="556"/>
      <c r="AP43" s="556"/>
      <c r="AQ43" s="556"/>
      <c r="AR43" s="556"/>
      <c r="AS43" s="556"/>
      <c r="AT43" s="556"/>
      <c r="AU43" s="556"/>
      <c r="AV43" s="556"/>
      <c r="AW43" s="556"/>
      <c r="AX43" s="556"/>
      <c r="AY43" s="556"/>
      <c r="AZ43" s="556"/>
      <c r="BA43" s="556"/>
      <c r="BB43" s="556"/>
    </row>
    <row r="44" spans="1:54" s="374" customFormat="1" ht="15.6" customHeight="1" x14ac:dyDescent="0.3">
      <c r="A44" s="1032" t="s">
        <v>847</v>
      </c>
      <c r="B44" s="732" t="str">
        <f>IF(E44="","",DAY(E44))</f>
        <v/>
      </c>
      <c r="C44" s="676" t="str">
        <f>CONCATENATE(C42+1,".")</f>
        <v>8.</v>
      </c>
      <c r="D44" s="654"/>
      <c r="E44" s="704" t="str">
        <f>(IF(E42="","",IF(G44="","",
IF($M$19=1,EDATE(E42,-1),
IF(AND($M$19=2,B42=1),EOMONTH(E42,-2)+16,
IF(AND($M$19=2,B42=16),EOMONTH(E42,-1)+1,
IF($M$19=3,E42-14,
IF($M$19=4,E42-7,
""))))))))</f>
        <v/>
      </c>
      <c r="F44" s="654" t="s">
        <v>240</v>
      </c>
      <c r="G44" s="704" t="str">
        <f>IF(E42="","",
IF($L$13=3,E42-1,
IF(AND($L$13=2,E42-1&gt;=$V$19,YEAR(E42-1)&gt;=($K$30-1)),E42-1,"")))</f>
        <v/>
      </c>
      <c r="H44" s="660"/>
      <c r="I44" s="654" t="s">
        <v>240</v>
      </c>
      <c r="J44" s="660"/>
      <c r="K44" s="969"/>
      <c r="L44" s="1547"/>
      <c r="M44" s="1548"/>
      <c r="N44" s="677"/>
      <c r="O44" s="655"/>
      <c r="P44" s="1656"/>
      <c r="Q44" s="1657"/>
      <c r="R44" s="1657"/>
      <c r="S44" s="1657"/>
      <c r="T44" s="1658"/>
      <c r="U44" s="1653"/>
      <c r="V44" s="1654"/>
      <c r="W44" s="1655"/>
      <c r="X44" s="760"/>
      <c r="Y44" s="657"/>
      <c r="Z44" s="1030"/>
      <c r="AA44" s="1034"/>
      <c r="AB44" s="1034"/>
      <c r="AC44" s="1034"/>
      <c r="AD44" s="1030"/>
      <c r="AE44" s="1031"/>
      <c r="AF44" s="1031"/>
      <c r="AG44" s="1030"/>
      <c r="AH44" s="1030"/>
      <c r="AI44" s="1030"/>
      <c r="AJ44" s="1030"/>
      <c r="AK44" s="1030"/>
      <c r="AL44" s="1030"/>
      <c r="AM44" s="1030"/>
      <c r="AN44" s="1030"/>
      <c r="AO44" s="1030"/>
      <c r="AP44" s="1030"/>
      <c r="AQ44" s="1030"/>
      <c r="AR44" s="1030"/>
      <c r="AS44" s="1030"/>
      <c r="AT44" s="1030"/>
      <c r="AU44" s="1030"/>
      <c r="AV44" s="1030"/>
      <c r="AW44" s="1030"/>
      <c r="AX44" s="1030"/>
      <c r="AY44" s="1030"/>
      <c r="AZ44" s="1030"/>
      <c r="BA44" s="1030"/>
      <c r="BB44" s="1030"/>
    </row>
    <row r="45" spans="1:54" ht="3" customHeight="1" x14ac:dyDescent="0.3">
      <c r="A45" s="779"/>
      <c r="B45" s="752"/>
      <c r="C45" s="679"/>
      <c r="D45" s="117"/>
      <c r="E45" s="671"/>
      <c r="F45" s="671"/>
      <c r="G45" s="671"/>
      <c r="H45" s="671"/>
      <c r="I45" s="671"/>
      <c r="J45" s="671"/>
      <c r="K45" s="969"/>
      <c r="L45" s="38"/>
      <c r="M45" s="38"/>
      <c r="N45" s="680"/>
      <c r="O45" s="45"/>
      <c r="P45" s="1553" t="str">
        <f>IF(X285=TRUE,AZ293,AK293)</f>
        <v/>
      </c>
      <c r="Q45" s="1555" t="str">
        <f>IF(AND(X285=FALSE,P45&lt;&gt;""),AM410,
IF(AND(X285=TRUE,P45&lt;&gt;""),BB410,""))</f>
        <v/>
      </c>
      <c r="R45" s="1554" t="str">
        <f>IF(X285=TRUE,AV293,AG293)</f>
        <v/>
      </c>
      <c r="S45" s="1554"/>
      <c r="T45" s="1555" t="str">
        <f>IF(AND(X285=FALSE,R45&lt;&gt;""),AI410,
IF(AND(X285=TRUE,R45&lt;&gt;""),AX410,""))</f>
        <v/>
      </c>
      <c r="U45" s="761"/>
      <c r="V45" s="761"/>
      <c r="W45" s="761"/>
      <c r="X45" s="760"/>
      <c r="Y45" s="38"/>
      <c r="Z45" s="556"/>
      <c r="AA45" s="1035"/>
      <c r="AB45" s="1035"/>
      <c r="AC45" s="1035"/>
      <c r="AD45" s="556"/>
      <c r="AE45" s="977"/>
      <c r="AF45" s="977"/>
      <c r="AG45" s="556"/>
      <c r="AH45" s="556"/>
      <c r="AI45" s="556"/>
      <c r="AJ45" s="556"/>
      <c r="AK45" s="556"/>
      <c r="AL45" s="556"/>
      <c r="AM45" s="556"/>
      <c r="AN45" s="556"/>
      <c r="AO45" s="556"/>
      <c r="AP45" s="556"/>
      <c r="AQ45" s="556"/>
      <c r="AR45" s="556"/>
      <c r="AS45" s="556"/>
      <c r="AT45" s="556"/>
      <c r="AU45" s="556"/>
      <c r="AV45" s="556"/>
      <c r="AW45" s="556"/>
      <c r="AX45" s="556"/>
      <c r="AY45" s="556"/>
      <c r="AZ45" s="556"/>
      <c r="BA45" s="556"/>
      <c r="BB45" s="556"/>
    </row>
    <row r="46" spans="1:54" s="374" customFormat="1" ht="15.6" customHeight="1" thickBot="1" x14ac:dyDescent="0.35">
      <c r="A46" s="1032" t="s">
        <v>847</v>
      </c>
      <c r="B46" s="732" t="str">
        <f>IF(E46="","",DAY(E46))</f>
        <v/>
      </c>
      <c r="C46" s="676" t="str">
        <f>CONCATENATE(C44+1,".")</f>
        <v>9.</v>
      </c>
      <c r="D46" s="654"/>
      <c r="E46" s="704" t="str">
        <f>(IF(E44="","",IF(G46="","",
IF($M$19=1,EDATE(E44,-1),
IF(AND($M$19=2,B44=1),EOMONTH(E44,-2)+16,
IF(AND($M$19=2,B44=16),EOMONTH(E44,-1)+1,
IF($M$19=3,E44-14,
IF($M$19=4,E44-7,
""))))))))</f>
        <v/>
      </c>
      <c r="F46" s="654" t="s">
        <v>240</v>
      </c>
      <c r="G46" s="704" t="str">
        <f>IF(E44="","",
IF($L$13=3,E44-1,
IF(AND($L$13=2,E44-1&gt;=$V$19,YEAR(E44-1)&gt;=($K$30-1)),E44-1,"")))</f>
        <v/>
      </c>
      <c r="H46" s="660"/>
      <c r="I46" s="654" t="s">
        <v>240</v>
      </c>
      <c r="J46" s="660"/>
      <c r="K46" s="969"/>
      <c r="L46" s="1547"/>
      <c r="M46" s="1548"/>
      <c r="N46" s="972"/>
      <c r="O46" s="973"/>
      <c r="P46" s="1553"/>
      <c r="Q46" s="1555"/>
      <c r="R46" s="1554"/>
      <c r="S46" s="1554"/>
      <c r="T46" s="1556"/>
      <c r="U46" s="974"/>
      <c r="V46" s="762"/>
      <c r="W46" s="762"/>
      <c r="X46" s="763"/>
      <c r="Y46" s="657"/>
      <c r="Z46" s="1030"/>
      <c r="AA46" s="1034"/>
      <c r="AB46" s="1034"/>
      <c r="AC46" s="1034"/>
      <c r="AD46" s="1030"/>
      <c r="AE46" s="1031"/>
      <c r="AF46" s="1031"/>
      <c r="AG46" s="1030"/>
      <c r="AH46" s="1030"/>
      <c r="AI46" s="1030"/>
      <c r="AJ46" s="1030"/>
      <c r="AK46" s="1030"/>
      <c r="AL46" s="1030"/>
      <c r="AM46" s="1030"/>
      <c r="AN46" s="1030"/>
      <c r="AO46" s="1030"/>
      <c r="AP46" s="1030"/>
      <c r="AQ46" s="1030"/>
      <c r="AR46" s="1030"/>
      <c r="AS46" s="1030"/>
      <c r="AT46" s="1030"/>
      <c r="AU46" s="1030"/>
      <c r="AV46" s="1030"/>
      <c r="AW46" s="1030"/>
      <c r="AX46" s="1030"/>
      <c r="AY46" s="1030"/>
      <c r="AZ46" s="1030"/>
      <c r="BA46" s="1030"/>
      <c r="BB46" s="1030"/>
    </row>
    <row r="47" spans="1:54" ht="3" customHeight="1" x14ac:dyDescent="0.3">
      <c r="A47" s="779"/>
      <c r="B47" s="752"/>
      <c r="C47" s="679"/>
      <c r="D47" s="144"/>
      <c r="E47" s="671"/>
      <c r="F47" s="671"/>
      <c r="G47" s="671"/>
      <c r="H47" s="671"/>
      <c r="I47" s="671"/>
      <c r="J47" s="671"/>
      <c r="K47" s="969"/>
      <c r="L47" s="38"/>
      <c r="M47" s="38"/>
      <c r="N47" s="680"/>
      <c r="O47" s="45"/>
      <c r="P47" s="1659" t="s">
        <v>1264</v>
      </c>
      <c r="Q47" s="1660"/>
      <c r="R47" s="1660"/>
      <c r="S47" s="1660"/>
      <c r="T47" s="1660"/>
      <c r="U47" s="1636">
        <f>IF(AND(V15&gt;0,V15&lt;&gt;"",U42&lt;&gt;"",U42&gt;0),V15*U42,0)</f>
        <v>0</v>
      </c>
      <c r="V47" s="1637"/>
      <c r="W47" s="1638"/>
      <c r="X47" s="764"/>
      <c r="Y47" s="38"/>
      <c r="Z47" s="556"/>
      <c r="AA47" s="1035"/>
      <c r="AB47" s="1035"/>
      <c r="AC47" s="1035"/>
      <c r="AD47" s="556"/>
      <c r="AE47" s="977"/>
      <c r="AF47" s="977"/>
      <c r="AG47" s="556"/>
      <c r="AH47" s="556"/>
      <c r="AI47" s="556"/>
      <c r="AJ47" s="556"/>
      <c r="AK47" s="556"/>
      <c r="AL47" s="556"/>
      <c r="AM47" s="556"/>
      <c r="AN47" s="556"/>
      <c r="AO47" s="556"/>
      <c r="AP47" s="556"/>
      <c r="AQ47" s="556"/>
      <c r="AR47" s="556"/>
      <c r="AS47" s="556"/>
      <c r="AT47" s="556"/>
      <c r="AU47" s="556"/>
      <c r="AV47" s="556"/>
      <c r="AW47" s="556"/>
      <c r="AX47" s="556"/>
      <c r="AY47" s="556"/>
      <c r="AZ47" s="556"/>
      <c r="BA47" s="556"/>
      <c r="BB47" s="556"/>
    </row>
    <row r="48" spans="1:54" s="374" customFormat="1" ht="15.6" customHeight="1" x14ac:dyDescent="0.3">
      <c r="A48" s="1032" t="s">
        <v>847</v>
      </c>
      <c r="B48" s="732" t="str">
        <f>IF(E48="","",DAY(E48))</f>
        <v/>
      </c>
      <c r="C48" s="676" t="str">
        <f>CONCATENATE(C46+1,".")</f>
        <v>10.</v>
      </c>
      <c r="D48" s="654"/>
      <c r="E48" s="704" t="str">
        <f>(IF(E46="","",IF(G48="","",
IF($M$19=1,EDATE(E46,-1),
IF(AND($M$19=2,B46=1),EOMONTH(E46,-2)+16,
IF(AND($M$19=2,B46=16),EOMONTH(E46,-1)+1,
IF($M$19=3,E46-14,
IF($M$19=4,E46-7,
""))))))))</f>
        <v/>
      </c>
      <c r="F48" s="654" t="s">
        <v>240</v>
      </c>
      <c r="G48" s="704" t="str">
        <f>IF(E46="","",
IF($L$13=3,E46-1,
IF(AND($L$13=2,E46-1&gt;=$V$19,YEAR(E46-1)&gt;=($K$30-1)),E46-1,"")))</f>
        <v/>
      </c>
      <c r="H48" s="660"/>
      <c r="I48" s="654" t="s">
        <v>240</v>
      </c>
      <c r="J48" s="660"/>
      <c r="K48" s="969"/>
      <c r="L48" s="1547"/>
      <c r="M48" s="1548"/>
      <c r="N48" s="677"/>
      <c r="O48" s="655"/>
      <c r="P48" s="1659"/>
      <c r="Q48" s="1660"/>
      <c r="R48" s="1660"/>
      <c r="S48" s="1660"/>
      <c r="T48" s="1660"/>
      <c r="U48" s="1639"/>
      <c r="V48" s="1640"/>
      <c r="W48" s="1641"/>
      <c r="X48" s="765"/>
      <c r="Y48" s="657"/>
      <c r="Z48" s="1030"/>
      <c r="AA48" s="1034"/>
      <c r="AB48" s="1034"/>
      <c r="AC48" s="1034"/>
      <c r="AD48" s="1030"/>
      <c r="AE48" s="1031"/>
      <c r="AF48" s="1031"/>
      <c r="AG48" s="1030"/>
      <c r="AH48" s="1030"/>
      <c r="AI48" s="1030"/>
      <c r="AJ48" s="1030"/>
      <c r="AK48" s="1030"/>
      <c r="AL48" s="1030"/>
      <c r="AM48" s="1030"/>
      <c r="AN48" s="1030"/>
      <c r="AO48" s="1030"/>
      <c r="AP48" s="1030"/>
      <c r="AQ48" s="1030"/>
      <c r="AR48" s="1030"/>
      <c r="AS48" s="1030"/>
      <c r="AT48" s="1030"/>
      <c r="AU48" s="1030"/>
      <c r="AV48" s="1030"/>
      <c r="AW48" s="1030"/>
      <c r="AX48" s="1030"/>
      <c r="AY48" s="1030"/>
      <c r="AZ48" s="1030"/>
      <c r="BA48" s="1030"/>
      <c r="BB48" s="1030"/>
    </row>
    <row r="49" spans="1:54" ht="3" customHeight="1" x14ac:dyDescent="0.3">
      <c r="A49" s="779"/>
      <c r="B49" s="752"/>
      <c r="C49" s="679"/>
      <c r="D49" s="144"/>
      <c r="E49" s="671"/>
      <c r="F49" s="671"/>
      <c r="G49" s="671"/>
      <c r="H49" s="671"/>
      <c r="I49" s="671"/>
      <c r="J49" s="671"/>
      <c r="K49" s="969"/>
      <c r="L49" s="38"/>
      <c r="M49" s="38"/>
      <c r="N49" s="680"/>
      <c r="O49" s="45"/>
      <c r="P49" s="1659"/>
      <c r="Q49" s="1660"/>
      <c r="R49" s="1660"/>
      <c r="S49" s="1660"/>
      <c r="T49" s="1660"/>
      <c r="U49" s="1639"/>
      <c r="V49" s="1640"/>
      <c r="W49" s="1641"/>
      <c r="X49" s="764"/>
      <c r="Y49" s="38"/>
      <c r="Z49" s="556"/>
      <c r="AA49" s="1035"/>
      <c r="AB49" s="1035"/>
      <c r="AC49" s="1035"/>
      <c r="AD49" s="556"/>
      <c r="AE49" s="977"/>
      <c r="AF49" s="977"/>
      <c r="AG49" s="556"/>
      <c r="AH49" s="556"/>
      <c r="AI49" s="556"/>
      <c r="AJ49" s="556"/>
      <c r="AK49" s="556"/>
      <c r="AL49" s="556"/>
      <c r="AM49" s="556"/>
      <c r="AN49" s="556"/>
      <c r="AO49" s="556"/>
      <c r="AP49" s="556"/>
      <c r="AQ49" s="556"/>
      <c r="AR49" s="556"/>
      <c r="AS49" s="556"/>
      <c r="AT49" s="556"/>
      <c r="AU49" s="556"/>
      <c r="AV49" s="556"/>
      <c r="AW49" s="556"/>
      <c r="AX49" s="556"/>
      <c r="AY49" s="556"/>
      <c r="AZ49" s="556"/>
      <c r="BA49" s="556"/>
      <c r="BB49" s="556"/>
    </row>
    <row r="50" spans="1:54" s="374" customFormat="1" ht="15" customHeight="1" thickBot="1" x14ac:dyDescent="0.35">
      <c r="A50" s="1032" t="s">
        <v>847</v>
      </c>
      <c r="B50" s="732" t="str">
        <f>IF(E50="","",DAY(E50))</f>
        <v/>
      </c>
      <c r="C50" s="676" t="str">
        <f>CONCATENATE(C48+1,".")</f>
        <v>11.</v>
      </c>
      <c r="D50" s="654"/>
      <c r="E50" s="704" t="str">
        <f>(IF(E48="","",IF(G50="","",
IF($M$19=1,EDATE(E48,-1),
IF(AND($M$19=2,B48=1),EOMONTH(E48,-2)+16,
IF(AND($M$19=2,B48=16),EOMONTH(E48,-1)+1,
IF($M$19=3,E48-14,
IF($M$19=4,E48-7,
""))))))))</f>
        <v/>
      </c>
      <c r="F50" s="654" t="s">
        <v>240</v>
      </c>
      <c r="G50" s="704" t="str">
        <f>IF(E48="","",
IF($L$13=3,E48-1,
IF(AND($L$13=2,E48-1&gt;=$V$19,YEAR(E48-1)&gt;=($K$30-1)),E48-1,"")))</f>
        <v/>
      </c>
      <c r="H50" s="660"/>
      <c r="I50" s="654" t="s">
        <v>240</v>
      </c>
      <c r="J50" s="660"/>
      <c r="K50" s="969"/>
      <c r="L50" s="1547"/>
      <c r="M50" s="1548"/>
      <c r="N50" s="677"/>
      <c r="O50" s="655"/>
      <c r="P50" s="1659"/>
      <c r="Q50" s="1660"/>
      <c r="R50" s="1660"/>
      <c r="S50" s="1660"/>
      <c r="T50" s="1660"/>
      <c r="U50" s="1642"/>
      <c r="V50" s="1643"/>
      <c r="W50" s="1644"/>
      <c r="X50" s="766"/>
      <c r="Y50" s="657"/>
      <c r="Z50" s="1030"/>
      <c r="AA50" s="1034"/>
      <c r="AB50" s="1034"/>
      <c r="AC50" s="1034"/>
      <c r="AD50" s="1030"/>
      <c r="AE50" s="1031"/>
      <c r="AF50" s="1031"/>
      <c r="AG50" s="1030"/>
      <c r="AH50" s="1030"/>
      <c r="AI50" s="1030"/>
      <c r="AJ50" s="1030"/>
      <c r="AK50" s="1030"/>
      <c r="AL50" s="1030"/>
      <c r="AM50" s="1030"/>
      <c r="AN50" s="1030"/>
      <c r="AO50" s="1030"/>
      <c r="AP50" s="1030"/>
      <c r="AQ50" s="1030"/>
      <c r="AR50" s="1030"/>
      <c r="AS50" s="1030"/>
      <c r="AT50" s="1030"/>
      <c r="AU50" s="1030"/>
      <c r="AV50" s="1030"/>
      <c r="AW50" s="1030"/>
      <c r="AX50" s="1030"/>
      <c r="AY50" s="1030"/>
      <c r="AZ50" s="1030"/>
      <c r="BA50" s="1030"/>
      <c r="BB50" s="1030"/>
    </row>
    <row r="51" spans="1:54" ht="3" customHeight="1" x14ac:dyDescent="0.3">
      <c r="A51" s="779"/>
      <c r="B51" s="752"/>
      <c r="C51" s="679"/>
      <c r="D51" s="668"/>
      <c r="E51" s="669"/>
      <c r="F51" s="670"/>
      <c r="G51" s="669"/>
      <c r="H51" s="669"/>
      <c r="I51" s="670"/>
      <c r="J51" s="669"/>
      <c r="K51" s="969"/>
      <c r="L51" s="38"/>
      <c r="M51" s="38"/>
      <c r="N51" s="680"/>
      <c r="O51" s="45"/>
      <c r="P51" s="1659"/>
      <c r="Q51" s="1660"/>
      <c r="R51" s="1660"/>
      <c r="S51" s="1660"/>
      <c r="T51" s="1660"/>
      <c r="U51" s="374"/>
      <c r="V51" s="374"/>
      <c r="W51" s="374"/>
      <c r="X51" s="767"/>
      <c r="Y51" s="38"/>
      <c r="Z51" s="556"/>
      <c r="AA51" s="1035"/>
      <c r="AB51" s="1035"/>
      <c r="AC51" s="1035"/>
      <c r="AD51" s="556"/>
      <c r="AE51" s="977"/>
      <c r="AF51" s="977"/>
      <c r="AG51" s="556"/>
      <c r="AH51" s="556"/>
      <c r="AI51" s="556"/>
      <c r="AJ51" s="556"/>
      <c r="AK51" s="556"/>
      <c r="AL51" s="556"/>
      <c r="AM51" s="556"/>
      <c r="AN51" s="556"/>
      <c r="AO51" s="556"/>
      <c r="AP51" s="556"/>
      <c r="AQ51" s="556"/>
      <c r="AR51" s="556"/>
      <c r="AS51" s="556"/>
      <c r="AT51" s="556"/>
      <c r="AU51" s="556"/>
      <c r="AV51" s="556"/>
      <c r="AW51" s="556"/>
      <c r="AX51" s="556"/>
      <c r="AY51" s="556"/>
      <c r="AZ51" s="556"/>
      <c r="BA51" s="556"/>
      <c r="BB51" s="556"/>
    </row>
    <row r="52" spans="1:54" s="374" customFormat="1" ht="15.6" customHeight="1" thickBot="1" x14ac:dyDescent="0.35">
      <c r="A52" s="1032" t="s">
        <v>847</v>
      </c>
      <c r="B52" s="732" t="str">
        <f>IF(E52="","",DAY(E52))</f>
        <v/>
      </c>
      <c r="C52" s="676" t="str">
        <f>CONCATENATE(C50+1,".")</f>
        <v>12.</v>
      </c>
      <c r="D52" s="654"/>
      <c r="E52" s="704" t="str">
        <f>(IF(E50="","",IF(G52="","",
IF($M$19=1,EDATE(E50,-1),
IF(AND($M$19=2,B50=1),EOMONTH(E50,-2)+16,
IF(AND($M$19=2,B50=16),EOMONTH(E50,-1)+1,
IF($M$19=3,E50-14,
IF($M$19=4,E50-7,
""))))))))</f>
        <v/>
      </c>
      <c r="F52" s="654" t="s">
        <v>240</v>
      </c>
      <c r="G52" s="704" t="str">
        <f>IF(E50="","",
IF($L$13=3,E50-1,
IF(AND($L$13=2,E50-1&gt;=$V$19,YEAR(E50-1)&gt;=($K$30-1)),E50-1,"")))</f>
        <v/>
      </c>
      <c r="H52" s="660"/>
      <c r="I52" s="654" t="s">
        <v>240</v>
      </c>
      <c r="J52" s="660"/>
      <c r="K52" s="969"/>
      <c r="L52" s="1547"/>
      <c r="M52" s="1548"/>
      <c r="N52" s="677"/>
      <c r="O52" s="655"/>
      <c r="P52" s="1564" t="s">
        <v>1068</v>
      </c>
      <c r="Q52" s="1565"/>
      <c r="R52" s="1565"/>
      <c r="S52" s="1565"/>
      <c r="T52" s="1565"/>
      <c r="U52" s="1565"/>
      <c r="V52" s="1565"/>
      <c r="W52" s="1565"/>
      <c r="X52" s="1566"/>
      <c r="Y52" s="657"/>
      <c r="Z52" s="1030"/>
      <c r="AA52" s="1034"/>
      <c r="AB52" s="1034"/>
      <c r="AC52" s="1034"/>
      <c r="AD52" s="1030"/>
      <c r="AE52" s="1031"/>
      <c r="AF52" s="1031"/>
      <c r="AG52" s="1030"/>
      <c r="AH52" s="1030"/>
      <c r="AI52" s="1030"/>
      <c r="AJ52" s="1030"/>
      <c r="AK52" s="1030"/>
      <c r="AL52" s="1030"/>
      <c r="AM52" s="1030"/>
      <c r="AN52" s="1030"/>
      <c r="AO52" s="1030"/>
      <c r="AP52" s="1030"/>
      <c r="AQ52" s="1030"/>
      <c r="AR52" s="1030"/>
      <c r="AS52" s="1030"/>
      <c r="AT52" s="1030"/>
      <c r="AU52" s="1030"/>
      <c r="AV52" s="1030"/>
      <c r="AW52" s="1030"/>
      <c r="AX52" s="1030"/>
      <c r="AY52" s="1030"/>
      <c r="AZ52" s="1030"/>
      <c r="BA52" s="1030"/>
      <c r="BB52" s="1030"/>
    </row>
    <row r="53" spans="1:54" ht="3" customHeight="1" thickTop="1" x14ac:dyDescent="0.3">
      <c r="A53" s="779"/>
      <c r="B53" s="752"/>
      <c r="C53" s="679"/>
      <c r="D53" s="117"/>
      <c r="E53" s="671"/>
      <c r="F53" s="671"/>
      <c r="G53" s="671"/>
      <c r="H53" s="671"/>
      <c r="I53" s="671"/>
      <c r="J53" s="671"/>
      <c r="K53" s="969"/>
      <c r="L53" s="38"/>
      <c r="M53" s="38"/>
      <c r="N53" s="680"/>
      <c r="O53" s="45"/>
      <c r="P53" s="529"/>
      <c r="Q53" s="529"/>
      <c r="R53" s="529"/>
      <c r="S53" s="529"/>
      <c r="T53" s="529"/>
      <c r="U53" s="529"/>
      <c r="V53" s="529"/>
      <c r="W53" s="45"/>
      <c r="X53" s="45"/>
      <c r="Y53" s="38"/>
      <c r="Z53" s="556"/>
      <c r="AA53" s="1035"/>
      <c r="AB53" s="1035"/>
      <c r="AC53" s="1035"/>
      <c r="AD53" s="556"/>
      <c r="AE53" s="977"/>
      <c r="AF53" s="977"/>
      <c r="AG53" s="556"/>
      <c r="AH53" s="556"/>
      <c r="AI53" s="556"/>
      <c r="AJ53" s="556"/>
      <c r="AK53" s="556"/>
      <c r="AL53" s="556"/>
      <c r="AM53" s="556"/>
      <c r="AN53" s="556"/>
      <c r="AO53" s="556"/>
      <c r="AP53" s="556"/>
      <c r="AQ53" s="556"/>
      <c r="AR53" s="556"/>
      <c r="AS53" s="556"/>
      <c r="AT53" s="556"/>
      <c r="AU53" s="556"/>
      <c r="AV53" s="556"/>
      <c r="AW53" s="556"/>
      <c r="AX53" s="556"/>
      <c r="AY53" s="556"/>
      <c r="AZ53" s="556"/>
      <c r="BA53" s="556"/>
      <c r="BB53" s="556"/>
    </row>
    <row r="54" spans="1:54" s="374" customFormat="1" ht="15.6" hidden="1" x14ac:dyDescent="0.3">
      <c r="A54" s="1032" t="s">
        <v>847</v>
      </c>
      <c r="B54" s="732" t="str">
        <f>IF(E54="","",DAY(E54))</f>
        <v/>
      </c>
      <c r="C54" s="676" t="str">
        <f>CONCATENATE(C52+1,".")</f>
        <v>13.</v>
      </c>
      <c r="D54" s="654"/>
      <c r="E54" s="704" t="str">
        <f>(IF(E52="","",IF(G54="","",
IF($M$19=1,EDATE(E52,-1),
IF(AND($M$19=2,B52=1),EOMONTH(E52,-2)+16,
IF(AND($M$19=2,B52=16),EOMONTH(E52,-1)+1,
IF($M$19=3,E52-14,
IF($M$19=4,E52-7,
""))))))))</f>
        <v/>
      </c>
      <c r="F54" s="654" t="s">
        <v>240</v>
      </c>
      <c r="G54" s="704" t="str">
        <f>IF(E52="","",
IF($L$13=3,E52-1,
IF(AND($L$13=2,E52-1&gt;=$V$19,YEAR(E52-1)&gt;=($K$30-1)),E52-1,"")))</f>
        <v/>
      </c>
      <c r="H54" s="660"/>
      <c r="I54" s="654" t="s">
        <v>240</v>
      </c>
      <c r="J54" s="660"/>
      <c r="K54" s="969"/>
      <c r="L54" s="1547"/>
      <c r="M54" s="1548"/>
      <c r="N54" s="677"/>
      <c r="O54" s="655"/>
      <c r="P54" s="656"/>
      <c r="Q54" s="655"/>
      <c r="R54" s="655"/>
      <c r="S54" s="655"/>
      <c r="T54" s="655"/>
      <c r="U54" s="120"/>
      <c r="V54" s="655"/>
      <c r="W54" s="655"/>
      <c r="X54" s="655"/>
      <c r="Y54" s="657"/>
      <c r="Z54" s="1030"/>
      <c r="AA54" s="1034"/>
      <c r="AB54" s="1034"/>
      <c r="AC54" s="1034"/>
      <c r="AD54" s="1030"/>
      <c r="AE54" s="1031"/>
      <c r="AF54" s="1031"/>
      <c r="AG54" s="1030"/>
      <c r="AH54" s="1030"/>
      <c r="AI54" s="1030"/>
      <c r="AJ54" s="1030"/>
      <c r="AK54" s="1030"/>
      <c r="AL54" s="1030"/>
      <c r="AM54" s="1030"/>
      <c r="AN54" s="1030"/>
      <c r="AO54" s="1030"/>
      <c r="AP54" s="1030"/>
      <c r="AQ54" s="1030"/>
      <c r="AR54" s="1030"/>
      <c r="AS54" s="1030"/>
      <c r="AT54" s="1030"/>
      <c r="AU54" s="1030"/>
      <c r="AV54" s="1030"/>
      <c r="AW54" s="1030"/>
      <c r="AX54" s="1030"/>
      <c r="AY54" s="1030"/>
      <c r="AZ54" s="1030"/>
      <c r="BA54" s="1030"/>
      <c r="BB54" s="1030"/>
    </row>
    <row r="55" spans="1:54" ht="3" hidden="1" customHeight="1" x14ac:dyDescent="0.3">
      <c r="A55" s="779"/>
      <c r="B55" s="752"/>
      <c r="C55" s="679"/>
      <c r="D55" s="144"/>
      <c r="F55" s="671"/>
      <c r="G55" s="671"/>
      <c r="H55" s="671"/>
      <c r="I55" s="671"/>
      <c r="J55" s="671"/>
      <c r="K55" s="969"/>
      <c r="L55" s="38"/>
      <c r="M55" s="38"/>
      <c r="N55" s="680"/>
      <c r="O55" s="45"/>
      <c r="P55" s="529"/>
      <c r="Q55" s="529"/>
      <c r="R55" s="529"/>
      <c r="S55" s="529"/>
      <c r="T55" s="529"/>
      <c r="U55" s="529"/>
      <c r="V55" s="529"/>
      <c r="W55" s="45"/>
      <c r="X55" s="45"/>
      <c r="Y55" s="38"/>
      <c r="Z55" s="556"/>
      <c r="AA55" s="556"/>
      <c r="AB55" s="556"/>
      <c r="AC55" s="556"/>
      <c r="AD55" s="556"/>
      <c r="AE55" s="977"/>
      <c r="AF55" s="977"/>
      <c r="AG55" s="556"/>
      <c r="AH55" s="556"/>
      <c r="AI55" s="556"/>
      <c r="AJ55" s="556"/>
      <c r="AK55" s="556"/>
      <c r="AL55" s="556"/>
      <c r="AM55" s="556"/>
      <c r="AN55" s="556"/>
      <c r="AO55" s="556"/>
      <c r="AP55" s="556"/>
      <c r="AQ55" s="556"/>
      <c r="AR55" s="556"/>
      <c r="AS55" s="556"/>
      <c r="AT55" s="556"/>
      <c r="AU55" s="556"/>
      <c r="AV55" s="556"/>
      <c r="AW55" s="556"/>
      <c r="AX55" s="556"/>
      <c r="AY55" s="556"/>
      <c r="AZ55" s="556"/>
      <c r="BA55" s="556"/>
      <c r="BB55" s="556"/>
    </row>
    <row r="56" spans="1:54" s="374" customFormat="1" ht="15.6" hidden="1" x14ac:dyDescent="0.3">
      <c r="A56" s="1032" t="s">
        <v>847</v>
      </c>
      <c r="B56" s="732" t="str">
        <f>IF(E56="","",DAY(E56))</f>
        <v/>
      </c>
      <c r="C56" s="676" t="str">
        <f>CONCATENATE(C54+1,".")</f>
        <v>14.</v>
      </c>
      <c r="D56" s="654"/>
      <c r="E56" s="704" t="str">
        <f>(IF(E54="","",IF(G56="","",
IF($M$19=1,EDATE(E54,-1),
IF(AND($M$19=2,B54=1),EOMONTH(E54,-2)+16,
IF(AND($M$19=2,B54=16),EOMONTH(E54,-1)+1,
IF($M$19=3,E54-14,
IF($M$19=4,E54-7,
""))))))))</f>
        <v/>
      </c>
      <c r="F56" s="654" t="s">
        <v>240</v>
      </c>
      <c r="G56" s="704" t="str">
        <f>IF(E54="","",
IF($L$13=3,E54-1,
IF(AND($L$13=2,E54-1&gt;=$V$19,YEAR(E54-1)&gt;=($K$30-1)),E54-1,"")))</f>
        <v/>
      </c>
      <c r="H56" s="660"/>
      <c r="I56" s="654" t="s">
        <v>240</v>
      </c>
      <c r="J56" s="660"/>
      <c r="K56" s="969"/>
      <c r="L56" s="1547"/>
      <c r="M56" s="1548"/>
      <c r="N56" s="677"/>
      <c r="O56" s="655"/>
      <c r="P56" s="656"/>
      <c r="Q56" s="655"/>
      <c r="R56" s="655"/>
      <c r="S56" s="655"/>
      <c r="T56" s="655"/>
      <c r="U56" s="120"/>
      <c r="V56" s="655"/>
      <c r="W56" s="655"/>
      <c r="X56" s="655"/>
      <c r="Y56" s="657"/>
      <c r="Z56" s="1030"/>
      <c r="AA56" s="1030"/>
      <c r="AB56" s="1030"/>
      <c r="AC56" s="1030"/>
      <c r="AD56" s="1030"/>
      <c r="AE56" s="1031"/>
      <c r="AF56" s="1031"/>
      <c r="AG56" s="1030"/>
      <c r="AH56" s="1030"/>
      <c r="AI56" s="1030"/>
      <c r="AJ56" s="1030"/>
      <c r="AK56" s="1030"/>
      <c r="AL56" s="1030"/>
      <c r="AM56" s="1030"/>
      <c r="AN56" s="1030"/>
      <c r="AO56" s="1030"/>
      <c r="AP56" s="1030"/>
      <c r="AQ56" s="1030"/>
      <c r="AR56" s="1030"/>
      <c r="AS56" s="1030"/>
      <c r="AT56" s="1030"/>
      <c r="AU56" s="1030"/>
      <c r="AV56" s="1030"/>
      <c r="AW56" s="1030"/>
      <c r="AX56" s="1030"/>
      <c r="AY56" s="1030"/>
      <c r="AZ56" s="1030"/>
      <c r="BA56" s="1030"/>
      <c r="BB56" s="1030"/>
    </row>
    <row r="57" spans="1:54" ht="3" hidden="1" customHeight="1" x14ac:dyDescent="0.3">
      <c r="A57" s="779"/>
      <c r="B57" s="752"/>
      <c r="C57" s="679"/>
      <c r="D57" s="668"/>
      <c r="E57" s="669"/>
      <c r="F57" s="670"/>
      <c r="G57" s="669"/>
      <c r="H57" s="669"/>
      <c r="I57" s="670"/>
      <c r="J57" s="669"/>
      <c r="K57" s="969"/>
      <c r="L57" s="38"/>
      <c r="M57" s="38"/>
      <c r="N57" s="680"/>
      <c r="O57" s="45"/>
      <c r="P57" s="45"/>
      <c r="Q57" s="38"/>
      <c r="R57" s="45"/>
      <c r="S57" s="45"/>
      <c r="T57" s="45"/>
      <c r="U57" s="45"/>
      <c r="V57" s="45"/>
      <c r="W57" s="45"/>
      <c r="X57" s="45"/>
      <c r="Y57" s="38"/>
      <c r="Z57" s="556"/>
      <c r="AA57" s="556"/>
      <c r="AB57" s="556"/>
      <c r="AC57" s="556"/>
      <c r="AD57" s="556"/>
      <c r="AE57" s="977"/>
      <c r="AF57" s="977"/>
      <c r="AG57" s="556"/>
      <c r="AH57" s="556"/>
      <c r="AI57" s="556"/>
      <c r="AJ57" s="556"/>
      <c r="AK57" s="556"/>
      <c r="AL57" s="556"/>
      <c r="AM57" s="556"/>
      <c r="AN57" s="556"/>
      <c r="AO57" s="556"/>
      <c r="AP57" s="556"/>
      <c r="AQ57" s="556"/>
      <c r="AR57" s="556"/>
      <c r="AS57" s="556"/>
      <c r="AT57" s="556"/>
      <c r="AU57" s="556"/>
      <c r="AV57" s="556"/>
      <c r="AW57" s="556"/>
      <c r="AX57" s="556"/>
      <c r="AY57" s="556"/>
      <c r="AZ57" s="556"/>
      <c r="BA57" s="556"/>
      <c r="BB57" s="556"/>
    </row>
    <row r="58" spans="1:54" s="374" customFormat="1" ht="15.6" hidden="1" x14ac:dyDescent="0.3">
      <c r="A58" s="1032" t="s">
        <v>847</v>
      </c>
      <c r="B58" s="732" t="str">
        <f>IF(E58="","",DAY(E58))</f>
        <v/>
      </c>
      <c r="C58" s="676" t="str">
        <f>CONCATENATE(C56+1,".")</f>
        <v>15.</v>
      </c>
      <c r="D58" s="654"/>
      <c r="E58" s="704" t="str">
        <f>(IF(E56="","",IF(G58="","",
IF($M$19=1,EDATE(E56,-1),
IF(AND($M$19=2,B56=1),EOMONTH(E56,-2)+16,
IF(AND($M$19=2,B56=16),EOMONTH(E56,-1)+1,
IF($M$19=3,E56-14,
IF($M$19=4,E56-7,
""))))))))</f>
        <v/>
      </c>
      <c r="F58" s="654" t="s">
        <v>240</v>
      </c>
      <c r="G58" s="704" t="str">
        <f>IF(E56="","",
IF($L$13=3,E56-1,
IF(AND($L$13=2,E56-1&gt;=$V$19,YEAR(E56-1)&gt;=($K$30-1)),E56-1,"")))</f>
        <v/>
      </c>
      <c r="H58" s="660"/>
      <c r="I58" s="654" t="s">
        <v>240</v>
      </c>
      <c r="J58" s="660"/>
      <c r="K58" s="969"/>
      <c r="L58" s="1547"/>
      <c r="M58" s="1548"/>
      <c r="N58" s="677"/>
      <c r="O58" s="655"/>
      <c r="P58" s="656"/>
      <c r="Q58" s="655"/>
      <c r="R58" s="655"/>
      <c r="S58" s="655"/>
      <c r="T58" s="655"/>
      <c r="U58" s="657"/>
      <c r="V58" s="655"/>
      <c r="W58" s="655"/>
      <c r="X58" s="655"/>
      <c r="Y58" s="657"/>
      <c r="Z58" s="1030"/>
      <c r="AA58" s="1030"/>
      <c r="AB58" s="1030"/>
      <c r="AC58" s="1030"/>
      <c r="AD58" s="1030"/>
      <c r="AE58" s="1031"/>
      <c r="AF58" s="1031"/>
      <c r="AG58" s="1030"/>
      <c r="AH58" s="1030"/>
      <c r="AI58" s="1030"/>
      <c r="AJ58" s="1030"/>
      <c r="AK58" s="1030"/>
      <c r="AL58" s="1030"/>
      <c r="AM58" s="1030"/>
      <c r="AN58" s="1030"/>
      <c r="AO58" s="1030"/>
      <c r="AP58" s="1030"/>
      <c r="AQ58" s="1030"/>
      <c r="AR58" s="1030"/>
      <c r="AS58" s="1030"/>
      <c r="AT58" s="1030"/>
      <c r="AU58" s="1030"/>
      <c r="AV58" s="1030"/>
      <c r="AW58" s="1030"/>
      <c r="AX58" s="1030"/>
      <c r="AY58" s="1030"/>
      <c r="AZ58" s="1030"/>
      <c r="BA58" s="1030"/>
      <c r="BB58" s="1030"/>
    </row>
    <row r="59" spans="1:54" ht="3" hidden="1" customHeight="1" x14ac:dyDescent="0.3">
      <c r="A59" s="779"/>
      <c r="B59" s="752"/>
      <c r="C59" s="679"/>
      <c r="D59" s="668"/>
      <c r="E59" s="669"/>
      <c r="F59" s="670"/>
      <c r="G59" s="669"/>
      <c r="H59" s="669"/>
      <c r="I59" s="670"/>
      <c r="J59" s="669"/>
      <c r="K59" s="969"/>
      <c r="L59" s="38"/>
      <c r="M59" s="38"/>
      <c r="N59" s="680"/>
      <c r="O59" s="45"/>
      <c r="P59" s="45"/>
      <c r="Q59" s="38"/>
      <c r="R59" s="45"/>
      <c r="S59" s="45"/>
      <c r="T59" s="45"/>
      <c r="U59" s="45"/>
      <c r="V59" s="45"/>
      <c r="W59" s="45"/>
      <c r="X59" s="45"/>
      <c r="Y59" s="38"/>
      <c r="Z59" s="556"/>
      <c r="AA59" s="556"/>
      <c r="AB59" s="556"/>
      <c r="AC59" s="556"/>
      <c r="AD59" s="556"/>
      <c r="AE59" s="977"/>
      <c r="AF59" s="977"/>
      <c r="AG59" s="556"/>
      <c r="AH59" s="556"/>
      <c r="AI59" s="556"/>
      <c r="AJ59" s="556"/>
      <c r="AK59" s="556"/>
      <c r="AL59" s="556"/>
      <c r="AM59" s="556"/>
      <c r="AN59" s="556"/>
      <c r="AO59" s="556"/>
      <c r="AP59" s="556"/>
      <c r="AQ59" s="556"/>
      <c r="AR59" s="556"/>
      <c r="AS59" s="556"/>
      <c r="AT59" s="556"/>
      <c r="AU59" s="556"/>
      <c r="AV59" s="556"/>
      <c r="AW59" s="556"/>
      <c r="AX59" s="556"/>
      <c r="AY59" s="556"/>
      <c r="AZ59" s="556"/>
      <c r="BA59" s="556"/>
      <c r="BB59" s="556"/>
    </row>
    <row r="60" spans="1:54" s="374" customFormat="1" ht="15.6" hidden="1" x14ac:dyDescent="0.3">
      <c r="A60" s="1032" t="s">
        <v>847</v>
      </c>
      <c r="B60" s="732" t="str">
        <f>IF(E60="","",DAY(E60))</f>
        <v/>
      </c>
      <c r="C60" s="676" t="str">
        <f>CONCATENATE(C58+1,".")</f>
        <v>16.</v>
      </c>
      <c r="D60" s="654"/>
      <c r="E60" s="704" t="str">
        <f>(IF(E58="","",IF(G60="","",
IF($M$19=1,EDATE(E58,-1),
IF(AND($M$19=2,B58=1),EOMONTH(E58,-2)+16,
IF(AND($M$19=2,B58=16),EOMONTH(E58,-1)+1,
IF($M$19=3,E58-14,
IF($M$19=4,E58-7,
""))))))))</f>
        <v/>
      </c>
      <c r="F60" s="654" t="s">
        <v>240</v>
      </c>
      <c r="G60" s="704" t="str">
        <f>IF(E58="","",
IF($L$13=3,E58-1,
IF(AND($L$13=2,E58-1&gt;=$V$19,YEAR(E58-1)&gt;=($K$30-1)),E58-1,"")))</f>
        <v/>
      </c>
      <c r="H60" s="660"/>
      <c r="I60" s="654" t="s">
        <v>240</v>
      </c>
      <c r="J60" s="660"/>
      <c r="K60" s="969"/>
      <c r="L60" s="1547"/>
      <c r="M60" s="1548"/>
      <c r="N60" s="677"/>
      <c r="O60" s="655"/>
      <c r="P60" s="656"/>
      <c r="Q60" s="655"/>
      <c r="R60" s="655"/>
      <c r="S60" s="655"/>
      <c r="T60" s="655"/>
      <c r="U60" s="657"/>
      <c r="V60" s="655"/>
      <c r="W60" s="655"/>
      <c r="X60" s="655"/>
      <c r="Y60" s="657"/>
      <c r="Z60" s="1030"/>
      <c r="AA60" s="1030"/>
      <c r="AB60" s="1030"/>
      <c r="AC60" s="1030"/>
      <c r="AD60" s="1030"/>
      <c r="AE60" s="1031"/>
      <c r="AF60" s="1031"/>
      <c r="AG60" s="1030"/>
      <c r="AH60" s="1030"/>
      <c r="AI60" s="1030"/>
      <c r="AJ60" s="1030"/>
      <c r="AK60" s="1030"/>
      <c r="AL60" s="1030"/>
      <c r="AM60" s="1030"/>
      <c r="AN60" s="1030"/>
      <c r="AO60" s="1030"/>
      <c r="AP60" s="1030"/>
      <c r="AQ60" s="1030"/>
      <c r="AR60" s="1030"/>
      <c r="AS60" s="1030"/>
      <c r="AT60" s="1030"/>
      <c r="AU60" s="1030"/>
      <c r="AV60" s="1030"/>
      <c r="AW60" s="1030"/>
      <c r="AX60" s="1030"/>
      <c r="AY60" s="1030"/>
      <c r="AZ60" s="1030"/>
      <c r="BA60" s="1030"/>
      <c r="BB60" s="1030"/>
    </row>
    <row r="61" spans="1:54" ht="3" hidden="1" customHeight="1" x14ac:dyDescent="0.3">
      <c r="A61" s="779"/>
      <c r="B61" s="752"/>
      <c r="C61" s="679"/>
      <c r="D61" s="668"/>
      <c r="E61" s="669"/>
      <c r="F61" s="670"/>
      <c r="G61" s="669"/>
      <c r="H61" s="669"/>
      <c r="I61" s="670"/>
      <c r="J61" s="669"/>
      <c r="K61" s="969"/>
      <c r="L61" s="134"/>
      <c r="M61" s="134"/>
      <c r="N61" s="680"/>
      <c r="O61" s="45"/>
      <c r="P61" s="45"/>
      <c r="Q61" s="38"/>
      <c r="R61" s="45"/>
      <c r="S61" s="45"/>
      <c r="T61" s="45"/>
      <c r="U61" s="45"/>
      <c r="V61" s="45"/>
      <c r="W61" s="45"/>
      <c r="X61" s="45"/>
      <c r="Y61" s="38"/>
      <c r="Z61" s="556"/>
      <c r="AA61" s="556"/>
      <c r="AB61" s="556"/>
      <c r="AC61" s="556"/>
      <c r="AD61" s="556"/>
      <c r="AE61" s="977"/>
      <c r="AF61" s="977"/>
      <c r="AG61" s="556"/>
      <c r="AH61" s="556"/>
      <c r="AI61" s="556"/>
      <c r="AJ61" s="556"/>
      <c r="AK61" s="556"/>
      <c r="AL61" s="556"/>
      <c r="AM61" s="556"/>
      <c r="AN61" s="556"/>
      <c r="AO61" s="556"/>
      <c r="AP61" s="556"/>
      <c r="AQ61" s="556"/>
      <c r="AR61" s="556"/>
      <c r="AS61" s="556"/>
      <c r="AT61" s="556"/>
      <c r="AU61" s="556"/>
      <c r="AV61" s="556"/>
      <c r="AW61" s="556"/>
      <c r="AX61" s="556"/>
      <c r="AY61" s="556"/>
      <c r="AZ61" s="556"/>
      <c r="BA61" s="556"/>
      <c r="BB61" s="556"/>
    </row>
    <row r="62" spans="1:54" s="374" customFormat="1" ht="15.6" hidden="1" x14ac:dyDescent="0.3">
      <c r="A62" s="1032" t="s">
        <v>847</v>
      </c>
      <c r="B62" s="732" t="str">
        <f>IF(E62="","",DAY(E62))</f>
        <v/>
      </c>
      <c r="C62" s="676" t="str">
        <f>CONCATENATE(C60+1,".")</f>
        <v>17.</v>
      </c>
      <c r="D62" s="654"/>
      <c r="E62" s="704" t="str">
        <f>(IF(E60="","",IF(G62="","",
IF($M$19=1,EDATE(E60,-1),
IF(AND($M$19=2,B60=1),EOMONTH(E60,-2)+16,
IF(AND($M$19=2,B60=16),EOMONTH(E60,-1)+1,
IF($M$19=3,E60-14,
IF($M$19=4,E60-7,
""))))))))</f>
        <v/>
      </c>
      <c r="F62" s="654" t="s">
        <v>240</v>
      </c>
      <c r="G62" s="704" t="str">
        <f>IF(E60="","",
IF($L$13=3,E60-1,
IF(AND($L$13=2,E60-1&gt;=$V$19,YEAR(E60-1)&gt;=($K$30-1)),E60-1,"")))</f>
        <v/>
      </c>
      <c r="H62" s="660"/>
      <c r="I62" s="654" t="s">
        <v>240</v>
      </c>
      <c r="J62" s="660"/>
      <c r="K62" s="969"/>
      <c r="L62" s="1547"/>
      <c r="M62" s="1548"/>
      <c r="N62" s="677"/>
      <c r="O62" s="655"/>
      <c r="P62" s="656"/>
      <c r="Q62" s="655"/>
      <c r="R62" s="655"/>
      <c r="S62" s="655"/>
      <c r="T62" s="655"/>
      <c r="U62" s="657"/>
      <c r="V62" s="655"/>
      <c r="W62" s="655"/>
      <c r="X62" s="655"/>
      <c r="Y62" s="657"/>
      <c r="Z62" s="1030"/>
      <c r="AA62" s="1030"/>
      <c r="AB62" s="1030"/>
      <c r="AC62" s="1030"/>
      <c r="AD62" s="1030"/>
      <c r="AE62" s="1031"/>
      <c r="AF62" s="1031"/>
      <c r="AG62" s="1030"/>
      <c r="AH62" s="1030"/>
      <c r="AI62" s="1030"/>
      <c r="AJ62" s="1030"/>
      <c r="AK62" s="1030"/>
      <c r="AL62" s="1030"/>
      <c r="AM62" s="1030"/>
      <c r="AN62" s="1030"/>
      <c r="AO62" s="1030"/>
      <c r="AP62" s="1030"/>
      <c r="AQ62" s="1030"/>
      <c r="AR62" s="1030"/>
      <c r="AS62" s="1030"/>
      <c r="AT62" s="1030"/>
      <c r="AU62" s="1030"/>
      <c r="AV62" s="1030"/>
      <c r="AW62" s="1030"/>
      <c r="AX62" s="1030"/>
      <c r="AY62" s="1030"/>
      <c r="AZ62" s="1030"/>
      <c r="BA62" s="1030"/>
      <c r="BB62" s="1030"/>
    </row>
    <row r="63" spans="1:54" ht="3" hidden="1" customHeight="1" x14ac:dyDescent="0.3">
      <c r="A63" s="779"/>
      <c r="B63" s="752"/>
      <c r="C63" s="679"/>
      <c r="D63" s="117"/>
      <c r="E63" s="671"/>
      <c r="F63" s="671"/>
      <c r="G63" s="671"/>
      <c r="H63" s="671"/>
      <c r="I63" s="671"/>
      <c r="J63" s="671"/>
      <c r="K63" s="969"/>
      <c r="L63" s="38"/>
      <c r="M63" s="38"/>
      <c r="N63" s="680"/>
      <c r="O63" s="45"/>
      <c r="P63" s="45"/>
      <c r="Q63" s="45"/>
      <c r="R63" s="45"/>
      <c r="S63" s="45"/>
      <c r="T63" s="45"/>
      <c r="U63" s="45"/>
      <c r="V63" s="45"/>
      <c r="W63" s="45"/>
      <c r="X63" s="45"/>
      <c r="Y63" s="38"/>
      <c r="Z63" s="556"/>
      <c r="AA63" s="556"/>
      <c r="AB63" s="556"/>
      <c r="AC63" s="556"/>
      <c r="AD63" s="556"/>
      <c r="AE63" s="977"/>
      <c r="AF63" s="977"/>
      <c r="AG63" s="556"/>
      <c r="AH63" s="556"/>
      <c r="AI63" s="556"/>
      <c r="AJ63" s="556"/>
      <c r="AK63" s="556"/>
      <c r="AL63" s="556"/>
      <c r="AM63" s="556"/>
      <c r="AN63" s="556"/>
      <c r="AO63" s="556"/>
      <c r="AP63" s="556"/>
      <c r="AQ63" s="556"/>
      <c r="AR63" s="556"/>
      <c r="AS63" s="556"/>
      <c r="AT63" s="556"/>
      <c r="AU63" s="556"/>
      <c r="AV63" s="556"/>
      <c r="AW63" s="556"/>
      <c r="AX63" s="556"/>
      <c r="AY63" s="556"/>
      <c r="AZ63" s="556"/>
      <c r="BA63" s="556"/>
      <c r="BB63" s="556"/>
    </row>
    <row r="64" spans="1:54" s="374" customFormat="1" ht="15.6" hidden="1" x14ac:dyDescent="0.3">
      <c r="A64" s="1032" t="s">
        <v>847</v>
      </c>
      <c r="B64" s="732" t="str">
        <f>IF(E64="","",DAY(E64))</f>
        <v/>
      </c>
      <c r="C64" s="676" t="str">
        <f>CONCATENATE(C62+1,".")</f>
        <v>18.</v>
      </c>
      <c r="D64" s="654"/>
      <c r="E64" s="704" t="str">
        <f>(IF(E62="","",IF(G64="","",
IF($M$19=1,EDATE(E62,-1),
IF(AND($M$19=2,B62=1),EOMONTH(E62,-2)+16,
IF(AND($M$19=2,B62=16),EOMONTH(E62,-1)+1,
IF($M$19=3,E62-14,
IF($M$19=4,E62-7,
""))))))))</f>
        <v/>
      </c>
      <c r="F64" s="654" t="s">
        <v>240</v>
      </c>
      <c r="G64" s="704" t="str">
        <f>IF(E62="","",
IF($L$13=3,E62-1,
IF(AND($L$13=2,E62-1&gt;=$V$19,YEAR(E62-1)&gt;=($K$30-1)),E62-1,"")))</f>
        <v/>
      </c>
      <c r="H64" s="660"/>
      <c r="I64" s="654" t="s">
        <v>240</v>
      </c>
      <c r="J64" s="660"/>
      <c r="K64" s="969"/>
      <c r="L64" s="1547"/>
      <c r="M64" s="1548"/>
      <c r="N64" s="677"/>
      <c r="O64" s="655"/>
      <c r="P64" s="656"/>
      <c r="Q64" s="655"/>
      <c r="R64" s="655"/>
      <c r="S64" s="655"/>
      <c r="T64" s="655"/>
      <c r="U64" s="657"/>
      <c r="V64" s="655"/>
      <c r="W64" s="655"/>
      <c r="X64" s="655"/>
      <c r="Y64" s="657"/>
      <c r="Z64" s="1033"/>
      <c r="AA64" s="1030"/>
      <c r="AB64" s="1030"/>
      <c r="AC64" s="1030"/>
      <c r="AD64" s="1030"/>
      <c r="AE64" s="1031"/>
      <c r="AF64" s="1031"/>
      <c r="AG64" s="1030"/>
      <c r="AH64" s="1030"/>
      <c r="AI64" s="1030"/>
      <c r="AJ64" s="1030"/>
      <c r="AK64" s="1030"/>
      <c r="AL64" s="1030"/>
      <c r="AM64" s="1030"/>
      <c r="AN64" s="1030"/>
      <c r="AO64" s="1030"/>
      <c r="AP64" s="1030"/>
      <c r="AQ64" s="1030"/>
      <c r="AR64" s="1030"/>
      <c r="AS64" s="1030"/>
      <c r="AT64" s="1030"/>
      <c r="AU64" s="1030"/>
      <c r="AV64" s="1030"/>
      <c r="AW64" s="1030"/>
      <c r="AX64" s="1030"/>
      <c r="AY64" s="1030"/>
      <c r="AZ64" s="1030"/>
      <c r="BA64" s="1030"/>
      <c r="BB64" s="1030"/>
    </row>
    <row r="65" spans="1:54" ht="3" hidden="1" customHeight="1" x14ac:dyDescent="0.3">
      <c r="A65" s="779"/>
      <c r="B65" s="752"/>
      <c r="C65" s="679"/>
      <c r="D65" s="144"/>
      <c r="E65" s="671"/>
      <c r="F65" s="671"/>
      <c r="G65" s="671"/>
      <c r="H65" s="671"/>
      <c r="I65" s="671"/>
      <c r="J65" s="671"/>
      <c r="K65" s="969"/>
      <c r="L65" s="38"/>
      <c r="M65" s="38"/>
      <c r="N65" s="680"/>
      <c r="O65" s="45"/>
      <c r="P65" s="45"/>
      <c r="Q65" s="45"/>
      <c r="R65" s="45"/>
      <c r="S65" s="45"/>
      <c r="T65" s="45"/>
      <c r="U65" s="45"/>
      <c r="V65" s="45"/>
      <c r="W65" s="45"/>
      <c r="X65" s="45"/>
      <c r="Y65" s="38"/>
      <c r="Z65" s="556"/>
      <c r="AA65" s="556"/>
      <c r="AB65" s="556"/>
      <c r="AC65" s="556"/>
      <c r="AD65" s="556"/>
      <c r="AE65" s="977"/>
      <c r="AF65" s="977"/>
      <c r="AG65" s="556"/>
      <c r="AH65" s="556"/>
      <c r="AI65" s="556"/>
      <c r="AJ65" s="556"/>
      <c r="AK65" s="556"/>
      <c r="AL65" s="556"/>
      <c r="AM65" s="556"/>
      <c r="AN65" s="556"/>
      <c r="AO65" s="556"/>
      <c r="AP65" s="556"/>
      <c r="AQ65" s="556"/>
      <c r="AR65" s="556"/>
      <c r="AS65" s="556"/>
      <c r="AT65" s="556"/>
      <c r="AU65" s="556"/>
      <c r="AV65" s="556"/>
      <c r="AW65" s="556"/>
      <c r="AX65" s="556"/>
      <c r="AY65" s="556"/>
      <c r="AZ65" s="556"/>
      <c r="BA65" s="556"/>
      <c r="BB65" s="556"/>
    </row>
    <row r="66" spans="1:54" s="374" customFormat="1" ht="15.6" hidden="1" x14ac:dyDescent="0.3">
      <c r="A66" s="1032" t="s">
        <v>847</v>
      </c>
      <c r="B66" s="732" t="str">
        <f>IF(E66="","",DAY(E66))</f>
        <v/>
      </c>
      <c r="C66" s="676" t="str">
        <f>CONCATENATE(C64+1,".")</f>
        <v>19.</v>
      </c>
      <c r="D66" s="654"/>
      <c r="E66" s="704" t="str">
        <f>(IF(E64="","",IF(G66="","",
IF($M$19=1,EDATE(E64,-1),
IF(AND($M$19=2,B64=1),EOMONTH(E64,-2)+16,
IF(AND($M$19=2,B64=16),EOMONTH(E64,-1)+1,
IF($M$19=3,E64-14,
IF($M$19=4,E64-7,
""))))))))</f>
        <v/>
      </c>
      <c r="F66" s="654" t="s">
        <v>240</v>
      </c>
      <c r="G66" s="704" t="str">
        <f>IF(E64="","",
IF($L$13=3,E64-1,
IF(AND($L$13=2,E64-1&gt;=$V$19,YEAR(E64-1)&gt;=($K$30-1)),E64-1,"")))</f>
        <v/>
      </c>
      <c r="H66" s="660"/>
      <c r="I66" s="654" t="s">
        <v>240</v>
      </c>
      <c r="J66" s="660"/>
      <c r="K66" s="969"/>
      <c r="L66" s="1547"/>
      <c r="M66" s="1548"/>
      <c r="N66" s="677"/>
      <c r="O66" s="655"/>
      <c r="P66" s="656"/>
      <c r="Q66" s="655"/>
      <c r="R66" s="655"/>
      <c r="S66" s="655"/>
      <c r="T66" s="655"/>
      <c r="U66" s="657"/>
      <c r="V66" s="655"/>
      <c r="W66" s="655"/>
      <c r="X66" s="655"/>
      <c r="Y66" s="657"/>
      <c r="Z66" s="1033"/>
      <c r="AA66" s="1030"/>
      <c r="AB66" s="1030"/>
      <c r="AC66" s="1030"/>
      <c r="AD66" s="1030"/>
      <c r="AE66" s="1031"/>
      <c r="AF66" s="1031"/>
      <c r="AG66" s="1030"/>
      <c r="AH66" s="1030"/>
      <c r="AI66" s="1030"/>
      <c r="AJ66" s="1030"/>
      <c r="AK66" s="1030"/>
      <c r="AL66" s="1030"/>
      <c r="AM66" s="1030"/>
      <c r="AN66" s="1030"/>
      <c r="AO66" s="1030"/>
      <c r="AP66" s="1030"/>
      <c r="AQ66" s="1030"/>
      <c r="AR66" s="1030"/>
      <c r="AS66" s="1030"/>
      <c r="AT66" s="1030"/>
      <c r="AU66" s="1030"/>
      <c r="AV66" s="1030"/>
      <c r="AW66" s="1030"/>
      <c r="AX66" s="1030"/>
      <c r="AY66" s="1030"/>
      <c r="AZ66" s="1030"/>
      <c r="BA66" s="1030"/>
      <c r="BB66" s="1030"/>
    </row>
    <row r="67" spans="1:54" ht="3" hidden="1" customHeight="1" x14ac:dyDescent="0.3">
      <c r="A67" s="779"/>
      <c r="B67" s="752"/>
      <c r="C67" s="679"/>
      <c r="D67" s="144"/>
      <c r="E67" s="671"/>
      <c r="F67" s="671"/>
      <c r="G67" s="671"/>
      <c r="H67" s="671"/>
      <c r="I67" s="671"/>
      <c r="J67" s="671"/>
      <c r="K67" s="969"/>
      <c r="L67" s="38"/>
      <c r="M67" s="38"/>
      <c r="N67" s="680"/>
      <c r="O67" s="45"/>
      <c r="P67" s="45"/>
      <c r="Q67" s="45"/>
      <c r="R67" s="45"/>
      <c r="S67" s="45"/>
      <c r="T67" s="45"/>
      <c r="U67" s="45"/>
      <c r="V67" s="45"/>
      <c r="W67" s="45"/>
      <c r="X67" s="45"/>
      <c r="Y67" s="38"/>
      <c r="Z67" s="556"/>
      <c r="AA67" s="556"/>
      <c r="AB67" s="556"/>
      <c r="AC67" s="556"/>
      <c r="AD67" s="556"/>
      <c r="AE67" s="977"/>
      <c r="AF67" s="977"/>
      <c r="AG67" s="556"/>
      <c r="AH67" s="556"/>
      <c r="AI67" s="556"/>
      <c r="AJ67" s="556"/>
      <c r="AK67" s="556"/>
      <c r="AL67" s="556"/>
      <c r="AM67" s="556"/>
      <c r="AN67" s="556"/>
      <c r="AO67" s="556"/>
      <c r="AP67" s="556"/>
      <c r="AQ67" s="556"/>
      <c r="AR67" s="556"/>
      <c r="AS67" s="556"/>
      <c r="AT67" s="556"/>
      <c r="AU67" s="556"/>
      <c r="AV67" s="556"/>
      <c r="AW67" s="556"/>
      <c r="AX67" s="556"/>
      <c r="AY67" s="556"/>
      <c r="AZ67" s="556"/>
      <c r="BA67" s="556"/>
      <c r="BB67" s="556"/>
    </row>
    <row r="68" spans="1:54" s="374" customFormat="1" ht="15.6" hidden="1" x14ac:dyDescent="0.3">
      <c r="A68" s="1032" t="s">
        <v>847</v>
      </c>
      <c r="B68" s="732" t="str">
        <f>IF(E68="","",DAY(E68))</f>
        <v/>
      </c>
      <c r="C68" s="676" t="str">
        <f>CONCATENATE(C66+1,".")</f>
        <v>20.</v>
      </c>
      <c r="D68" s="654"/>
      <c r="E68" s="704" t="str">
        <f>(IF(E66="","",IF(G68="","",
IF($M$19=1,EDATE(E66,-1),
IF(AND($M$19=2,B66=1),EOMONTH(E66,-2)+16,
IF(AND($M$19=2,B66=16),EOMONTH(E66,-1)+1,
IF($M$19=3,E66-14,
IF($M$19=4,E66-7,
""))))))))</f>
        <v/>
      </c>
      <c r="F68" s="654" t="s">
        <v>240</v>
      </c>
      <c r="G68" s="704" t="str">
        <f>IF(E66="","",
IF($L$13=3,E66-1,
IF(AND($L$13=2,E66-1&gt;=$V$19,YEAR(E66-1)&gt;=($K$30-1)),E66-1,"")))</f>
        <v/>
      </c>
      <c r="H68" s="660"/>
      <c r="I68" s="654" t="s">
        <v>240</v>
      </c>
      <c r="J68" s="660"/>
      <c r="K68" s="969"/>
      <c r="L68" s="1547"/>
      <c r="M68" s="1548"/>
      <c r="N68" s="677"/>
      <c r="O68" s="655"/>
      <c r="P68" s="656"/>
      <c r="Q68" s="655"/>
      <c r="R68" s="655"/>
      <c r="S68" s="655"/>
      <c r="T68" s="655"/>
      <c r="U68" s="657"/>
      <c r="V68" s="655"/>
      <c r="W68" s="655"/>
      <c r="X68" s="655"/>
      <c r="Y68" s="657"/>
      <c r="Z68" s="1030"/>
      <c r="AA68" s="1030"/>
      <c r="AB68" s="1030"/>
      <c r="AC68" s="1030"/>
      <c r="AD68" s="1030"/>
      <c r="AE68" s="1031"/>
      <c r="AF68" s="1031"/>
      <c r="AG68" s="1030"/>
      <c r="AH68" s="1030"/>
      <c r="AI68" s="1030"/>
      <c r="AJ68" s="1030"/>
      <c r="AK68" s="1030"/>
      <c r="AL68" s="1030"/>
      <c r="AM68" s="1030"/>
      <c r="AN68" s="1030"/>
      <c r="AO68" s="1030"/>
      <c r="AP68" s="1030"/>
      <c r="AQ68" s="1030"/>
      <c r="AR68" s="1030"/>
      <c r="AS68" s="1030"/>
      <c r="AT68" s="1030"/>
      <c r="AU68" s="1030"/>
      <c r="AV68" s="1030"/>
      <c r="AW68" s="1030"/>
      <c r="AX68" s="1030"/>
      <c r="AY68" s="1030"/>
      <c r="AZ68" s="1030"/>
      <c r="BA68" s="1030"/>
      <c r="BB68" s="1030"/>
    </row>
    <row r="69" spans="1:54" ht="3" hidden="1" customHeight="1" x14ac:dyDescent="0.3">
      <c r="A69" s="779"/>
      <c r="B69" s="752"/>
      <c r="C69" s="679"/>
      <c r="D69" s="668"/>
      <c r="E69" s="669"/>
      <c r="F69" s="670"/>
      <c r="G69" s="669"/>
      <c r="H69" s="669"/>
      <c r="I69" s="670"/>
      <c r="J69" s="669"/>
      <c r="K69" s="969"/>
      <c r="L69" s="38"/>
      <c r="M69" s="38"/>
      <c r="N69" s="680"/>
      <c r="O69" s="45"/>
      <c r="P69" s="45"/>
      <c r="Q69" s="38"/>
      <c r="R69" s="45"/>
      <c r="S69" s="45"/>
      <c r="T69" s="45"/>
      <c r="U69" s="45"/>
      <c r="V69" s="45"/>
      <c r="W69" s="45"/>
      <c r="X69" s="45"/>
      <c r="Y69" s="38"/>
      <c r="Z69" s="556"/>
      <c r="AA69" s="556"/>
      <c r="AB69" s="556"/>
      <c r="AC69" s="556"/>
      <c r="AD69" s="556"/>
      <c r="AE69" s="977"/>
      <c r="AF69" s="977"/>
      <c r="AG69" s="556"/>
      <c r="AH69" s="556"/>
      <c r="AI69" s="556"/>
      <c r="AJ69" s="556"/>
      <c r="AK69" s="556"/>
      <c r="AL69" s="556"/>
      <c r="AM69" s="556"/>
      <c r="AN69" s="556"/>
      <c r="AO69" s="556"/>
      <c r="AP69" s="556"/>
      <c r="AQ69" s="556"/>
      <c r="AR69" s="556"/>
      <c r="AS69" s="556"/>
      <c r="AT69" s="556"/>
      <c r="AU69" s="556"/>
      <c r="AV69" s="556"/>
      <c r="AW69" s="556"/>
      <c r="AX69" s="556"/>
      <c r="AY69" s="556"/>
      <c r="AZ69" s="556"/>
      <c r="BA69" s="556"/>
      <c r="BB69" s="556"/>
    </row>
    <row r="70" spans="1:54" s="374" customFormat="1" ht="15.6" hidden="1" x14ac:dyDescent="0.3">
      <c r="A70" s="1032" t="s">
        <v>847</v>
      </c>
      <c r="B70" s="732" t="str">
        <f>IF(E70="","",DAY(E70))</f>
        <v/>
      </c>
      <c r="C70" s="676" t="str">
        <f>CONCATENATE(C68+1,".")</f>
        <v>21.</v>
      </c>
      <c r="D70" s="654"/>
      <c r="E70" s="704" t="str">
        <f>(IF(E68="","",IF(G70="","",
IF($M$19=1,EDATE(E68,-1),
IF(AND($M$19=2,B68=1),EOMONTH(E68,-2)+16,
IF(AND($M$19=2,B68=16),EOMONTH(E68,-1)+1,
IF($M$19=3,E68-14,
IF($M$19=4,E68-7,
""))))))))</f>
        <v/>
      </c>
      <c r="F70" s="654" t="s">
        <v>240</v>
      </c>
      <c r="G70" s="704" t="str">
        <f>IF(E68="","",
IF($L$13=3,E68-1,
IF(AND($L$13=2,E68-1&gt;=$V$19,YEAR(E68-1)&gt;=($K$30-1)),E68-1,"")))</f>
        <v/>
      </c>
      <c r="H70" s="660"/>
      <c r="I70" s="654" t="s">
        <v>240</v>
      </c>
      <c r="J70" s="660"/>
      <c r="K70" s="969"/>
      <c r="L70" s="1547"/>
      <c r="M70" s="1548"/>
      <c r="N70" s="677"/>
      <c r="O70" s="655"/>
      <c r="P70" s="656"/>
      <c r="R70" s="655"/>
      <c r="S70" s="655"/>
      <c r="T70" s="655"/>
      <c r="U70" s="657"/>
      <c r="V70" s="655"/>
      <c r="W70" s="655"/>
      <c r="X70" s="655"/>
      <c r="Y70" s="657"/>
      <c r="Z70" s="1030"/>
      <c r="AA70" s="1030"/>
      <c r="AB70" s="1030"/>
      <c r="AC70" s="1030"/>
      <c r="AD70" s="1030"/>
      <c r="AE70" s="1031"/>
      <c r="AF70" s="1031"/>
      <c r="AG70" s="1030"/>
      <c r="AH70" s="1030"/>
      <c r="AI70" s="1030"/>
      <c r="AJ70" s="1030"/>
      <c r="AK70" s="1030"/>
      <c r="AL70" s="1030"/>
      <c r="AM70" s="1030"/>
      <c r="AN70" s="1030"/>
      <c r="AO70" s="1030"/>
      <c r="AP70" s="1030"/>
      <c r="AQ70" s="1030"/>
      <c r="AR70" s="1030"/>
      <c r="AS70" s="1030"/>
      <c r="AT70" s="1030"/>
      <c r="AU70" s="1030"/>
      <c r="AV70" s="1030"/>
      <c r="AW70" s="1030"/>
      <c r="AX70" s="1030"/>
      <c r="AY70" s="1030"/>
      <c r="AZ70" s="1030"/>
      <c r="BA70" s="1030"/>
      <c r="BB70" s="1030"/>
    </row>
    <row r="71" spans="1:54" ht="3" hidden="1" customHeight="1" x14ac:dyDescent="0.3">
      <c r="A71" s="779"/>
      <c r="B71" s="752"/>
      <c r="C71" s="679"/>
      <c r="D71" s="117"/>
      <c r="E71" s="671"/>
      <c r="F71" s="671"/>
      <c r="G71" s="671"/>
      <c r="H71" s="671"/>
      <c r="I71" s="671"/>
      <c r="J71" s="671"/>
      <c r="K71" s="969"/>
      <c r="L71" s="38"/>
      <c r="M71" s="38"/>
      <c r="N71" s="680"/>
      <c r="O71" s="45"/>
      <c r="P71" s="45"/>
      <c r="Q71" s="45"/>
      <c r="R71" s="45"/>
      <c r="S71" s="45"/>
      <c r="T71" s="45"/>
      <c r="U71" s="45"/>
      <c r="V71" s="45"/>
      <c r="W71" s="45"/>
      <c r="X71" s="45"/>
      <c r="Y71" s="38"/>
      <c r="Z71" s="556"/>
      <c r="AA71" s="556"/>
      <c r="AB71" s="556"/>
      <c r="AC71" s="556"/>
      <c r="AD71" s="556"/>
      <c r="AE71" s="977"/>
      <c r="AF71" s="977"/>
      <c r="AG71" s="556"/>
      <c r="AH71" s="556"/>
      <c r="AI71" s="556"/>
      <c r="AJ71" s="556"/>
      <c r="AK71" s="556"/>
      <c r="AL71" s="556"/>
      <c r="AM71" s="556"/>
      <c r="AN71" s="556"/>
      <c r="AO71" s="556"/>
      <c r="AP71" s="556"/>
      <c r="AQ71" s="556"/>
      <c r="AR71" s="556"/>
      <c r="AS71" s="556"/>
      <c r="AT71" s="556"/>
      <c r="AU71" s="556"/>
      <c r="AV71" s="556"/>
      <c r="AW71" s="556"/>
      <c r="AX71" s="556"/>
      <c r="AY71" s="556"/>
      <c r="AZ71" s="556"/>
      <c r="BA71" s="556"/>
      <c r="BB71" s="556"/>
    </row>
    <row r="72" spans="1:54" s="374" customFormat="1" ht="15.6" hidden="1" x14ac:dyDescent="0.3">
      <c r="A72" s="1032" t="s">
        <v>847</v>
      </c>
      <c r="B72" s="732" t="str">
        <f>IF(E72="","",DAY(E72))</f>
        <v/>
      </c>
      <c r="C72" s="676" t="str">
        <f>CONCATENATE(C70+1,".")</f>
        <v>22.</v>
      </c>
      <c r="D72" s="654"/>
      <c r="E72" s="704" t="str">
        <f>(IF(E70="","",IF(G72="","",
IF($M$19=1,EDATE(E70,-1),
IF(AND($M$19=2,B70=1),EOMONTH(E70,-2)+16,
IF(AND($M$19=2,B70=16),EOMONTH(E70,-1)+1,
IF($M$19=3,E70-14,
IF($M$19=4,E70-7,
""))))))))</f>
        <v/>
      </c>
      <c r="F72" s="654" t="s">
        <v>240</v>
      </c>
      <c r="G72" s="704" t="str">
        <f>IF(E70="","",
IF($L$13=3,E70-1,
IF(AND($L$13=2,E70-1&gt;=$V$19,YEAR(E70-1)&gt;=($K$30-1)),E70-1,"")))</f>
        <v/>
      </c>
      <c r="H72" s="660"/>
      <c r="I72" s="654" t="s">
        <v>240</v>
      </c>
      <c r="J72" s="660"/>
      <c r="K72" s="969"/>
      <c r="L72" s="1547"/>
      <c r="M72" s="1548"/>
      <c r="N72" s="677"/>
      <c r="O72" s="655"/>
      <c r="P72" s="656"/>
      <c r="Q72" s="655"/>
      <c r="R72" s="655"/>
      <c r="S72" s="655"/>
      <c r="T72" s="655"/>
      <c r="U72" s="657"/>
      <c r="V72" s="655"/>
      <c r="W72" s="655"/>
      <c r="X72" s="655"/>
      <c r="Y72" s="657"/>
      <c r="Z72" s="1030"/>
      <c r="AA72" s="1030"/>
      <c r="AB72" s="1030"/>
      <c r="AC72" s="1030"/>
      <c r="AD72" s="1030"/>
      <c r="AE72" s="1031"/>
      <c r="AF72" s="1031"/>
      <c r="AG72" s="1030"/>
      <c r="AH72" s="1030"/>
      <c r="AI72" s="1030"/>
      <c r="AJ72" s="1030"/>
      <c r="AK72" s="1030"/>
      <c r="AL72" s="1030"/>
      <c r="AM72" s="1030"/>
      <c r="AN72" s="1030"/>
      <c r="AO72" s="1030"/>
      <c r="AP72" s="1030"/>
      <c r="AQ72" s="1030"/>
      <c r="AR72" s="1030"/>
      <c r="AS72" s="1030"/>
      <c r="AT72" s="1030"/>
      <c r="AU72" s="1030"/>
      <c r="AV72" s="1030"/>
      <c r="AW72" s="1030"/>
      <c r="AX72" s="1030"/>
      <c r="AY72" s="1030"/>
      <c r="AZ72" s="1030"/>
      <c r="BA72" s="1030"/>
      <c r="BB72" s="1030"/>
    </row>
    <row r="73" spans="1:54" ht="3" hidden="1" customHeight="1" x14ac:dyDescent="0.3">
      <c r="A73" s="779"/>
      <c r="B73" s="752"/>
      <c r="C73" s="679"/>
      <c r="D73" s="144"/>
      <c r="E73" s="671"/>
      <c r="F73" s="671"/>
      <c r="G73" s="671"/>
      <c r="H73" s="671"/>
      <c r="I73" s="671"/>
      <c r="J73" s="671"/>
      <c r="K73" s="969"/>
      <c r="L73" s="38"/>
      <c r="M73" s="38"/>
      <c r="N73" s="680"/>
      <c r="O73" s="45"/>
      <c r="P73" s="45"/>
      <c r="Q73" s="45"/>
      <c r="R73" s="45"/>
      <c r="S73" s="45"/>
      <c r="T73" s="45"/>
      <c r="U73" s="45"/>
      <c r="V73" s="45"/>
      <c r="W73" s="45"/>
      <c r="X73" s="45"/>
      <c r="Y73" s="38"/>
      <c r="Z73" s="556"/>
      <c r="AA73" s="556"/>
      <c r="AB73" s="556"/>
      <c r="AC73" s="556"/>
      <c r="AD73" s="556"/>
      <c r="AE73" s="977"/>
      <c r="AF73" s="977"/>
      <c r="AG73" s="556"/>
      <c r="AH73" s="556"/>
      <c r="AI73" s="556"/>
      <c r="AJ73" s="556"/>
      <c r="AK73" s="556"/>
      <c r="AL73" s="556"/>
      <c r="AM73" s="556"/>
      <c r="AN73" s="556"/>
      <c r="AO73" s="556"/>
      <c r="AP73" s="556"/>
      <c r="AQ73" s="556"/>
      <c r="AR73" s="556"/>
      <c r="AS73" s="556"/>
      <c r="AT73" s="556"/>
      <c r="AU73" s="556"/>
      <c r="AV73" s="556"/>
      <c r="AW73" s="556"/>
      <c r="AX73" s="556"/>
      <c r="AY73" s="556"/>
      <c r="AZ73" s="556"/>
      <c r="BA73" s="556"/>
      <c r="BB73" s="556"/>
    </row>
    <row r="74" spans="1:54" s="374" customFormat="1" ht="15.6" hidden="1" x14ac:dyDescent="0.3">
      <c r="A74" s="1032" t="s">
        <v>847</v>
      </c>
      <c r="B74" s="732" t="str">
        <f>IF(E74="","",DAY(E74))</f>
        <v/>
      </c>
      <c r="C74" s="676" t="str">
        <f>CONCATENATE(C72+1,".")</f>
        <v>23.</v>
      </c>
      <c r="D74" s="654"/>
      <c r="E74" s="704" t="str">
        <f>(IF(E72="","",IF(G74="","",
IF($M$19=1,EDATE(E72,-1),
IF(AND($M$19=2,B72=1),EOMONTH(E72,-2)+16,
IF(AND($M$19=2,B72=16),EOMONTH(E72,-1)+1,
IF($M$19=3,E72-14,
IF($M$19=4,E72-7,
""))))))))</f>
        <v/>
      </c>
      <c r="F74" s="654" t="s">
        <v>240</v>
      </c>
      <c r="G74" s="704" t="str">
        <f>IF(E72="","",
IF($L$13=3,E72-1,
IF(AND($L$13=2,E72-1&gt;=$V$19,YEAR(E72-1)&gt;=($K$30-1)),E72-1,"")))</f>
        <v/>
      </c>
      <c r="H74" s="660"/>
      <c r="I74" s="654" t="s">
        <v>240</v>
      </c>
      <c r="J74" s="660"/>
      <c r="K74" s="969"/>
      <c r="L74" s="1547"/>
      <c r="M74" s="1548"/>
      <c r="N74" s="677"/>
      <c r="O74" s="655"/>
      <c r="P74" s="656"/>
      <c r="Q74" s="655"/>
      <c r="R74" s="655"/>
      <c r="S74" s="655"/>
      <c r="T74" s="655"/>
      <c r="U74" s="657"/>
      <c r="V74" s="655"/>
      <c r="W74" s="655"/>
      <c r="X74" s="655"/>
      <c r="Y74" s="657"/>
      <c r="Z74" s="1030"/>
      <c r="AA74" s="1030"/>
      <c r="AB74" s="1030"/>
      <c r="AC74" s="1030"/>
      <c r="AD74" s="1030"/>
      <c r="AE74" s="1031"/>
      <c r="AF74" s="1031"/>
      <c r="AG74" s="1030"/>
      <c r="AH74" s="1030"/>
      <c r="AI74" s="1030"/>
      <c r="AJ74" s="1030"/>
      <c r="AK74" s="1030"/>
      <c r="AL74" s="1030"/>
      <c r="AM74" s="1030"/>
      <c r="AN74" s="1030"/>
      <c r="AO74" s="1030"/>
      <c r="AP74" s="1030"/>
      <c r="AQ74" s="1030"/>
      <c r="AR74" s="1030"/>
      <c r="AS74" s="1030"/>
      <c r="AT74" s="1030"/>
      <c r="AU74" s="1030"/>
      <c r="AV74" s="1030"/>
      <c r="AW74" s="1030"/>
      <c r="AX74" s="1030"/>
      <c r="AY74" s="1030"/>
      <c r="AZ74" s="1030"/>
      <c r="BA74" s="1030"/>
      <c r="BB74" s="1030"/>
    </row>
    <row r="75" spans="1:54" ht="3" hidden="1" customHeight="1" x14ac:dyDescent="0.3">
      <c r="A75" s="779"/>
      <c r="B75" s="752"/>
      <c r="C75" s="679"/>
      <c r="D75" s="668"/>
      <c r="E75" s="669"/>
      <c r="F75" s="670"/>
      <c r="G75" s="669"/>
      <c r="H75" s="669"/>
      <c r="I75" s="670"/>
      <c r="J75" s="669"/>
      <c r="K75" s="969"/>
      <c r="L75" s="38"/>
      <c r="M75" s="38"/>
      <c r="N75" s="680"/>
      <c r="O75" s="45"/>
      <c r="P75" s="45"/>
      <c r="Q75" s="38"/>
      <c r="R75" s="45"/>
      <c r="S75" s="45"/>
      <c r="T75" s="45"/>
      <c r="U75" s="45"/>
      <c r="V75" s="45"/>
      <c r="W75" s="45"/>
      <c r="X75" s="45"/>
      <c r="Y75" s="38"/>
      <c r="Z75" s="556"/>
      <c r="AA75" s="556"/>
      <c r="AB75" s="556"/>
      <c r="AC75" s="556"/>
      <c r="AD75" s="556"/>
      <c r="AE75" s="977"/>
      <c r="AF75" s="977"/>
      <c r="AG75" s="556"/>
      <c r="AH75" s="556"/>
      <c r="AI75" s="556"/>
      <c r="AJ75" s="556"/>
      <c r="AK75" s="556"/>
      <c r="AL75" s="556"/>
      <c r="AM75" s="556"/>
      <c r="AN75" s="556"/>
      <c r="AO75" s="556"/>
      <c r="AP75" s="556"/>
      <c r="AQ75" s="556"/>
      <c r="AR75" s="556"/>
      <c r="AS75" s="556"/>
      <c r="AT75" s="556"/>
      <c r="AU75" s="556"/>
      <c r="AV75" s="556"/>
      <c r="AW75" s="556"/>
      <c r="AX75" s="556"/>
      <c r="AY75" s="556"/>
      <c r="AZ75" s="556"/>
      <c r="BA75" s="556"/>
      <c r="BB75" s="556"/>
    </row>
    <row r="76" spans="1:54" s="374" customFormat="1" ht="15.6" hidden="1" x14ac:dyDescent="0.3">
      <c r="A76" s="1032" t="s">
        <v>847</v>
      </c>
      <c r="B76" s="732" t="str">
        <f>IF(E76="","",DAY(E76))</f>
        <v/>
      </c>
      <c r="C76" s="676" t="str">
        <f>CONCATENATE(C74+1,".")</f>
        <v>24.</v>
      </c>
      <c r="D76" s="654"/>
      <c r="E76" s="704" t="str">
        <f>(IF(E74="","",IF(G76="","",
IF($M$19=1,EDATE(E74,-1),
IF(AND($M$19=2,B74=1),EOMONTH(E74,-2)+16,
IF(AND($M$19=2,B74=16),EOMONTH(E74,-1)+1,
IF($M$19=3,E74-14,
IF($M$19=4,E74-7,
""))))))))</f>
        <v/>
      </c>
      <c r="F76" s="654" t="s">
        <v>240</v>
      </c>
      <c r="G76" s="704" t="str">
        <f>IF(E74="","",
IF($L$13=3,E74-1,
IF(AND($L$13=2,E74-1&gt;=$V$19,YEAR(E74-1)&gt;=($K$30-1)),E74-1,"")))</f>
        <v/>
      </c>
      <c r="H76" s="660"/>
      <c r="I76" s="654" t="s">
        <v>240</v>
      </c>
      <c r="J76" s="660"/>
      <c r="K76" s="969"/>
      <c r="L76" s="1547"/>
      <c r="M76" s="1548"/>
      <c r="N76" s="677"/>
      <c r="O76" s="655"/>
      <c r="P76" s="656"/>
      <c r="Q76" s="655"/>
      <c r="R76" s="655"/>
      <c r="S76" s="655"/>
      <c r="T76" s="655"/>
      <c r="U76" s="657"/>
      <c r="V76" s="655"/>
      <c r="W76" s="655"/>
      <c r="X76" s="655"/>
      <c r="Y76" s="657"/>
      <c r="Z76" s="1030"/>
      <c r="AA76" s="1030"/>
      <c r="AB76" s="1030"/>
      <c r="AC76" s="1030"/>
      <c r="AD76" s="1030"/>
      <c r="AE76" s="1031"/>
      <c r="AF76" s="1031"/>
      <c r="AG76" s="1030"/>
      <c r="AH76" s="1030"/>
      <c r="AI76" s="1030"/>
      <c r="AJ76" s="1030"/>
      <c r="AK76" s="1030"/>
      <c r="AL76" s="1030"/>
      <c r="AM76" s="1030"/>
      <c r="AN76" s="1030"/>
      <c r="AO76" s="1030"/>
      <c r="AP76" s="1030"/>
      <c r="AQ76" s="1030"/>
      <c r="AR76" s="1030"/>
      <c r="AS76" s="1030"/>
      <c r="AT76" s="1030"/>
      <c r="AU76" s="1030"/>
      <c r="AV76" s="1030"/>
      <c r="AW76" s="1030"/>
      <c r="AX76" s="1030"/>
      <c r="AY76" s="1030"/>
      <c r="AZ76" s="1030"/>
      <c r="BA76" s="1030"/>
      <c r="BB76" s="1030"/>
    </row>
    <row r="77" spans="1:54" ht="3" hidden="1" customHeight="1" x14ac:dyDescent="0.3">
      <c r="A77" s="779"/>
      <c r="B77" s="779"/>
      <c r="C77" s="679"/>
      <c r="D77" s="668"/>
      <c r="E77" s="669"/>
      <c r="F77" s="670"/>
      <c r="G77" s="669"/>
      <c r="H77" s="669"/>
      <c r="I77" s="670"/>
      <c r="J77" s="669"/>
      <c r="K77" s="969"/>
      <c r="L77" s="38"/>
      <c r="M77" s="38"/>
      <c r="N77" s="680"/>
      <c r="O77" s="45"/>
      <c r="P77" s="45"/>
      <c r="Q77" s="38"/>
      <c r="R77" s="45"/>
      <c r="S77" s="45"/>
      <c r="T77" s="45"/>
      <c r="U77" s="45"/>
      <c r="V77" s="45"/>
      <c r="W77" s="45"/>
      <c r="X77" s="45"/>
      <c r="Y77" s="38"/>
      <c r="Z77" s="556"/>
      <c r="AA77" s="556"/>
      <c r="AB77" s="556"/>
      <c r="AC77" s="556"/>
      <c r="AD77" s="556"/>
      <c r="AE77" s="977"/>
      <c r="AF77" s="977"/>
      <c r="AG77" s="556"/>
      <c r="AH77" s="556"/>
      <c r="AI77" s="556"/>
      <c r="AJ77" s="556"/>
      <c r="AK77" s="556"/>
      <c r="AL77" s="556"/>
      <c r="AM77" s="556"/>
      <c r="AN77" s="556"/>
      <c r="AO77" s="556"/>
      <c r="AP77" s="556"/>
      <c r="AQ77" s="556"/>
      <c r="AR77" s="556"/>
      <c r="AS77" s="556"/>
      <c r="AT77" s="556"/>
      <c r="AU77" s="556"/>
      <c r="AV77" s="556"/>
      <c r="AW77" s="556"/>
      <c r="AX77" s="556"/>
      <c r="AY77" s="556"/>
      <c r="AZ77" s="556"/>
      <c r="BA77" s="556"/>
      <c r="BB77" s="556"/>
    </row>
    <row r="78" spans="1:54" s="374" customFormat="1" ht="15.6" hidden="1" x14ac:dyDescent="0.3">
      <c r="A78" s="1032" t="s">
        <v>847</v>
      </c>
      <c r="B78" s="732" t="str">
        <f>IF(E78="","",DAY(E78))</f>
        <v/>
      </c>
      <c r="C78" s="676" t="str">
        <f>CONCATENATE(C76+1,".")</f>
        <v>25.</v>
      </c>
      <c r="D78" s="654"/>
      <c r="E78" s="704" t="str">
        <f>(IF(E76="","",IF(G78="","",
IF($M$19=1,EDATE(E76,-1),
IF(AND($M$19=2,B76=1),EOMONTH(E76,-2)+16,
IF(AND($M$19=2,B76=16),EOMONTH(E76,-1)+1,
IF($M$19=3,E76-14,
IF($M$19=4,E76-7,
""))))))))</f>
        <v/>
      </c>
      <c r="F78" s="654" t="s">
        <v>240</v>
      </c>
      <c r="G78" s="704" t="str">
        <f>IF(E76="","",
IF($L$13=3,E76-1,
IF(AND($L$13=2,E76-1&gt;=$V$19,YEAR(E76-1)&gt;=($K$30-1)),E76-1,"")))</f>
        <v/>
      </c>
      <c r="H78" s="660"/>
      <c r="I78" s="654" t="s">
        <v>240</v>
      </c>
      <c r="J78" s="660"/>
      <c r="K78" s="969"/>
      <c r="L78" s="1547"/>
      <c r="M78" s="1548"/>
      <c r="N78" s="677"/>
      <c r="O78" s="655"/>
      <c r="P78" s="656"/>
      <c r="Q78" s="655"/>
      <c r="R78" s="655"/>
      <c r="S78" s="655"/>
      <c r="T78" s="655"/>
      <c r="U78" s="657"/>
      <c r="V78" s="655"/>
      <c r="W78" s="655"/>
      <c r="X78" s="655"/>
      <c r="Y78" s="657"/>
      <c r="Z78" s="1030"/>
      <c r="AA78" s="1030"/>
      <c r="AB78" s="1030"/>
      <c r="AC78" s="1030"/>
      <c r="AD78" s="1030"/>
      <c r="AE78" s="1031"/>
      <c r="AF78" s="1031"/>
      <c r="AG78" s="1030"/>
      <c r="AH78" s="1030"/>
      <c r="AI78" s="1030"/>
      <c r="AJ78" s="1030"/>
      <c r="AK78" s="1030"/>
      <c r="AL78" s="1030"/>
      <c r="AM78" s="1030"/>
      <c r="AN78" s="1030"/>
      <c r="AO78" s="1030"/>
      <c r="AP78" s="1030"/>
      <c r="AQ78" s="1030"/>
      <c r="AR78" s="1030"/>
      <c r="AS78" s="1030"/>
      <c r="AT78" s="1030"/>
      <c r="AU78" s="1030"/>
      <c r="AV78" s="1030"/>
      <c r="AW78" s="1030"/>
      <c r="AX78" s="1030"/>
      <c r="AY78" s="1030"/>
      <c r="AZ78" s="1030"/>
      <c r="BA78" s="1030"/>
      <c r="BB78" s="1030"/>
    </row>
    <row r="79" spans="1:54" ht="3" hidden="1" customHeight="1" x14ac:dyDescent="0.3">
      <c r="A79" s="779"/>
      <c r="B79" s="779"/>
      <c r="C79" s="679"/>
      <c r="D79" s="668"/>
      <c r="E79" s="669"/>
      <c r="F79" s="670"/>
      <c r="G79" s="669"/>
      <c r="H79" s="669"/>
      <c r="I79" s="670"/>
      <c r="J79" s="669"/>
      <c r="K79" s="969"/>
      <c r="L79" s="134"/>
      <c r="M79" s="134"/>
      <c r="N79" s="680"/>
      <c r="O79" s="45"/>
      <c r="P79" s="45"/>
      <c r="Q79" s="38"/>
      <c r="R79" s="45"/>
      <c r="S79" s="45"/>
      <c r="T79" s="45"/>
      <c r="U79" s="45"/>
      <c r="V79" s="45"/>
      <c r="W79" s="45"/>
      <c r="X79" s="45"/>
      <c r="Y79" s="38"/>
      <c r="Z79" s="556"/>
      <c r="AA79" s="556"/>
      <c r="AB79" s="556"/>
      <c r="AC79" s="556"/>
      <c r="AD79" s="556"/>
      <c r="AE79" s="977"/>
      <c r="AF79" s="977"/>
      <c r="AG79" s="556"/>
      <c r="AH79" s="556"/>
      <c r="AI79" s="556"/>
      <c r="AJ79" s="556"/>
      <c r="AK79" s="556"/>
      <c r="AL79" s="556"/>
      <c r="AM79" s="556"/>
      <c r="AN79" s="556"/>
      <c r="AO79" s="556"/>
      <c r="AP79" s="556"/>
      <c r="AQ79" s="556"/>
      <c r="AR79" s="556"/>
      <c r="AS79" s="556"/>
      <c r="AT79" s="556"/>
      <c r="AU79" s="556"/>
      <c r="AV79" s="556"/>
      <c r="AW79" s="556"/>
      <c r="AX79" s="556"/>
      <c r="AY79" s="556"/>
      <c r="AZ79" s="556"/>
      <c r="BA79" s="556"/>
      <c r="BB79" s="556"/>
    </row>
    <row r="80" spans="1:54" s="374" customFormat="1" ht="15.6" hidden="1" x14ac:dyDescent="0.3">
      <c r="A80" s="1032" t="s">
        <v>847</v>
      </c>
      <c r="B80" s="732" t="str">
        <f>IF(E80="","",DAY(E80))</f>
        <v/>
      </c>
      <c r="C80" s="676" t="str">
        <f>CONCATENATE(C78+1,".")</f>
        <v>26.</v>
      </c>
      <c r="D80" s="654"/>
      <c r="E80" s="704" t="str">
        <f>(IF(E78="","",IF(G80="","",
IF($M$19=1,EDATE(E78,-1),
IF(AND($M$19=2,B78=1),EOMONTH(E78,-2)+16,
IF(AND($M$19=2,B78=16),EOMONTH(E78,-1)+1,
IF($M$19=3,E78-14,
IF($M$19=4,E78-7,
""))))))))</f>
        <v/>
      </c>
      <c r="F80" s="654" t="s">
        <v>240</v>
      </c>
      <c r="G80" s="704" t="str">
        <f>IF(E78="","",
IF($L$13=3,E78-1,
IF(AND($L$13=2,E78-1&gt;=$V$19,YEAR(E78-1)&gt;=($K$30-1)),E78-1,"")))</f>
        <v/>
      </c>
      <c r="H80" s="660"/>
      <c r="I80" s="654" t="s">
        <v>240</v>
      </c>
      <c r="J80" s="660"/>
      <c r="K80" s="969"/>
      <c r="L80" s="1547"/>
      <c r="M80" s="1548"/>
      <c r="N80" s="677"/>
      <c r="O80" s="655"/>
      <c r="P80" s="656"/>
      <c r="Q80" s="655"/>
      <c r="R80" s="655"/>
      <c r="S80" s="655"/>
      <c r="T80" s="655"/>
      <c r="U80" s="657"/>
      <c r="V80" s="655"/>
      <c r="W80" s="655"/>
      <c r="X80" s="655"/>
      <c r="Y80" s="657"/>
      <c r="Z80" s="1030"/>
      <c r="AA80" s="1030"/>
      <c r="AB80" s="1030"/>
      <c r="AC80" s="1030"/>
      <c r="AD80" s="1030"/>
      <c r="AE80" s="1031"/>
      <c r="AF80" s="1031"/>
      <c r="AG80" s="1030"/>
      <c r="AH80" s="1030"/>
      <c r="AI80" s="1030"/>
      <c r="AJ80" s="1030"/>
      <c r="AK80" s="1030"/>
      <c r="AL80" s="1030"/>
      <c r="AM80" s="1030"/>
      <c r="AN80" s="1030"/>
      <c r="AO80" s="1030"/>
      <c r="AP80" s="1030"/>
      <c r="AQ80" s="1030"/>
      <c r="AR80" s="1030"/>
      <c r="AS80" s="1030"/>
      <c r="AT80" s="1030"/>
      <c r="AU80" s="1030"/>
      <c r="AV80" s="1030"/>
      <c r="AW80" s="1030"/>
      <c r="AX80" s="1030"/>
      <c r="AY80" s="1030"/>
      <c r="AZ80" s="1030"/>
      <c r="BA80" s="1030"/>
      <c r="BB80" s="1030"/>
    </row>
    <row r="81" spans="1:54" ht="3" hidden="1" customHeight="1" x14ac:dyDescent="0.3">
      <c r="A81" s="779"/>
      <c r="B81" s="779"/>
      <c r="C81" s="679"/>
      <c r="D81" s="117"/>
      <c r="E81" s="671"/>
      <c r="F81" s="671"/>
      <c r="G81" s="671"/>
      <c r="H81" s="671"/>
      <c r="I81" s="671"/>
      <c r="J81" s="671"/>
      <c r="K81" s="969"/>
      <c r="L81" s="38"/>
      <c r="M81" s="38"/>
      <c r="N81" s="680"/>
      <c r="O81" s="45"/>
      <c r="P81" s="45"/>
      <c r="Q81" s="45"/>
      <c r="R81" s="45"/>
      <c r="S81" s="45"/>
      <c r="T81" s="45"/>
      <c r="U81" s="45"/>
      <c r="V81" s="45"/>
      <c r="W81" s="45"/>
      <c r="X81" s="45"/>
      <c r="Y81" s="38"/>
      <c r="Z81" s="556"/>
      <c r="AA81" s="556"/>
      <c r="AB81" s="556"/>
      <c r="AC81" s="556"/>
      <c r="AD81" s="556"/>
      <c r="AE81" s="977"/>
      <c r="AF81" s="977"/>
      <c r="AG81" s="556"/>
      <c r="AH81" s="556"/>
      <c r="AI81" s="556"/>
      <c r="AJ81" s="556"/>
      <c r="AK81" s="556"/>
      <c r="AL81" s="556"/>
      <c r="AM81" s="556"/>
      <c r="AN81" s="556"/>
      <c r="AO81" s="556"/>
      <c r="AP81" s="556"/>
      <c r="AQ81" s="556"/>
      <c r="AR81" s="556"/>
      <c r="AS81" s="556"/>
      <c r="AT81" s="556"/>
      <c r="AU81" s="556"/>
      <c r="AV81" s="556"/>
      <c r="AW81" s="556"/>
      <c r="AX81" s="556"/>
      <c r="AY81" s="556"/>
      <c r="AZ81" s="556"/>
      <c r="BA81" s="556"/>
      <c r="BB81" s="556"/>
    </row>
    <row r="82" spans="1:54" s="374" customFormat="1" ht="15.6" hidden="1" x14ac:dyDescent="0.3">
      <c r="A82" s="1032" t="s">
        <v>847</v>
      </c>
      <c r="B82" s="732" t="str">
        <f>IF(E82="","",DAY(E82))</f>
        <v/>
      </c>
      <c r="C82" s="676" t="str">
        <f>CONCATENATE(C80+1,".")</f>
        <v>27.</v>
      </c>
      <c r="D82" s="654"/>
      <c r="E82" s="704" t="str">
        <f>(IF(E80="","",IF(G82="","",
IF($M$19=1,EDATE(E80,-1),
IF(AND($M$19=2,B80=1),EOMONTH(E80,-2)+16,
IF(AND($M$19=2,B80=16),EOMONTH(E80,-1)+1,
IF($M$19=3,E80-14,
IF($M$19=4,E80-7,
""))))))))</f>
        <v/>
      </c>
      <c r="F82" s="654" t="s">
        <v>240</v>
      </c>
      <c r="G82" s="704" t="str">
        <f>IF(E80="","",
IF($L$13=3,E80-1,
IF(AND($L$13=2,E80-1&gt;=$V$19,YEAR(E80-1)&gt;=($K$30-1)),E80-1,"")))</f>
        <v/>
      </c>
      <c r="H82" s="660"/>
      <c r="I82" s="654" t="s">
        <v>240</v>
      </c>
      <c r="J82" s="660"/>
      <c r="K82" s="969"/>
      <c r="L82" s="1547"/>
      <c r="M82" s="1548"/>
      <c r="N82" s="677"/>
      <c r="O82" s="655"/>
      <c r="P82" s="656"/>
      <c r="Q82" s="655"/>
      <c r="R82" s="655"/>
      <c r="S82" s="655"/>
      <c r="T82" s="655"/>
      <c r="U82" s="657"/>
      <c r="V82" s="655"/>
      <c r="W82" s="655"/>
      <c r="X82" s="655"/>
      <c r="Y82" s="657"/>
      <c r="Z82" s="1030"/>
      <c r="AA82" s="1030"/>
      <c r="AB82" s="1030"/>
      <c r="AC82" s="1030"/>
      <c r="AD82" s="1030"/>
      <c r="AE82" s="1031"/>
      <c r="AF82" s="1031"/>
      <c r="AG82" s="1030"/>
      <c r="AH82" s="1030"/>
      <c r="AI82" s="1030"/>
      <c r="AJ82" s="1030"/>
      <c r="AK82" s="1030"/>
      <c r="AL82" s="1030"/>
      <c r="AM82" s="1030"/>
      <c r="AN82" s="1030"/>
      <c r="AO82" s="1030"/>
      <c r="AP82" s="1030"/>
      <c r="AQ82" s="1030"/>
      <c r="AR82" s="1030"/>
      <c r="AS82" s="1030"/>
      <c r="AT82" s="1030"/>
      <c r="AU82" s="1030"/>
      <c r="AV82" s="1030"/>
      <c r="AW82" s="1030"/>
      <c r="AX82" s="1030"/>
      <c r="AY82" s="1030"/>
      <c r="AZ82" s="1030"/>
      <c r="BA82" s="1030"/>
      <c r="BB82" s="1030"/>
    </row>
    <row r="83" spans="1:54" ht="3" hidden="1" customHeight="1" x14ac:dyDescent="0.3">
      <c r="A83" s="779"/>
      <c r="B83" s="779"/>
      <c r="C83" s="679"/>
      <c r="D83" s="144"/>
      <c r="E83" s="671"/>
      <c r="F83" s="671"/>
      <c r="G83" s="671"/>
      <c r="H83" s="671"/>
      <c r="I83" s="671"/>
      <c r="J83" s="671"/>
      <c r="K83" s="969"/>
      <c r="L83" s="38"/>
      <c r="M83" s="38"/>
      <c r="N83" s="680"/>
      <c r="O83" s="45"/>
      <c r="P83" s="45"/>
      <c r="Q83" s="45"/>
      <c r="R83" s="45"/>
      <c r="S83" s="45"/>
      <c r="T83" s="45"/>
      <c r="U83" s="45"/>
      <c r="V83" s="45"/>
      <c r="W83" s="45"/>
      <c r="X83" s="45"/>
      <c r="Y83" s="38"/>
      <c r="Z83" s="556"/>
      <c r="AA83" s="556"/>
      <c r="AB83" s="556"/>
      <c r="AC83" s="556"/>
      <c r="AD83" s="556"/>
      <c r="AE83" s="977"/>
      <c r="AF83" s="977"/>
      <c r="AG83" s="556"/>
      <c r="AH83" s="556"/>
      <c r="AI83" s="556"/>
      <c r="AJ83" s="556"/>
      <c r="AK83" s="556"/>
      <c r="AL83" s="556"/>
      <c r="AM83" s="556"/>
      <c r="AN83" s="556"/>
      <c r="AO83" s="556"/>
      <c r="AP83" s="556"/>
      <c r="AQ83" s="556"/>
      <c r="AR83" s="556"/>
      <c r="AS83" s="556"/>
      <c r="AT83" s="556"/>
      <c r="AU83" s="556"/>
      <c r="AV83" s="556"/>
      <c r="AW83" s="556"/>
      <c r="AX83" s="556"/>
      <c r="AY83" s="556"/>
      <c r="AZ83" s="556"/>
      <c r="BA83" s="556"/>
      <c r="BB83" s="556"/>
    </row>
    <row r="84" spans="1:54" s="374" customFormat="1" ht="15.6" hidden="1" x14ac:dyDescent="0.3">
      <c r="A84" s="1032" t="s">
        <v>847</v>
      </c>
      <c r="B84" s="732" t="str">
        <f>IF(E84="","",DAY(E84))</f>
        <v/>
      </c>
      <c r="C84" s="676" t="str">
        <f>CONCATENATE(C82+1,".")</f>
        <v>28.</v>
      </c>
      <c r="D84" s="654"/>
      <c r="E84" s="704" t="str">
        <f>(IF(E82="","",IF(G84="","",
IF($M$19=1,EDATE(E82,-1),
IF(AND($M$19=2,B82=1),EOMONTH(E82,-2)+16,
IF(AND($M$19=2,B82=16),EOMONTH(E82,-1)+1,
IF($M$19=3,E82-14,
IF($M$19=4,E82-7,
""))))))))</f>
        <v/>
      </c>
      <c r="F84" s="654" t="s">
        <v>240</v>
      </c>
      <c r="G84" s="704" t="str">
        <f>IF(E82="","",
IF($L$13=3,E82-1,
IF(AND($L$13=2,E82-1&gt;=$V$19,YEAR(E82-1)&gt;=($K$30-1)),E82-1,"")))</f>
        <v/>
      </c>
      <c r="H84" s="660"/>
      <c r="I84" s="654" t="s">
        <v>240</v>
      </c>
      <c r="J84" s="660"/>
      <c r="K84" s="969"/>
      <c r="L84" s="1547"/>
      <c r="M84" s="1548"/>
      <c r="N84" s="677"/>
      <c r="O84" s="655"/>
      <c r="P84" s="656"/>
      <c r="Q84" s="655"/>
      <c r="R84" s="655"/>
      <c r="S84" s="655"/>
      <c r="T84" s="655"/>
      <c r="U84" s="657"/>
      <c r="V84" s="655"/>
      <c r="W84" s="655"/>
      <c r="X84" s="655"/>
      <c r="Y84" s="657"/>
      <c r="Z84" s="1030"/>
      <c r="AA84" s="1030"/>
      <c r="AB84" s="1030"/>
      <c r="AC84" s="1030"/>
      <c r="AD84" s="1030"/>
      <c r="AE84" s="1031"/>
      <c r="AF84" s="1031"/>
      <c r="AG84" s="1030"/>
      <c r="AH84" s="1030"/>
      <c r="AI84" s="1030"/>
      <c r="AJ84" s="1030"/>
      <c r="AK84" s="1030"/>
      <c r="AL84" s="1030"/>
      <c r="AM84" s="1030"/>
      <c r="AN84" s="1030"/>
      <c r="AO84" s="1030"/>
      <c r="AP84" s="1030"/>
      <c r="AQ84" s="1030"/>
      <c r="AR84" s="1030"/>
      <c r="AS84" s="1030"/>
      <c r="AT84" s="1030"/>
      <c r="AU84" s="1030"/>
      <c r="AV84" s="1030"/>
      <c r="AW84" s="1030"/>
      <c r="AX84" s="1030"/>
      <c r="AY84" s="1030"/>
      <c r="AZ84" s="1030"/>
      <c r="BA84" s="1030"/>
      <c r="BB84" s="1030"/>
    </row>
    <row r="85" spans="1:54" ht="3" hidden="1" customHeight="1" x14ac:dyDescent="0.3">
      <c r="A85" s="779"/>
      <c r="B85" s="779"/>
      <c r="C85" s="679"/>
      <c r="D85" s="144"/>
      <c r="E85" s="671"/>
      <c r="F85" s="671"/>
      <c r="G85" s="671"/>
      <c r="H85" s="671"/>
      <c r="I85" s="671"/>
      <c r="J85" s="671"/>
      <c r="K85" s="969"/>
      <c r="L85" s="38"/>
      <c r="M85" s="38"/>
      <c r="N85" s="680"/>
      <c r="O85" s="45"/>
      <c r="P85" s="45"/>
      <c r="Q85" s="45"/>
      <c r="R85" s="45"/>
      <c r="S85" s="45"/>
      <c r="T85" s="45"/>
      <c r="U85" s="45"/>
      <c r="V85" s="45"/>
      <c r="W85" s="45"/>
      <c r="X85" s="45"/>
      <c r="Y85" s="38"/>
      <c r="Z85" s="556"/>
      <c r="AA85" s="556"/>
      <c r="AB85" s="556"/>
      <c r="AC85" s="556"/>
      <c r="AD85" s="556"/>
      <c r="AE85" s="977"/>
      <c r="AF85" s="977"/>
      <c r="AG85" s="556"/>
      <c r="AH85" s="556"/>
      <c r="AI85" s="556"/>
      <c r="AJ85" s="556"/>
      <c r="AK85" s="556"/>
      <c r="AL85" s="556"/>
      <c r="AM85" s="556"/>
      <c r="AN85" s="556"/>
      <c r="AO85" s="556"/>
      <c r="AP85" s="556"/>
      <c r="AQ85" s="556"/>
      <c r="AR85" s="556"/>
      <c r="AS85" s="556"/>
      <c r="AT85" s="556"/>
      <c r="AU85" s="556"/>
      <c r="AV85" s="556"/>
      <c r="AW85" s="556"/>
      <c r="AX85" s="556"/>
      <c r="AY85" s="556"/>
      <c r="AZ85" s="556"/>
      <c r="BA85" s="556"/>
      <c r="BB85" s="556"/>
    </row>
    <row r="86" spans="1:54" s="374" customFormat="1" ht="15.6" hidden="1" x14ac:dyDescent="0.3">
      <c r="A86" s="1032" t="s">
        <v>847</v>
      </c>
      <c r="B86" s="732" t="str">
        <f>IF(E86="","",DAY(E86))</f>
        <v/>
      </c>
      <c r="C86" s="676" t="str">
        <f>CONCATENATE(C84+1,".")</f>
        <v>29.</v>
      </c>
      <c r="D86" s="654"/>
      <c r="E86" s="704" t="str">
        <f>(IF(E84="","",IF(G86="","",
IF($M$19=1,EDATE(E84,-1),
IF(AND($M$19=2,B84=1),EOMONTH(E84,-2)+16,
IF(AND($M$19=2,B84=16),EOMONTH(E84,-1)+1,
IF($M$19=3,E84-14,
IF($M$19=4,E84-7,
""))))))))</f>
        <v/>
      </c>
      <c r="F86" s="654" t="s">
        <v>240</v>
      </c>
      <c r="G86" s="704" t="str">
        <f>IF(E84="","",
IF($L$13=3,E84-1,
IF(AND($L$13=2,E84-1&gt;=$V$19,YEAR(E84-1)&gt;=($K$30-1)),E84-1,"")))</f>
        <v/>
      </c>
      <c r="H86" s="660"/>
      <c r="I86" s="654" t="s">
        <v>240</v>
      </c>
      <c r="J86" s="660"/>
      <c r="K86" s="969"/>
      <c r="L86" s="1547"/>
      <c r="M86" s="1548"/>
      <c r="N86" s="677"/>
      <c r="O86" s="655"/>
      <c r="P86" s="656"/>
      <c r="Q86" s="655"/>
      <c r="R86" s="655"/>
      <c r="S86" s="655"/>
      <c r="T86" s="655"/>
      <c r="U86" s="657"/>
      <c r="V86" s="655"/>
      <c r="W86" s="655"/>
      <c r="X86" s="655"/>
      <c r="Y86" s="657"/>
      <c r="Z86" s="1030"/>
      <c r="AA86" s="1030"/>
      <c r="AB86" s="1030"/>
      <c r="AC86" s="1030"/>
      <c r="AD86" s="1030"/>
      <c r="AE86" s="1031"/>
      <c r="AF86" s="1031"/>
      <c r="AG86" s="1030"/>
      <c r="AH86" s="1030"/>
      <c r="AI86" s="1030"/>
      <c r="AJ86" s="1030"/>
      <c r="AK86" s="1030"/>
      <c r="AL86" s="1030"/>
      <c r="AM86" s="1030"/>
      <c r="AN86" s="1030"/>
      <c r="AO86" s="1030"/>
      <c r="AP86" s="1030"/>
      <c r="AQ86" s="1030"/>
      <c r="AR86" s="1030"/>
      <c r="AS86" s="1030"/>
      <c r="AT86" s="1030"/>
      <c r="AU86" s="1030"/>
      <c r="AV86" s="1030"/>
      <c r="AW86" s="1030"/>
      <c r="AX86" s="1030"/>
      <c r="AY86" s="1030"/>
      <c r="AZ86" s="1030"/>
      <c r="BA86" s="1030"/>
      <c r="BB86" s="1030"/>
    </row>
    <row r="87" spans="1:54" ht="3" hidden="1" customHeight="1" x14ac:dyDescent="0.3">
      <c r="A87" s="779"/>
      <c r="B87" s="779"/>
      <c r="C87" s="679"/>
      <c r="D87" s="668"/>
      <c r="E87" s="669"/>
      <c r="F87" s="670"/>
      <c r="G87" s="669"/>
      <c r="H87" s="669"/>
      <c r="I87" s="670"/>
      <c r="J87" s="669"/>
      <c r="K87" s="969"/>
      <c r="L87" s="38"/>
      <c r="M87" s="38"/>
      <c r="N87" s="680"/>
      <c r="O87" s="45"/>
      <c r="P87" s="45"/>
      <c r="Q87" s="38"/>
      <c r="R87" s="45"/>
      <c r="S87" s="45"/>
      <c r="T87" s="45"/>
      <c r="U87" s="45"/>
      <c r="V87" s="45"/>
      <c r="W87" s="45"/>
      <c r="X87" s="45"/>
      <c r="Y87" s="38"/>
      <c r="Z87" s="556"/>
      <c r="AA87" s="556"/>
      <c r="AB87" s="556"/>
      <c r="AC87" s="556"/>
      <c r="AD87" s="556"/>
      <c r="AE87" s="977"/>
      <c r="AF87" s="977"/>
      <c r="AG87" s="556"/>
      <c r="AH87" s="556"/>
      <c r="AI87" s="556"/>
      <c r="AJ87" s="556"/>
      <c r="AK87" s="556"/>
      <c r="AL87" s="556"/>
      <c r="AM87" s="556"/>
      <c r="AN87" s="556"/>
      <c r="AO87" s="556"/>
      <c r="AP87" s="556"/>
      <c r="AQ87" s="556"/>
      <c r="AR87" s="556"/>
      <c r="AS87" s="556"/>
      <c r="AT87" s="556"/>
      <c r="AU87" s="556"/>
      <c r="AV87" s="556"/>
      <c r="AW87" s="556"/>
      <c r="AX87" s="556"/>
      <c r="AY87" s="556"/>
      <c r="AZ87" s="556"/>
      <c r="BA87" s="556"/>
      <c r="BB87" s="556"/>
    </row>
    <row r="88" spans="1:54" s="374" customFormat="1" ht="15.6" hidden="1" x14ac:dyDescent="0.3">
      <c r="A88" s="1032" t="s">
        <v>847</v>
      </c>
      <c r="B88" s="732" t="str">
        <f>IF(E88="","",DAY(E88))</f>
        <v/>
      </c>
      <c r="C88" s="676" t="str">
        <f>CONCATENATE(C86+1,".")</f>
        <v>30.</v>
      </c>
      <c r="D88" s="654"/>
      <c r="E88" s="704" t="str">
        <f>(IF(E86="","",IF(G88="","",
IF($M$19=1,EDATE(E86,-1),
IF(AND($M$19=2,B86=1),EOMONTH(E86,-2)+16,
IF(AND($M$19=2,B86=16),EOMONTH(E86,-1)+1,
IF($M$19=3,E86-14,
IF($M$19=4,E86-7,
""))))))))</f>
        <v/>
      </c>
      <c r="F88" s="654" t="s">
        <v>240</v>
      </c>
      <c r="G88" s="704" t="str">
        <f>IF(E86="","",
IF($L$13=3,E86-1,
IF(AND($L$13=2,E86-1&gt;=$V$19,YEAR(E86-1)&gt;=($K$30-1)),E86-1,"")))</f>
        <v/>
      </c>
      <c r="H88" s="660"/>
      <c r="I88" s="654" t="s">
        <v>240</v>
      </c>
      <c r="J88" s="660"/>
      <c r="K88" s="969"/>
      <c r="L88" s="1547"/>
      <c r="M88" s="1548"/>
      <c r="N88" s="677"/>
      <c r="O88" s="655"/>
      <c r="P88" s="656"/>
      <c r="Q88" s="655"/>
      <c r="R88" s="655"/>
      <c r="S88" s="655"/>
      <c r="T88" s="655"/>
      <c r="U88" s="657"/>
      <c r="V88" s="655"/>
      <c r="W88" s="655"/>
      <c r="X88" s="655"/>
      <c r="Y88" s="657"/>
      <c r="Z88" s="1030"/>
      <c r="AA88" s="1030"/>
      <c r="AB88" s="1030"/>
      <c r="AC88" s="1030"/>
      <c r="AD88" s="1030"/>
      <c r="AE88" s="1031"/>
      <c r="AF88" s="1031"/>
      <c r="AG88" s="1030"/>
      <c r="AH88" s="1030"/>
      <c r="AI88" s="1030"/>
      <c r="AJ88" s="1030"/>
      <c r="AK88" s="1030"/>
      <c r="AL88" s="1030"/>
      <c r="AM88" s="1030"/>
      <c r="AN88" s="1030"/>
      <c r="AO88" s="1030"/>
      <c r="AP88" s="1030"/>
      <c r="AQ88" s="1030"/>
      <c r="AR88" s="1030"/>
      <c r="AS88" s="1030"/>
      <c r="AT88" s="1030"/>
      <c r="AU88" s="1030"/>
      <c r="AV88" s="1030"/>
      <c r="AW88" s="1030"/>
      <c r="AX88" s="1030"/>
      <c r="AY88" s="1030"/>
      <c r="AZ88" s="1030"/>
      <c r="BA88" s="1030"/>
      <c r="BB88" s="1030"/>
    </row>
    <row r="89" spans="1:54" ht="3" hidden="1" customHeight="1" x14ac:dyDescent="0.3">
      <c r="A89" s="779"/>
      <c r="B89" s="779"/>
      <c r="C89" s="679"/>
      <c r="D89" s="117"/>
      <c r="E89" s="671"/>
      <c r="F89" s="671"/>
      <c r="G89" s="671"/>
      <c r="H89" s="671"/>
      <c r="I89" s="671"/>
      <c r="J89" s="671"/>
      <c r="K89" s="969"/>
      <c r="L89" s="38"/>
      <c r="M89" s="38"/>
      <c r="N89" s="680"/>
      <c r="O89" s="45"/>
      <c r="P89" s="45"/>
      <c r="Q89" s="45"/>
      <c r="R89" s="45"/>
      <c r="S89" s="45"/>
      <c r="T89" s="45"/>
      <c r="U89" s="45"/>
      <c r="V89" s="45"/>
      <c r="W89" s="45"/>
      <c r="X89" s="45"/>
      <c r="Y89" s="38"/>
      <c r="Z89" s="556"/>
      <c r="AA89" s="556"/>
      <c r="AB89" s="556"/>
      <c r="AC89" s="556"/>
      <c r="AD89" s="556"/>
      <c r="AE89" s="977"/>
      <c r="AF89" s="977"/>
      <c r="AG89" s="556"/>
      <c r="AH89" s="556"/>
      <c r="AI89" s="556"/>
      <c r="AJ89" s="556"/>
      <c r="AK89" s="556"/>
      <c r="AL89" s="556"/>
      <c r="AM89" s="556"/>
      <c r="AN89" s="556"/>
      <c r="AO89" s="556"/>
      <c r="AP89" s="556"/>
      <c r="AQ89" s="556"/>
      <c r="AR89" s="556"/>
      <c r="AS89" s="556"/>
      <c r="AT89" s="556"/>
      <c r="AU89" s="556"/>
      <c r="AV89" s="556"/>
      <c r="AW89" s="556"/>
      <c r="AX89" s="556"/>
      <c r="AY89" s="556"/>
      <c r="AZ89" s="556"/>
      <c r="BA89" s="556"/>
      <c r="BB89" s="556"/>
    </row>
    <row r="90" spans="1:54" s="374" customFormat="1" ht="15.6" hidden="1" x14ac:dyDescent="0.3">
      <c r="A90" s="1032" t="s">
        <v>847</v>
      </c>
      <c r="B90" s="732" t="str">
        <f>IF(E90="","",DAY(E90))</f>
        <v/>
      </c>
      <c r="C90" s="676" t="str">
        <f>CONCATENATE(C88+1,".")</f>
        <v>31.</v>
      </c>
      <c r="D90" s="654"/>
      <c r="E90" s="704" t="str">
        <f>(IF(E88="","",IF(G90="","",
IF($M$19=1,EDATE(E88,-1),
IF(AND($M$19=2,B88=1),EOMONTH(E88,-2)+16,
IF(AND($M$19=2,B88=16),EOMONTH(E88,-1)+1,
IF($M$19=3,E88-14,
IF($M$19=4,E88-7,
""))))))))</f>
        <v/>
      </c>
      <c r="F90" s="654" t="s">
        <v>240</v>
      </c>
      <c r="G90" s="704" t="str">
        <f>IF(E88="","",
IF($L$13=3,E88-1,
IF(AND($L$13=2,E88-1&gt;=$V$19,YEAR(E88-1)&gt;=($K$30-1)),E88-1,"")))</f>
        <v/>
      </c>
      <c r="H90" s="660"/>
      <c r="I90" s="654" t="s">
        <v>240</v>
      </c>
      <c r="J90" s="660"/>
      <c r="K90" s="969"/>
      <c r="L90" s="1547"/>
      <c r="M90" s="1548"/>
      <c r="N90" s="677"/>
      <c r="O90" s="655"/>
      <c r="P90" s="656"/>
      <c r="Q90" s="655"/>
      <c r="R90" s="655"/>
      <c r="S90" s="655"/>
      <c r="T90" s="655"/>
      <c r="U90" s="657"/>
      <c r="V90" s="655"/>
      <c r="W90" s="655"/>
      <c r="X90" s="655"/>
      <c r="Y90" s="657"/>
      <c r="Z90" s="1030"/>
      <c r="AA90" s="1030"/>
      <c r="AB90" s="1030"/>
      <c r="AC90" s="1030"/>
      <c r="AD90" s="1030"/>
      <c r="AE90" s="1031"/>
      <c r="AF90" s="1031"/>
      <c r="AG90" s="1030"/>
      <c r="AH90" s="1030"/>
      <c r="AI90" s="1030"/>
      <c r="AJ90" s="1030"/>
      <c r="AK90" s="1030"/>
      <c r="AL90" s="1030"/>
      <c r="AM90" s="1030"/>
      <c r="AN90" s="1030"/>
      <c r="AO90" s="1030"/>
      <c r="AP90" s="1030"/>
      <c r="AQ90" s="1030"/>
      <c r="AR90" s="1030"/>
      <c r="AS90" s="1030"/>
      <c r="AT90" s="1030"/>
      <c r="AU90" s="1030"/>
      <c r="AV90" s="1030"/>
      <c r="AW90" s="1030"/>
      <c r="AX90" s="1030"/>
      <c r="AY90" s="1030"/>
      <c r="AZ90" s="1030"/>
      <c r="BA90" s="1030"/>
      <c r="BB90" s="1030"/>
    </row>
    <row r="91" spans="1:54" ht="3" hidden="1" customHeight="1" x14ac:dyDescent="0.3">
      <c r="A91" s="779"/>
      <c r="B91" s="779"/>
      <c r="C91" s="679"/>
      <c r="D91" s="144"/>
      <c r="E91" s="671"/>
      <c r="F91" s="671"/>
      <c r="G91" s="671"/>
      <c r="H91" s="671"/>
      <c r="I91" s="671"/>
      <c r="J91" s="671"/>
      <c r="K91" s="969"/>
      <c r="L91" s="38"/>
      <c r="M91" s="38"/>
      <c r="N91" s="680"/>
      <c r="O91" s="45"/>
      <c r="P91" s="45"/>
      <c r="Q91" s="45"/>
      <c r="R91" s="45"/>
      <c r="S91" s="45"/>
      <c r="T91" s="45"/>
      <c r="U91" s="45"/>
      <c r="V91" s="45"/>
      <c r="W91" s="45"/>
      <c r="X91" s="45"/>
      <c r="Y91" s="38"/>
      <c r="Z91" s="556"/>
      <c r="AA91" s="556"/>
      <c r="AB91" s="556"/>
      <c r="AC91" s="556"/>
      <c r="AD91" s="556"/>
      <c r="AE91" s="977"/>
      <c r="AF91" s="977"/>
      <c r="AG91" s="556"/>
      <c r="AH91" s="556"/>
      <c r="AI91" s="556"/>
      <c r="AJ91" s="556"/>
      <c r="AK91" s="556"/>
      <c r="AL91" s="556"/>
      <c r="AM91" s="556"/>
      <c r="AN91" s="556"/>
      <c r="AO91" s="556"/>
      <c r="AP91" s="556"/>
      <c r="AQ91" s="556"/>
      <c r="AR91" s="556"/>
      <c r="AS91" s="556"/>
      <c r="AT91" s="556"/>
      <c r="AU91" s="556"/>
      <c r="AV91" s="556"/>
      <c r="AW91" s="556"/>
      <c r="AX91" s="556"/>
      <c r="AY91" s="556"/>
      <c r="AZ91" s="556"/>
      <c r="BA91" s="556"/>
      <c r="BB91" s="556"/>
    </row>
    <row r="92" spans="1:54" s="374" customFormat="1" ht="15.6" hidden="1" x14ac:dyDescent="0.3">
      <c r="A92" s="1032" t="s">
        <v>847</v>
      </c>
      <c r="B92" s="732" t="str">
        <f>IF(E92="","",DAY(E92))</f>
        <v/>
      </c>
      <c r="C92" s="676" t="str">
        <f>CONCATENATE(C90+1,".")</f>
        <v>32.</v>
      </c>
      <c r="D92" s="654"/>
      <c r="E92" s="704" t="str">
        <f>(IF(E90="","",IF(G92="","",
IF($M$19=1,EDATE(E90,-1),
IF(AND($M$19=2,B90=1),EOMONTH(E90,-2)+16,
IF(AND($M$19=2,B90=16),EOMONTH(E90,-1)+1,
IF($M$19=3,E90-14,
IF($M$19=4,E90-7,
""))))))))</f>
        <v/>
      </c>
      <c r="F92" s="654" t="s">
        <v>240</v>
      </c>
      <c r="G92" s="704" t="str">
        <f>IF(E90="","",
IF($L$13=3,E90-1,
IF(AND($L$13=2,E90-1&gt;=$V$19,YEAR(E90-1)&gt;=($K$30-1)),E90-1,"")))</f>
        <v/>
      </c>
      <c r="H92" s="660"/>
      <c r="I92" s="654" t="s">
        <v>240</v>
      </c>
      <c r="J92" s="660"/>
      <c r="K92" s="969"/>
      <c r="L92" s="1547"/>
      <c r="M92" s="1548"/>
      <c r="N92" s="677"/>
      <c r="O92" s="655"/>
      <c r="P92" s="656"/>
      <c r="Q92" s="655"/>
      <c r="R92" s="655"/>
      <c r="S92" s="655"/>
      <c r="T92" s="655"/>
      <c r="U92" s="657"/>
      <c r="V92" s="655"/>
      <c r="W92" s="655"/>
      <c r="X92" s="655"/>
      <c r="Y92" s="657"/>
      <c r="Z92" s="1030"/>
      <c r="AA92" s="1030"/>
      <c r="AB92" s="1030"/>
      <c r="AC92" s="1030"/>
      <c r="AD92" s="1030"/>
      <c r="AE92" s="1031"/>
      <c r="AF92" s="1031"/>
      <c r="AG92" s="1030"/>
      <c r="AH92" s="1030"/>
      <c r="AI92" s="1030"/>
      <c r="AJ92" s="1030"/>
      <c r="AK92" s="1030"/>
      <c r="AL92" s="1030"/>
      <c r="AM92" s="1030"/>
      <c r="AN92" s="1030"/>
      <c r="AO92" s="1030"/>
      <c r="AP92" s="1030"/>
      <c r="AQ92" s="1030"/>
      <c r="AR92" s="1030"/>
      <c r="AS92" s="1030"/>
      <c r="AT92" s="1030"/>
      <c r="AU92" s="1030"/>
      <c r="AV92" s="1030"/>
      <c r="AW92" s="1030"/>
      <c r="AX92" s="1030"/>
      <c r="AY92" s="1030"/>
      <c r="AZ92" s="1030"/>
      <c r="BA92" s="1030"/>
      <c r="BB92" s="1030"/>
    </row>
    <row r="93" spans="1:54" ht="3" hidden="1" customHeight="1" x14ac:dyDescent="0.3">
      <c r="A93" s="779"/>
      <c r="B93" s="779"/>
      <c r="C93" s="679"/>
      <c r="D93" s="668"/>
      <c r="E93" s="669"/>
      <c r="F93" s="670"/>
      <c r="G93" s="669"/>
      <c r="H93" s="669"/>
      <c r="I93" s="670"/>
      <c r="J93" s="669"/>
      <c r="K93" s="969"/>
      <c r="L93" s="38"/>
      <c r="M93" s="38"/>
      <c r="N93" s="680"/>
      <c r="O93" s="45"/>
      <c r="P93" s="45"/>
      <c r="Q93" s="38"/>
      <c r="R93" s="45"/>
      <c r="S93" s="45"/>
      <c r="T93" s="45"/>
      <c r="U93" s="45"/>
      <c r="V93" s="45"/>
      <c r="W93" s="45"/>
      <c r="X93" s="45"/>
      <c r="Y93" s="38"/>
      <c r="Z93" s="556"/>
      <c r="AA93" s="556"/>
      <c r="AB93" s="556"/>
      <c r="AC93" s="556"/>
      <c r="AD93" s="556"/>
      <c r="AE93" s="977"/>
      <c r="AF93" s="977"/>
      <c r="AG93" s="556"/>
      <c r="AH93" s="556"/>
      <c r="AI93" s="556"/>
      <c r="AJ93" s="556"/>
      <c r="AK93" s="556"/>
      <c r="AL93" s="556"/>
      <c r="AM93" s="556"/>
      <c r="AN93" s="556"/>
      <c r="AO93" s="556"/>
      <c r="AP93" s="556"/>
      <c r="AQ93" s="556"/>
      <c r="AR93" s="556"/>
      <c r="AS93" s="556"/>
      <c r="AT93" s="556"/>
      <c r="AU93" s="556"/>
      <c r="AV93" s="556"/>
      <c r="AW93" s="556"/>
      <c r="AX93" s="556"/>
      <c r="AY93" s="556"/>
      <c r="AZ93" s="556"/>
      <c r="BA93" s="556"/>
      <c r="BB93" s="556"/>
    </row>
    <row r="94" spans="1:54" s="374" customFormat="1" ht="15.6" hidden="1" x14ac:dyDescent="0.3">
      <c r="A94" s="1032" t="s">
        <v>847</v>
      </c>
      <c r="B94" s="732" t="str">
        <f>IF(E94="","",DAY(E94))</f>
        <v/>
      </c>
      <c r="C94" s="676" t="str">
        <f>CONCATENATE(C92+1,".")</f>
        <v>33.</v>
      </c>
      <c r="D94" s="654"/>
      <c r="E94" s="704" t="str">
        <f>(IF(E92="","",IF(G94="","",
IF($M$19=1,EDATE(E92,-1),
IF(AND($M$19=2,B92=1),EOMONTH(E92,-2)+16,
IF(AND($M$19=2,B92=16),EOMONTH(E92,-1)+1,
IF($M$19=3,E92-14,
IF($M$19=4,E92-7,
""))))))))</f>
        <v/>
      </c>
      <c r="F94" s="654" t="s">
        <v>240</v>
      </c>
      <c r="G94" s="704" t="str">
        <f>IF(E92="","",
IF($L$13=3,E92-1,
IF(AND($L$13=2,E92-1&gt;=$V$19,YEAR(E92-1)&gt;=($K$30-1)),E92-1,"")))</f>
        <v/>
      </c>
      <c r="H94" s="660"/>
      <c r="I94" s="654" t="s">
        <v>240</v>
      </c>
      <c r="J94" s="660"/>
      <c r="K94" s="969"/>
      <c r="L94" s="1547"/>
      <c r="M94" s="1548"/>
      <c r="N94" s="677"/>
      <c r="O94" s="655"/>
      <c r="P94" s="656"/>
      <c r="Q94" s="655"/>
      <c r="R94" s="655"/>
      <c r="S94" s="655"/>
      <c r="T94" s="655"/>
      <c r="U94" s="657"/>
      <c r="V94" s="655"/>
      <c r="W94" s="655"/>
      <c r="X94" s="655"/>
      <c r="Y94" s="657"/>
      <c r="Z94" s="1030"/>
      <c r="AA94" s="1030"/>
      <c r="AB94" s="1030"/>
      <c r="AC94" s="1030"/>
      <c r="AD94" s="1030"/>
      <c r="AE94" s="1031"/>
      <c r="AF94" s="1031"/>
      <c r="AG94" s="1030"/>
      <c r="AH94" s="1030"/>
      <c r="AI94" s="1030"/>
      <c r="AJ94" s="1030"/>
      <c r="AK94" s="1030"/>
      <c r="AL94" s="1030"/>
      <c r="AM94" s="1030"/>
      <c r="AN94" s="1030"/>
      <c r="AO94" s="1030"/>
      <c r="AP94" s="1030"/>
      <c r="AQ94" s="1030"/>
      <c r="AR94" s="1030"/>
      <c r="AS94" s="1030"/>
      <c r="AT94" s="1030"/>
      <c r="AU94" s="1030"/>
      <c r="AV94" s="1030"/>
      <c r="AW94" s="1030"/>
      <c r="AX94" s="1030"/>
      <c r="AY94" s="1030"/>
      <c r="AZ94" s="1030"/>
      <c r="BA94" s="1030"/>
      <c r="BB94" s="1030"/>
    </row>
    <row r="95" spans="1:54" ht="23.4" hidden="1" customHeight="1" x14ac:dyDescent="0.3">
      <c r="A95" s="779"/>
      <c r="B95" s="779"/>
      <c r="C95" s="1665" t="s">
        <v>1045</v>
      </c>
      <c r="D95" s="1666"/>
      <c r="E95" s="1666"/>
      <c r="F95" s="1666"/>
      <c r="G95" s="1666"/>
      <c r="H95" s="1666"/>
      <c r="I95" s="1666"/>
      <c r="J95" s="1666"/>
      <c r="K95" s="1666"/>
      <c r="L95" s="1666"/>
      <c r="M95" s="1666"/>
      <c r="N95" s="1667"/>
      <c r="O95" s="45"/>
      <c r="P95" s="45"/>
      <c r="Q95" s="38"/>
      <c r="R95" s="45"/>
      <c r="S95" s="45"/>
      <c r="T95" s="45"/>
      <c r="U95" s="45"/>
      <c r="V95" s="45"/>
      <c r="W95" s="45"/>
      <c r="X95" s="45"/>
      <c r="Y95" s="38"/>
      <c r="Z95" s="556"/>
      <c r="AA95" s="556"/>
      <c r="AB95" s="556"/>
      <c r="AC95" s="556"/>
      <c r="AD95" s="556"/>
      <c r="AE95" s="977"/>
      <c r="AF95" s="977"/>
      <c r="AG95" s="556"/>
      <c r="AH95" s="556"/>
      <c r="AI95" s="556"/>
      <c r="AJ95" s="556"/>
      <c r="AK95" s="556"/>
      <c r="AL95" s="556"/>
      <c r="AM95" s="556"/>
      <c r="AN95" s="556"/>
      <c r="AO95" s="556"/>
      <c r="AP95" s="556"/>
      <c r="AQ95" s="556"/>
      <c r="AR95" s="556"/>
      <c r="AS95" s="556"/>
      <c r="AT95" s="556"/>
      <c r="AU95" s="556"/>
      <c r="AV95" s="556"/>
      <c r="AW95" s="556"/>
      <c r="AX95" s="556"/>
      <c r="AY95" s="556"/>
      <c r="AZ95" s="556"/>
      <c r="BA95" s="556"/>
      <c r="BB95" s="556"/>
    </row>
    <row r="96" spans="1:54" ht="1.8" hidden="1" customHeight="1" x14ac:dyDescent="0.3">
      <c r="A96" s="779"/>
      <c r="B96" s="779"/>
      <c r="C96" s="666"/>
      <c r="D96" s="666"/>
      <c r="E96" s="705"/>
      <c r="F96" s="705"/>
      <c r="G96" s="705"/>
      <c r="H96" s="705"/>
      <c r="I96" s="666"/>
      <c r="J96" s="705"/>
      <c r="K96" s="666"/>
      <c r="L96" s="705"/>
      <c r="M96" s="705"/>
      <c r="N96" s="666"/>
      <c r="O96" s="45"/>
      <c r="P96" s="45"/>
      <c r="Q96" s="38"/>
      <c r="R96" s="45"/>
      <c r="S96" s="45"/>
      <c r="T96" s="45"/>
      <c r="U96" s="45"/>
      <c r="V96" s="45"/>
      <c r="W96" s="45"/>
      <c r="X96" s="45"/>
      <c r="Y96" s="38"/>
      <c r="Z96" s="556"/>
      <c r="AA96" s="556"/>
      <c r="AB96" s="556"/>
      <c r="AC96" s="556"/>
      <c r="AD96" s="556"/>
      <c r="AE96" s="977"/>
      <c r="AF96" s="977"/>
      <c r="AG96" s="556"/>
      <c r="AH96" s="556"/>
      <c r="AI96" s="556"/>
      <c r="AJ96" s="556"/>
      <c r="AK96" s="556"/>
      <c r="AL96" s="556"/>
      <c r="AM96" s="556"/>
      <c r="AN96" s="556"/>
      <c r="AO96" s="556"/>
      <c r="AP96" s="556"/>
      <c r="AQ96" s="556"/>
      <c r="AR96" s="556"/>
      <c r="AS96" s="556"/>
      <c r="AT96" s="556"/>
      <c r="AU96" s="556"/>
      <c r="AV96" s="556"/>
      <c r="AW96" s="556"/>
      <c r="AX96" s="556"/>
      <c r="AY96" s="556"/>
      <c r="AZ96" s="556"/>
      <c r="BA96" s="556"/>
      <c r="BB96" s="556"/>
    </row>
    <row r="97" spans="1:54" ht="9.6" hidden="1" customHeight="1" x14ac:dyDescent="0.3">
      <c r="A97" s="779"/>
      <c r="B97" s="779"/>
      <c r="C97" s="666"/>
      <c r="D97" s="666"/>
      <c r="E97" s="666"/>
      <c r="F97" s="666"/>
      <c r="G97" s="666"/>
      <c r="H97" s="666"/>
      <c r="I97" s="666"/>
      <c r="J97" s="666"/>
      <c r="K97" s="666"/>
      <c r="L97" s="666"/>
      <c r="M97" s="666"/>
      <c r="N97" s="666"/>
      <c r="O97" s="45"/>
      <c r="P97" s="45"/>
      <c r="Q97" s="38"/>
      <c r="R97" s="45"/>
      <c r="S97" s="45"/>
      <c r="T97" s="45"/>
      <c r="U97" s="45"/>
      <c r="V97" s="45"/>
      <c r="W97" s="45"/>
      <c r="X97" s="45"/>
      <c r="Y97" s="38"/>
      <c r="Z97" s="556"/>
      <c r="AA97" s="556"/>
      <c r="AB97" s="556"/>
      <c r="AC97" s="556"/>
      <c r="AD97" s="556"/>
      <c r="AE97" s="977"/>
      <c r="AF97" s="977"/>
      <c r="AG97" s="556"/>
      <c r="AH97" s="556"/>
      <c r="AI97" s="556"/>
      <c r="AJ97" s="556"/>
      <c r="AK97" s="556"/>
      <c r="AL97" s="556"/>
      <c r="AM97" s="556"/>
      <c r="AN97" s="556"/>
      <c r="AO97" s="556"/>
      <c r="AP97" s="556"/>
      <c r="AQ97" s="556"/>
      <c r="AR97" s="556"/>
      <c r="AS97" s="556"/>
      <c r="AT97" s="556"/>
      <c r="AU97" s="556"/>
      <c r="AV97" s="556"/>
      <c r="AW97" s="556"/>
      <c r="AX97" s="556"/>
      <c r="AY97" s="556"/>
      <c r="AZ97" s="556"/>
      <c r="BA97" s="556"/>
      <c r="BB97" s="556"/>
    </row>
    <row r="98" spans="1:54" ht="9.6" hidden="1" customHeight="1" x14ac:dyDescent="0.3">
      <c r="A98" s="779"/>
      <c r="B98" s="779"/>
      <c r="C98" s="666"/>
      <c r="D98" s="666"/>
      <c r="E98" s="666"/>
      <c r="F98" s="666"/>
      <c r="G98" s="666"/>
      <c r="H98" s="666"/>
      <c r="I98" s="666"/>
      <c r="J98" s="666"/>
      <c r="K98" s="666"/>
      <c r="L98" s="666"/>
      <c r="M98" s="666"/>
      <c r="N98" s="666"/>
      <c r="O98" s="45"/>
      <c r="P98" s="45"/>
      <c r="Q98" s="38"/>
      <c r="R98" s="45"/>
      <c r="S98" s="45"/>
      <c r="T98" s="45"/>
      <c r="U98" s="45"/>
      <c r="V98" s="45"/>
      <c r="W98" s="45"/>
      <c r="X98" s="45"/>
      <c r="Y98" s="38"/>
      <c r="Z98" s="556"/>
      <c r="AA98" s="556"/>
      <c r="AB98" s="556"/>
      <c r="AC98" s="556"/>
      <c r="AD98" s="556"/>
      <c r="AE98" s="977"/>
      <c r="AF98" s="977"/>
      <c r="AG98" s="556"/>
      <c r="AH98" s="556"/>
      <c r="AI98" s="556"/>
      <c r="AJ98" s="556"/>
      <c r="AK98" s="556"/>
      <c r="AL98" s="556"/>
      <c r="AM98" s="556"/>
      <c r="AN98" s="556"/>
      <c r="AO98" s="556"/>
      <c r="AP98" s="556"/>
      <c r="AQ98" s="556"/>
      <c r="AR98" s="556"/>
      <c r="AS98" s="556"/>
      <c r="AT98" s="556"/>
      <c r="AU98" s="556"/>
      <c r="AV98" s="556"/>
      <c r="AW98" s="556"/>
      <c r="AX98" s="556"/>
      <c r="AY98" s="556"/>
      <c r="AZ98" s="556"/>
      <c r="BA98" s="556"/>
      <c r="BB98" s="556"/>
    </row>
    <row r="99" spans="1:54" ht="29.4" hidden="1" customHeight="1" x14ac:dyDescent="0.3">
      <c r="A99" s="779"/>
      <c r="B99" s="779"/>
      <c r="C99" s="1668" t="s">
        <v>1069</v>
      </c>
      <c r="D99" s="1669"/>
      <c r="E99" s="1669"/>
      <c r="F99" s="1669"/>
      <c r="G99" s="1669"/>
      <c r="H99" s="1669"/>
      <c r="I99" s="1669"/>
      <c r="J99" s="1669"/>
      <c r="K99" s="1669"/>
      <c r="L99" s="1669"/>
      <c r="M99" s="1669"/>
      <c r="N99" s="1670"/>
      <c r="O99" s="45"/>
      <c r="P99" s="45"/>
      <c r="Q99" s="38"/>
      <c r="R99" s="45"/>
      <c r="S99" s="45"/>
      <c r="T99" s="45"/>
      <c r="U99" s="45"/>
      <c r="V99" s="45"/>
      <c r="W99" s="45"/>
      <c r="X99" s="45"/>
      <c r="Y99" s="38"/>
      <c r="Z99" s="556"/>
      <c r="AA99" s="556"/>
      <c r="AB99" s="556"/>
      <c r="AC99" s="556"/>
      <c r="AD99" s="556"/>
      <c r="AE99" s="977"/>
      <c r="AF99" s="977"/>
      <c r="AG99" s="556"/>
      <c r="AH99" s="556"/>
      <c r="AI99" s="556"/>
      <c r="AJ99" s="556"/>
      <c r="AK99" s="556"/>
      <c r="AL99" s="556"/>
      <c r="AM99" s="556"/>
      <c r="AN99" s="556"/>
      <c r="AO99" s="556"/>
      <c r="AP99" s="556"/>
      <c r="AQ99" s="556"/>
      <c r="AR99" s="556"/>
      <c r="AS99" s="556"/>
      <c r="AT99" s="556"/>
      <c r="AU99" s="556"/>
      <c r="AV99" s="556"/>
      <c r="AW99" s="556"/>
      <c r="AX99" s="556"/>
      <c r="AY99" s="556"/>
      <c r="AZ99" s="556"/>
      <c r="BA99" s="556"/>
      <c r="BB99" s="556"/>
    </row>
    <row r="100" spans="1:54" s="374" customFormat="1" ht="15.6" hidden="1" x14ac:dyDescent="0.3">
      <c r="A100" s="1032" t="s">
        <v>847</v>
      </c>
      <c r="B100" s="732" t="str">
        <f>IF(E100="","",DAY(E100))</f>
        <v/>
      </c>
      <c r="C100" s="676" t="str">
        <f>CONCATENATE(C94+1,".")</f>
        <v>34.</v>
      </c>
      <c r="D100" s="654"/>
      <c r="E100" s="704" t="str">
        <f>(IF(E94="","",IF(G100="","",
IF($M$19=1,EDATE(E94,-1),
IF(AND($M$19=2,B94=1),EOMONTH(E94,-2)+16,
IF(AND($M$19=2,B94=16),EOMONTH(E94,-1)+1,
IF($M$19=3,E94-14,
IF($M$19=4,E94-7,
""))))))))</f>
        <v/>
      </c>
      <c r="F100" s="654" t="s">
        <v>240</v>
      </c>
      <c r="G100" s="704" t="str">
        <f>IF(E94="","",
IF($L$13=3,E94-1,
IF(AND($L$13=2,E94-1&gt;=$V$19,YEAR(E94-1)&gt;=($K$30-1)),E94-1,"")))</f>
        <v/>
      </c>
      <c r="H100" s="660"/>
      <c r="I100" s="654" t="s">
        <v>240</v>
      </c>
      <c r="J100" s="660"/>
      <c r="K100" s="969"/>
      <c r="L100" s="1547"/>
      <c r="M100" s="1548"/>
      <c r="N100" s="677"/>
      <c r="O100" s="655"/>
      <c r="P100" s="656"/>
      <c r="Q100" s="655"/>
      <c r="R100" s="655"/>
      <c r="S100" s="655"/>
      <c r="T100" s="655"/>
      <c r="U100" s="657"/>
      <c r="V100" s="655"/>
      <c r="W100" s="655"/>
      <c r="X100" s="655"/>
      <c r="Y100" s="657"/>
      <c r="Z100" s="1030"/>
      <c r="AA100" s="1030"/>
      <c r="AB100" s="1030"/>
      <c r="AC100" s="1030"/>
      <c r="AD100" s="1030"/>
      <c r="AE100" s="1031"/>
      <c r="AF100" s="1031"/>
      <c r="AG100" s="1030"/>
      <c r="AH100" s="1030"/>
      <c r="AI100" s="1030"/>
      <c r="AJ100" s="1030"/>
      <c r="AK100" s="1030"/>
      <c r="AL100" s="1030"/>
      <c r="AM100" s="1030"/>
      <c r="AN100" s="1030"/>
      <c r="AO100" s="1030"/>
      <c r="AP100" s="1030"/>
      <c r="AQ100" s="1030"/>
      <c r="AR100" s="1030"/>
      <c r="AS100" s="1030"/>
      <c r="AT100" s="1030"/>
      <c r="AU100" s="1030"/>
      <c r="AV100" s="1030"/>
      <c r="AW100" s="1030"/>
      <c r="AX100" s="1030"/>
      <c r="AY100" s="1030"/>
      <c r="AZ100" s="1030"/>
      <c r="BA100" s="1030"/>
      <c r="BB100" s="1030"/>
    </row>
    <row r="101" spans="1:54" ht="3" hidden="1" customHeight="1" x14ac:dyDescent="0.3">
      <c r="A101" s="779"/>
      <c r="B101" s="779"/>
      <c r="C101" s="679"/>
      <c r="D101" s="668"/>
      <c r="E101" s="669"/>
      <c r="F101" s="670"/>
      <c r="G101" s="669"/>
      <c r="H101" s="669"/>
      <c r="I101" s="670"/>
      <c r="J101" s="669"/>
      <c r="K101" s="969"/>
      <c r="L101" s="134"/>
      <c r="M101" s="134"/>
      <c r="N101" s="680"/>
      <c r="O101" s="45"/>
      <c r="P101" s="45"/>
      <c r="Q101" s="38"/>
      <c r="R101" s="45"/>
      <c r="S101" s="45"/>
      <c r="T101" s="45"/>
      <c r="U101" s="45"/>
      <c r="V101" s="45"/>
      <c r="W101" s="45"/>
      <c r="X101" s="45"/>
      <c r="Y101" s="38"/>
      <c r="Z101" s="556"/>
      <c r="AA101" s="556"/>
      <c r="AB101" s="556"/>
      <c r="AC101" s="556"/>
      <c r="AD101" s="556"/>
      <c r="AE101" s="977"/>
      <c r="AF101" s="977"/>
      <c r="AG101" s="556"/>
      <c r="AH101" s="556"/>
      <c r="AI101" s="556"/>
      <c r="AJ101" s="556"/>
      <c r="AK101" s="556"/>
      <c r="AL101" s="556"/>
      <c r="AM101" s="556"/>
      <c r="AN101" s="556"/>
      <c r="AO101" s="556"/>
      <c r="AP101" s="556"/>
      <c r="AQ101" s="556"/>
      <c r="AR101" s="556"/>
      <c r="AS101" s="556"/>
      <c r="AT101" s="556"/>
      <c r="AU101" s="556"/>
      <c r="AV101" s="556"/>
      <c r="AW101" s="556"/>
      <c r="AX101" s="556"/>
      <c r="AY101" s="556"/>
      <c r="AZ101" s="556"/>
      <c r="BA101" s="556"/>
      <c r="BB101" s="556"/>
    </row>
    <row r="102" spans="1:54" s="374" customFormat="1" ht="15.6" hidden="1" x14ac:dyDescent="0.3">
      <c r="A102" s="1032" t="s">
        <v>847</v>
      </c>
      <c r="B102" s="732" t="str">
        <f>IF(E102="","",DAY(E102))</f>
        <v/>
      </c>
      <c r="C102" s="676" t="str">
        <f>CONCATENATE(C100+1,".")</f>
        <v>35.</v>
      </c>
      <c r="D102" s="654"/>
      <c r="E102" s="704" t="str">
        <f>(IF(E100="","",IF(G102="","",
IF($M$19=1,EDATE(E100,-1),
IF(AND($M$19=2,B100=1),EOMONTH(E100,-2)+16,
IF(AND($M$19=2,B100=16),EOMONTH(E100,-1)+1,
IF($M$19=3,E100-14,
IF($M$19=4,E100-7,
""))))))))</f>
        <v/>
      </c>
      <c r="F102" s="654" t="s">
        <v>240</v>
      </c>
      <c r="G102" s="704" t="str">
        <f>IF(E100="","",
IF($L$13=3,E100-1,
IF(AND($L$13=2,E100-1&gt;=$V$19,YEAR(E100-1)&gt;=($K$30-1)),E100-1,"")))</f>
        <v/>
      </c>
      <c r="H102" s="660"/>
      <c r="I102" s="654" t="s">
        <v>240</v>
      </c>
      <c r="J102" s="660"/>
      <c r="K102" s="969"/>
      <c r="L102" s="1547"/>
      <c r="M102" s="1548"/>
      <c r="N102" s="677"/>
      <c r="O102" s="655"/>
      <c r="P102" s="656"/>
      <c r="Q102" s="655"/>
      <c r="R102" s="655"/>
      <c r="S102" s="655"/>
      <c r="T102" s="655"/>
      <c r="U102" s="657"/>
      <c r="V102" s="655"/>
      <c r="W102" s="655"/>
      <c r="X102" s="655"/>
      <c r="Y102" s="657"/>
      <c r="Z102" s="1030"/>
      <c r="AA102" s="1030"/>
      <c r="AB102" s="1030"/>
      <c r="AC102" s="1030"/>
      <c r="AD102" s="1030"/>
      <c r="AE102" s="1031"/>
      <c r="AF102" s="1031"/>
      <c r="AG102" s="1030"/>
      <c r="AH102" s="1030"/>
      <c r="AI102" s="1030"/>
      <c r="AJ102" s="1030"/>
      <c r="AK102" s="1030"/>
      <c r="AL102" s="1030"/>
      <c r="AM102" s="1030"/>
      <c r="AN102" s="1030"/>
      <c r="AO102" s="1030"/>
      <c r="AP102" s="1030"/>
      <c r="AQ102" s="1030"/>
      <c r="AR102" s="1030"/>
      <c r="AS102" s="1030"/>
      <c r="AT102" s="1030"/>
      <c r="AU102" s="1030"/>
      <c r="AV102" s="1030"/>
      <c r="AW102" s="1030"/>
      <c r="AX102" s="1030"/>
      <c r="AY102" s="1030"/>
      <c r="AZ102" s="1030"/>
      <c r="BA102" s="1030"/>
      <c r="BB102" s="1030"/>
    </row>
    <row r="103" spans="1:54" ht="3" hidden="1" customHeight="1" x14ac:dyDescent="0.3">
      <c r="A103" s="779"/>
      <c r="B103" s="779"/>
      <c r="C103" s="679"/>
      <c r="D103" s="117"/>
      <c r="E103" s="671"/>
      <c r="F103" s="671"/>
      <c r="G103" s="671"/>
      <c r="H103" s="671"/>
      <c r="I103" s="671"/>
      <c r="J103" s="671"/>
      <c r="K103" s="969"/>
      <c r="L103" s="38"/>
      <c r="M103" s="38"/>
      <c r="N103" s="680"/>
      <c r="O103" s="45"/>
      <c r="P103" s="45"/>
      <c r="Q103" s="45"/>
      <c r="R103" s="45"/>
      <c r="S103" s="45"/>
      <c r="T103" s="45"/>
      <c r="U103" s="45"/>
      <c r="V103" s="45"/>
      <c r="W103" s="45"/>
      <c r="X103" s="45"/>
      <c r="Y103" s="38"/>
      <c r="Z103" s="556"/>
      <c r="AA103" s="556"/>
      <c r="AB103" s="556"/>
      <c r="AC103" s="556"/>
      <c r="AD103" s="556"/>
      <c r="AE103" s="977"/>
      <c r="AF103" s="977"/>
      <c r="AG103" s="556"/>
      <c r="AH103" s="556"/>
      <c r="AI103" s="556"/>
      <c r="AJ103" s="556"/>
      <c r="AK103" s="556"/>
      <c r="AL103" s="556"/>
      <c r="AM103" s="556"/>
      <c r="AN103" s="556"/>
      <c r="AO103" s="556"/>
      <c r="AP103" s="556"/>
      <c r="AQ103" s="556"/>
      <c r="AR103" s="556"/>
      <c r="AS103" s="556"/>
      <c r="AT103" s="556"/>
      <c r="AU103" s="556"/>
      <c r="AV103" s="556"/>
      <c r="AW103" s="556"/>
      <c r="AX103" s="556"/>
      <c r="AY103" s="556"/>
      <c r="AZ103" s="556"/>
      <c r="BA103" s="556"/>
      <c r="BB103" s="556"/>
    </row>
    <row r="104" spans="1:54" s="374" customFormat="1" ht="15.6" hidden="1" x14ac:dyDescent="0.3">
      <c r="A104" s="1032" t="s">
        <v>847</v>
      </c>
      <c r="B104" s="732" t="str">
        <f>IF(E104="","",DAY(E104))</f>
        <v/>
      </c>
      <c r="C104" s="676" t="str">
        <f>CONCATENATE(C102+1,".")</f>
        <v>36.</v>
      </c>
      <c r="D104" s="654"/>
      <c r="E104" s="704" t="str">
        <f>(IF(E102="","",IF(G104="","",
IF($M$19=1,EDATE(E102,-1),
IF(AND($M$19=2,B102=1),EOMONTH(E102,-2)+16,
IF(AND($M$19=2,B102=16),EOMONTH(E102,-1)+1,
IF($M$19=3,E102-14,
IF($M$19=4,E102-7,
""))))))))</f>
        <v/>
      </c>
      <c r="F104" s="654" t="s">
        <v>240</v>
      </c>
      <c r="G104" s="704" t="str">
        <f>IF(E102="","",
IF($L$13=3,E102-1,
IF(AND($L$13=2,E102-1&gt;=$V$19,YEAR(E102-1)&gt;=($K$30-1)),E102-1,"")))</f>
        <v/>
      </c>
      <c r="H104" s="660"/>
      <c r="I104" s="654" t="s">
        <v>240</v>
      </c>
      <c r="J104" s="660"/>
      <c r="K104" s="969"/>
      <c r="L104" s="1547"/>
      <c r="M104" s="1548"/>
      <c r="N104" s="677"/>
      <c r="O104" s="655"/>
      <c r="P104" s="656"/>
      <c r="Q104" s="655"/>
      <c r="R104" s="655"/>
      <c r="S104" s="655"/>
      <c r="T104" s="655"/>
      <c r="U104" s="657"/>
      <c r="V104" s="655"/>
      <c r="W104" s="655"/>
      <c r="X104" s="655"/>
      <c r="Y104" s="657"/>
      <c r="Z104" s="1030"/>
      <c r="AA104" s="1030"/>
      <c r="AB104" s="1030"/>
      <c r="AC104" s="1030"/>
      <c r="AD104" s="1030"/>
      <c r="AE104" s="1031"/>
      <c r="AF104" s="1031"/>
      <c r="AG104" s="1030"/>
      <c r="AH104" s="1030"/>
      <c r="AI104" s="1030"/>
      <c r="AJ104" s="1030"/>
      <c r="AK104" s="1030"/>
      <c r="AL104" s="1030"/>
      <c r="AM104" s="1030"/>
      <c r="AN104" s="1030"/>
      <c r="AO104" s="1030"/>
      <c r="AP104" s="1030"/>
      <c r="AQ104" s="1030"/>
      <c r="AR104" s="1030"/>
      <c r="AS104" s="1030"/>
      <c r="AT104" s="1030"/>
      <c r="AU104" s="1030"/>
      <c r="AV104" s="1030"/>
      <c r="AW104" s="1030"/>
      <c r="AX104" s="1030"/>
      <c r="AY104" s="1030"/>
      <c r="AZ104" s="1030"/>
      <c r="BA104" s="1030"/>
      <c r="BB104" s="1030"/>
    </row>
    <row r="105" spans="1:54" ht="3" hidden="1" customHeight="1" x14ac:dyDescent="0.3">
      <c r="A105" s="779"/>
      <c r="B105" s="779"/>
      <c r="C105" s="679"/>
      <c r="D105" s="144"/>
      <c r="E105" s="671"/>
      <c r="F105" s="671"/>
      <c r="G105" s="671"/>
      <c r="H105" s="671"/>
      <c r="I105" s="671"/>
      <c r="J105" s="671"/>
      <c r="K105" s="969"/>
      <c r="L105" s="38"/>
      <c r="M105" s="38"/>
      <c r="N105" s="680"/>
      <c r="O105" s="45"/>
      <c r="P105" s="45"/>
      <c r="Q105" s="45"/>
      <c r="R105" s="45"/>
      <c r="S105" s="45"/>
      <c r="T105" s="45"/>
      <c r="U105" s="45"/>
      <c r="V105" s="45"/>
      <c r="W105" s="45"/>
      <c r="X105" s="45"/>
      <c r="Y105" s="38"/>
      <c r="Z105" s="556"/>
      <c r="AA105" s="556"/>
      <c r="AB105" s="556"/>
      <c r="AC105" s="556"/>
      <c r="AD105" s="556"/>
      <c r="AE105" s="977"/>
      <c r="AF105" s="977"/>
      <c r="AG105" s="556"/>
      <c r="AH105" s="556"/>
      <c r="AI105" s="556"/>
      <c r="AJ105" s="556"/>
      <c r="AK105" s="556"/>
      <c r="AL105" s="556"/>
      <c r="AM105" s="556"/>
      <c r="AN105" s="556"/>
      <c r="AO105" s="556"/>
      <c r="AP105" s="556"/>
      <c r="AQ105" s="556"/>
      <c r="AR105" s="556"/>
      <c r="AS105" s="556"/>
      <c r="AT105" s="556"/>
      <c r="AU105" s="556"/>
      <c r="AV105" s="556"/>
      <c r="AW105" s="556"/>
      <c r="AX105" s="556"/>
      <c r="AY105" s="556"/>
      <c r="AZ105" s="556"/>
      <c r="BA105" s="556"/>
      <c r="BB105" s="556"/>
    </row>
    <row r="106" spans="1:54" s="374" customFormat="1" ht="15.6" hidden="1" x14ac:dyDescent="0.3">
      <c r="A106" s="1032" t="s">
        <v>847</v>
      </c>
      <c r="B106" s="732" t="str">
        <f>IF(E106="","",DAY(E106))</f>
        <v/>
      </c>
      <c r="C106" s="676" t="str">
        <f>CONCATENATE(C104+1,".")</f>
        <v>37.</v>
      </c>
      <c r="D106" s="654"/>
      <c r="E106" s="704" t="str">
        <f>(IF(E104="","",IF(G106="","",
IF($M$19=1,EDATE(E104,-1),
IF(AND($M$19=2,B104=1),EOMONTH(E104,-2)+16,
IF(AND($M$19=2,B104=16),EOMONTH(E104,-1)+1,
IF($M$19=3,E104-14,
IF($M$19=4,E104-7,
""))))))))</f>
        <v/>
      </c>
      <c r="F106" s="654" t="s">
        <v>240</v>
      </c>
      <c r="G106" s="704" t="str">
        <f>IF(E104="","",
IF($L$13=3,E104-1,
IF(AND($L$13=2,E104-1&gt;=$V$19,YEAR(E104-1)&gt;=($K$30-1)),E104-1,"")))</f>
        <v/>
      </c>
      <c r="H106" s="660"/>
      <c r="I106" s="654" t="s">
        <v>240</v>
      </c>
      <c r="J106" s="660"/>
      <c r="K106" s="969"/>
      <c r="L106" s="1547"/>
      <c r="M106" s="1548"/>
      <c r="N106" s="677"/>
      <c r="O106" s="655"/>
      <c r="P106" s="656"/>
      <c r="Q106" s="655"/>
      <c r="R106" s="655"/>
      <c r="S106" s="655"/>
      <c r="T106" s="655"/>
      <c r="U106" s="657"/>
      <c r="V106" s="655"/>
      <c r="W106" s="655"/>
      <c r="X106" s="655"/>
      <c r="Y106" s="657"/>
      <c r="Z106" s="1030"/>
      <c r="AA106" s="1030"/>
      <c r="AB106" s="1030"/>
      <c r="AC106" s="1030"/>
      <c r="AD106" s="1030"/>
      <c r="AE106" s="1031"/>
      <c r="AF106" s="1031"/>
      <c r="AG106" s="1030"/>
      <c r="AH106" s="1030"/>
      <c r="AI106" s="1030"/>
      <c r="AJ106" s="1030"/>
      <c r="AK106" s="1030"/>
      <c r="AL106" s="1030"/>
      <c r="AM106" s="1030"/>
      <c r="AN106" s="1030"/>
      <c r="AO106" s="1030"/>
      <c r="AP106" s="1030"/>
      <c r="AQ106" s="1030"/>
      <c r="AR106" s="1030"/>
      <c r="AS106" s="1030"/>
      <c r="AT106" s="1030"/>
      <c r="AU106" s="1030"/>
      <c r="AV106" s="1030"/>
      <c r="AW106" s="1030"/>
      <c r="AX106" s="1030"/>
      <c r="AY106" s="1030"/>
      <c r="AZ106" s="1030"/>
      <c r="BA106" s="1030"/>
      <c r="BB106" s="1030"/>
    </row>
    <row r="107" spans="1:54" ht="3" hidden="1" customHeight="1" x14ac:dyDescent="0.3">
      <c r="A107" s="779"/>
      <c r="B107" s="779"/>
      <c r="C107" s="679"/>
      <c r="D107" s="144"/>
      <c r="E107" s="671"/>
      <c r="F107" s="671"/>
      <c r="G107" s="671"/>
      <c r="H107" s="671"/>
      <c r="I107" s="671"/>
      <c r="J107" s="671"/>
      <c r="K107" s="969"/>
      <c r="L107" s="38"/>
      <c r="M107" s="38"/>
      <c r="N107" s="680"/>
      <c r="O107" s="45"/>
      <c r="P107" s="45"/>
      <c r="Q107" s="45"/>
      <c r="R107" s="45"/>
      <c r="S107" s="45"/>
      <c r="T107" s="45"/>
      <c r="U107" s="45"/>
      <c r="V107" s="45"/>
      <c r="W107" s="45"/>
      <c r="X107" s="45"/>
      <c r="Y107" s="38"/>
      <c r="Z107" s="556"/>
      <c r="AA107" s="556"/>
      <c r="AB107" s="556"/>
      <c r="AC107" s="556"/>
      <c r="AD107" s="556"/>
      <c r="AE107" s="977"/>
      <c r="AF107" s="977"/>
      <c r="AG107" s="556"/>
      <c r="AH107" s="556"/>
      <c r="AI107" s="556"/>
      <c r="AJ107" s="556"/>
      <c r="AK107" s="556"/>
      <c r="AL107" s="556"/>
      <c r="AM107" s="556"/>
      <c r="AN107" s="556"/>
      <c r="AO107" s="556"/>
      <c r="AP107" s="556"/>
      <c r="AQ107" s="556"/>
      <c r="AR107" s="556"/>
      <c r="AS107" s="556"/>
      <c r="AT107" s="556"/>
      <c r="AU107" s="556"/>
      <c r="AV107" s="556"/>
      <c r="AW107" s="556"/>
      <c r="AX107" s="556"/>
      <c r="AY107" s="556"/>
      <c r="AZ107" s="556"/>
      <c r="BA107" s="556"/>
      <c r="BB107" s="556"/>
    </row>
    <row r="108" spans="1:54" s="374" customFormat="1" ht="15.6" hidden="1" x14ac:dyDescent="0.3">
      <c r="A108" s="1032" t="s">
        <v>847</v>
      </c>
      <c r="B108" s="732" t="str">
        <f>IF(E108="","",DAY(E108))</f>
        <v/>
      </c>
      <c r="C108" s="676" t="str">
        <f>CONCATENATE(C106+1,".")</f>
        <v>38.</v>
      </c>
      <c r="D108" s="654"/>
      <c r="E108" s="704" t="str">
        <f>(IF(E106="","",IF(G108="","",
IF($M$19=1,EDATE(E106,-1),
IF(AND($M$19=2,B106=1),EOMONTH(E106,-2)+16,
IF(AND($M$19=2,B106=16),EOMONTH(E106,-1)+1,
IF($M$19=3,E106-14,
IF($M$19=4,E106-7,
""))))))))</f>
        <v/>
      </c>
      <c r="F108" s="654" t="s">
        <v>240</v>
      </c>
      <c r="G108" s="704" t="str">
        <f>IF(E106="","",
IF($L$13=3,E106-1,
IF(AND($L$13=2,E106-1&gt;=$V$19,YEAR(E106-1)&gt;=($K$30-1)),E106-1,"")))</f>
        <v/>
      </c>
      <c r="H108" s="660"/>
      <c r="I108" s="654" t="s">
        <v>240</v>
      </c>
      <c r="J108" s="660"/>
      <c r="K108" s="969"/>
      <c r="L108" s="1547"/>
      <c r="M108" s="1548"/>
      <c r="N108" s="677"/>
      <c r="O108" s="655"/>
      <c r="P108" s="656"/>
      <c r="Q108" s="655"/>
      <c r="R108" s="655"/>
      <c r="S108" s="655"/>
      <c r="T108" s="655"/>
      <c r="U108" s="657"/>
      <c r="V108" s="655"/>
      <c r="W108" s="655"/>
      <c r="X108" s="655"/>
      <c r="Y108" s="657"/>
      <c r="Z108" s="1030"/>
      <c r="AA108" s="1030"/>
      <c r="AB108" s="1030"/>
      <c r="AC108" s="1030"/>
      <c r="AD108" s="1030"/>
      <c r="AE108" s="1031"/>
      <c r="AF108" s="1031"/>
      <c r="AG108" s="1030"/>
      <c r="AH108" s="1030"/>
      <c r="AI108" s="1030"/>
      <c r="AJ108" s="1030"/>
      <c r="AK108" s="1030"/>
      <c r="AL108" s="1030"/>
      <c r="AM108" s="1030"/>
      <c r="AN108" s="1030"/>
      <c r="AO108" s="1030"/>
      <c r="AP108" s="1030"/>
      <c r="AQ108" s="1030"/>
      <c r="AR108" s="1030"/>
      <c r="AS108" s="1030"/>
      <c r="AT108" s="1030"/>
      <c r="AU108" s="1030"/>
      <c r="AV108" s="1030"/>
      <c r="AW108" s="1030"/>
      <c r="AX108" s="1030"/>
      <c r="AY108" s="1030"/>
      <c r="AZ108" s="1030"/>
      <c r="BA108" s="1030"/>
      <c r="BB108" s="1030"/>
    </row>
    <row r="109" spans="1:54" ht="3" hidden="1" customHeight="1" x14ac:dyDescent="0.3">
      <c r="A109" s="779"/>
      <c r="B109" s="779"/>
      <c r="C109" s="679"/>
      <c r="D109" s="668"/>
      <c r="E109" s="669"/>
      <c r="F109" s="670"/>
      <c r="G109" s="669"/>
      <c r="H109" s="669"/>
      <c r="I109" s="670"/>
      <c r="J109" s="669"/>
      <c r="K109" s="969"/>
      <c r="L109" s="38"/>
      <c r="M109" s="38"/>
      <c r="N109" s="680"/>
      <c r="O109" s="45"/>
      <c r="P109" s="45"/>
      <c r="Q109" s="38"/>
      <c r="R109" s="45"/>
      <c r="S109" s="45"/>
      <c r="T109" s="45"/>
      <c r="U109" s="45"/>
      <c r="V109" s="45"/>
      <c r="W109" s="45"/>
      <c r="X109" s="45"/>
      <c r="Y109" s="38"/>
      <c r="Z109" s="556"/>
      <c r="AA109" s="556"/>
      <c r="AB109" s="556"/>
      <c r="AC109" s="556"/>
      <c r="AD109" s="556"/>
      <c r="AE109" s="977"/>
      <c r="AF109" s="977"/>
      <c r="AG109" s="556"/>
      <c r="AH109" s="556"/>
      <c r="AI109" s="556"/>
      <c r="AJ109" s="556"/>
      <c r="AK109" s="556"/>
      <c r="AL109" s="556"/>
      <c r="AM109" s="556"/>
      <c r="AN109" s="556"/>
      <c r="AO109" s="556"/>
      <c r="AP109" s="556"/>
      <c r="AQ109" s="556"/>
      <c r="AR109" s="556"/>
      <c r="AS109" s="556"/>
      <c r="AT109" s="556"/>
      <c r="AU109" s="556"/>
      <c r="AV109" s="556"/>
      <c r="AW109" s="556"/>
      <c r="AX109" s="556"/>
      <c r="AY109" s="556"/>
      <c r="AZ109" s="556"/>
      <c r="BA109" s="556"/>
      <c r="BB109" s="556"/>
    </row>
    <row r="110" spans="1:54" s="374" customFormat="1" ht="15.6" hidden="1" x14ac:dyDescent="0.3">
      <c r="A110" s="1032" t="s">
        <v>847</v>
      </c>
      <c r="B110" s="732" t="str">
        <f>IF(E110="","",DAY(E110))</f>
        <v/>
      </c>
      <c r="C110" s="676" t="str">
        <f>CONCATENATE(C108+1,".")</f>
        <v>39.</v>
      </c>
      <c r="D110" s="654"/>
      <c r="E110" s="704" t="str">
        <f>(IF(E108="","",IF(G110="","",
IF($M$19=1,EDATE(E108,-1),
IF(AND($M$19=2,B108=1),EOMONTH(E108,-2)+16,
IF(AND($M$19=2,B108=16),EOMONTH(E108,-1)+1,
IF($M$19=3,E108-14,
IF($M$19=4,E108-7,
""))))))))</f>
        <v/>
      </c>
      <c r="F110" s="654" t="s">
        <v>240</v>
      </c>
      <c r="G110" s="704" t="str">
        <f>IF(E108="","",
IF($L$13=3,E108-1,
IF(AND($L$13=2,E108-1&gt;=$V$19,YEAR(E108-1)&gt;=($K$30-1)),E108-1,"")))</f>
        <v/>
      </c>
      <c r="H110" s="660"/>
      <c r="I110" s="654" t="s">
        <v>240</v>
      </c>
      <c r="J110" s="660"/>
      <c r="K110" s="969"/>
      <c r="L110" s="1547"/>
      <c r="M110" s="1548"/>
      <c r="N110" s="677"/>
      <c r="O110" s="655"/>
      <c r="P110" s="656"/>
      <c r="Q110" s="655"/>
      <c r="R110" s="655"/>
      <c r="S110" s="655"/>
      <c r="T110" s="655"/>
      <c r="U110" s="657"/>
      <c r="V110" s="655"/>
      <c r="W110" s="655"/>
      <c r="X110" s="655"/>
      <c r="Y110" s="657"/>
      <c r="Z110" s="1030"/>
      <c r="AA110" s="1030"/>
      <c r="AB110" s="1030"/>
      <c r="AC110" s="1030"/>
      <c r="AD110" s="1030"/>
      <c r="AE110" s="1031"/>
      <c r="AF110" s="1031"/>
      <c r="AG110" s="1030"/>
      <c r="AH110" s="1030"/>
      <c r="AI110" s="1030"/>
      <c r="AJ110" s="1030"/>
      <c r="AK110" s="1030"/>
      <c r="AL110" s="1030"/>
      <c r="AM110" s="1030"/>
      <c r="AN110" s="1030"/>
      <c r="AO110" s="1030"/>
      <c r="AP110" s="1030"/>
      <c r="AQ110" s="1030"/>
      <c r="AR110" s="1030"/>
      <c r="AS110" s="1030"/>
      <c r="AT110" s="1030"/>
      <c r="AU110" s="1030"/>
      <c r="AV110" s="1030"/>
      <c r="AW110" s="1030"/>
      <c r="AX110" s="1030"/>
      <c r="AY110" s="1030"/>
      <c r="AZ110" s="1030"/>
      <c r="BA110" s="1030"/>
      <c r="BB110" s="1030"/>
    </row>
    <row r="111" spans="1:54" ht="3" hidden="1" customHeight="1" x14ac:dyDescent="0.3">
      <c r="A111" s="779"/>
      <c r="B111" s="779"/>
      <c r="C111" s="679"/>
      <c r="D111" s="668"/>
      <c r="E111" s="669"/>
      <c r="F111" s="670"/>
      <c r="G111" s="669"/>
      <c r="H111" s="669"/>
      <c r="I111" s="670"/>
      <c r="J111" s="669"/>
      <c r="K111" s="969"/>
      <c r="L111" s="134"/>
      <c r="M111" s="134"/>
      <c r="N111" s="680"/>
      <c r="O111" s="45"/>
      <c r="P111" s="45"/>
      <c r="Q111" s="38"/>
      <c r="R111" s="45"/>
      <c r="S111" s="45"/>
      <c r="T111" s="45"/>
      <c r="U111" s="45"/>
      <c r="V111" s="45"/>
      <c r="W111" s="45"/>
      <c r="X111" s="45"/>
      <c r="Y111" s="38"/>
      <c r="Z111" s="556"/>
      <c r="AA111" s="556"/>
      <c r="AB111" s="556"/>
      <c r="AC111" s="556"/>
      <c r="AD111" s="556"/>
      <c r="AE111" s="977"/>
      <c r="AF111" s="977"/>
      <c r="AG111" s="556"/>
      <c r="AH111" s="556"/>
      <c r="AI111" s="556"/>
      <c r="AJ111" s="556"/>
      <c r="AK111" s="556"/>
      <c r="AL111" s="556"/>
      <c r="AM111" s="556"/>
      <c r="AN111" s="556"/>
      <c r="AO111" s="556"/>
      <c r="AP111" s="556"/>
      <c r="AQ111" s="556"/>
      <c r="AR111" s="556"/>
      <c r="AS111" s="556"/>
      <c r="AT111" s="556"/>
      <c r="AU111" s="556"/>
      <c r="AV111" s="556"/>
      <c r="AW111" s="556"/>
      <c r="AX111" s="556"/>
      <c r="AY111" s="556"/>
      <c r="AZ111" s="556"/>
      <c r="BA111" s="556"/>
      <c r="BB111" s="556"/>
    </row>
    <row r="112" spans="1:54" s="374" customFormat="1" ht="15.6" hidden="1" x14ac:dyDescent="0.3">
      <c r="A112" s="1032" t="s">
        <v>847</v>
      </c>
      <c r="B112" s="732" t="str">
        <f>IF(E112="","",DAY(E112))</f>
        <v/>
      </c>
      <c r="C112" s="676" t="str">
        <f>CONCATENATE(C110+1,".")</f>
        <v>40.</v>
      </c>
      <c r="D112" s="654"/>
      <c r="E112" s="704" t="str">
        <f>(IF(E110="","",IF(G112="","",
IF($M$19=1,EDATE(E110,-1),
IF(AND($M$19=2,B110=1),EOMONTH(E110,-2)+16,
IF(AND($M$19=2,B110=16),EOMONTH(E110,-1)+1,
IF($M$19=3,E110-14,
IF($M$19=4,E110-7,
""))))))))</f>
        <v/>
      </c>
      <c r="F112" s="654" t="s">
        <v>240</v>
      </c>
      <c r="G112" s="704" t="str">
        <f>IF(E110="","",
IF($L$13=3,E110-1,
IF(AND($L$13=2,E110-1&gt;=$V$19,YEAR(E110-1)&gt;=($K$30-1)),E110-1,"")))</f>
        <v/>
      </c>
      <c r="H112" s="660"/>
      <c r="I112" s="654" t="s">
        <v>240</v>
      </c>
      <c r="J112" s="660"/>
      <c r="K112" s="969"/>
      <c r="L112" s="1547"/>
      <c r="M112" s="1548"/>
      <c r="N112" s="677"/>
      <c r="O112" s="655"/>
      <c r="P112" s="656"/>
      <c r="Q112" s="655"/>
      <c r="R112" s="655"/>
      <c r="S112" s="655"/>
      <c r="T112" s="655"/>
      <c r="U112" s="657"/>
      <c r="V112" s="655"/>
      <c r="W112" s="655"/>
      <c r="X112" s="655"/>
      <c r="Y112" s="657"/>
      <c r="Z112" s="1030"/>
      <c r="AA112" s="1030"/>
      <c r="AB112" s="1030"/>
      <c r="AC112" s="1030"/>
      <c r="AD112" s="1030"/>
      <c r="AE112" s="1031"/>
      <c r="AF112" s="1031"/>
      <c r="AG112" s="1030"/>
      <c r="AH112" s="1030"/>
      <c r="AI112" s="1030"/>
      <c r="AJ112" s="1030"/>
      <c r="AK112" s="1030"/>
      <c r="AL112" s="1030"/>
      <c r="AM112" s="1030"/>
      <c r="AN112" s="1030"/>
      <c r="AO112" s="1030"/>
      <c r="AP112" s="1030"/>
      <c r="AQ112" s="1030"/>
      <c r="AR112" s="1030"/>
      <c r="AS112" s="1030"/>
      <c r="AT112" s="1030"/>
      <c r="AU112" s="1030"/>
      <c r="AV112" s="1030"/>
      <c r="AW112" s="1030"/>
      <c r="AX112" s="1030"/>
      <c r="AY112" s="1030"/>
      <c r="AZ112" s="1030"/>
      <c r="BA112" s="1030"/>
      <c r="BB112" s="1030"/>
    </row>
    <row r="113" spans="1:54" ht="3" hidden="1" customHeight="1" x14ac:dyDescent="0.3">
      <c r="A113" s="779"/>
      <c r="B113" s="779"/>
      <c r="C113" s="679"/>
      <c r="D113" s="117"/>
      <c r="E113" s="671"/>
      <c r="F113" s="671"/>
      <c r="G113" s="671"/>
      <c r="H113" s="671"/>
      <c r="I113" s="671"/>
      <c r="J113" s="671"/>
      <c r="K113" s="969"/>
      <c r="L113" s="38"/>
      <c r="M113" s="38"/>
      <c r="N113" s="680"/>
      <c r="O113" s="45"/>
      <c r="P113" s="45"/>
      <c r="Q113" s="45"/>
      <c r="R113" s="45"/>
      <c r="S113" s="45"/>
      <c r="T113" s="45"/>
      <c r="U113" s="45"/>
      <c r="V113" s="45"/>
      <c r="W113" s="45"/>
      <c r="X113" s="45"/>
      <c r="Y113" s="38"/>
      <c r="Z113" s="556"/>
      <c r="AA113" s="556"/>
      <c r="AB113" s="556"/>
      <c r="AC113" s="556"/>
      <c r="AD113" s="556"/>
      <c r="AE113" s="977"/>
      <c r="AF113" s="977"/>
      <c r="AG113" s="556"/>
      <c r="AH113" s="556"/>
      <c r="AI113" s="556"/>
      <c r="AJ113" s="556"/>
      <c r="AK113" s="556"/>
      <c r="AL113" s="556"/>
      <c r="AM113" s="556"/>
      <c r="AN113" s="556"/>
      <c r="AO113" s="556"/>
      <c r="AP113" s="556"/>
      <c r="AQ113" s="556"/>
      <c r="AR113" s="556"/>
      <c r="AS113" s="556"/>
      <c r="AT113" s="556"/>
      <c r="AU113" s="556"/>
      <c r="AV113" s="556"/>
      <c r="AW113" s="556"/>
      <c r="AX113" s="556"/>
      <c r="AY113" s="556"/>
      <c r="AZ113" s="556"/>
      <c r="BA113" s="556"/>
      <c r="BB113" s="556"/>
    </row>
    <row r="114" spans="1:54" s="374" customFormat="1" ht="15.6" hidden="1" x14ac:dyDescent="0.3">
      <c r="A114" s="1032" t="s">
        <v>847</v>
      </c>
      <c r="B114" s="732" t="str">
        <f>IF(E114="","",DAY(E114))</f>
        <v/>
      </c>
      <c r="C114" s="676" t="str">
        <f>CONCATENATE(C112+1,".")</f>
        <v>41.</v>
      </c>
      <c r="D114" s="654"/>
      <c r="E114" s="704" t="str">
        <f>(IF(E112="","",IF(G114="","",
IF($M$19=1,EDATE(E112,-1),
IF(AND($M$19=2,B112=1),EOMONTH(E112,-2)+16,
IF(AND($M$19=2,B112=16),EOMONTH(E112,-1)+1,
IF($M$19=3,E112-14,
IF($M$19=4,E112-7,
""))))))))</f>
        <v/>
      </c>
      <c r="F114" s="654" t="s">
        <v>240</v>
      </c>
      <c r="G114" s="704" t="str">
        <f>IF(E112="","",
IF($L$13=3,E112-1,
IF(AND($L$13=2,E112-1&gt;=$V$19,YEAR(E112-1)&gt;=($K$30-1)),E112-1,"")))</f>
        <v/>
      </c>
      <c r="H114" s="660"/>
      <c r="I114" s="654" t="s">
        <v>240</v>
      </c>
      <c r="J114" s="660"/>
      <c r="K114" s="969"/>
      <c r="L114" s="1547"/>
      <c r="M114" s="1548"/>
      <c r="N114" s="677"/>
      <c r="O114" s="655"/>
      <c r="P114" s="656"/>
      <c r="Q114" s="655"/>
      <c r="R114" s="655"/>
      <c r="S114" s="655"/>
      <c r="T114" s="655"/>
      <c r="U114" s="657"/>
      <c r="V114" s="655"/>
      <c r="W114" s="655"/>
      <c r="X114" s="655"/>
      <c r="Y114" s="657"/>
      <c r="Z114" s="1030"/>
      <c r="AA114" s="1030"/>
      <c r="AB114" s="1030"/>
      <c r="AC114" s="1030"/>
      <c r="AD114" s="1030"/>
      <c r="AE114" s="1031"/>
      <c r="AF114" s="1031"/>
      <c r="AG114" s="1030"/>
      <c r="AH114" s="1030"/>
      <c r="AI114" s="1030"/>
      <c r="AJ114" s="1030"/>
      <c r="AK114" s="1030"/>
      <c r="AL114" s="1030"/>
      <c r="AM114" s="1030"/>
      <c r="AN114" s="1030"/>
      <c r="AO114" s="1030"/>
      <c r="AP114" s="1030"/>
      <c r="AQ114" s="1030"/>
      <c r="AR114" s="1030"/>
      <c r="AS114" s="1030"/>
      <c r="AT114" s="1030"/>
      <c r="AU114" s="1030"/>
      <c r="AV114" s="1030"/>
      <c r="AW114" s="1030"/>
      <c r="AX114" s="1030"/>
      <c r="AY114" s="1030"/>
      <c r="AZ114" s="1030"/>
      <c r="BA114" s="1030"/>
      <c r="BB114" s="1030"/>
    </row>
    <row r="115" spans="1:54" ht="3" hidden="1" customHeight="1" x14ac:dyDescent="0.3">
      <c r="A115" s="779"/>
      <c r="B115" s="779"/>
      <c r="C115" s="679"/>
      <c r="D115" s="144"/>
      <c r="E115" s="671"/>
      <c r="F115" s="671"/>
      <c r="G115" s="671"/>
      <c r="H115" s="671"/>
      <c r="I115" s="671"/>
      <c r="J115" s="671"/>
      <c r="K115" s="969"/>
      <c r="L115" s="38"/>
      <c r="M115" s="38"/>
      <c r="N115" s="680"/>
      <c r="O115" s="45"/>
      <c r="P115" s="45"/>
      <c r="Q115" s="45"/>
      <c r="R115" s="45"/>
      <c r="S115" s="45"/>
      <c r="T115" s="45"/>
      <c r="U115" s="45"/>
      <c r="V115" s="45"/>
      <c r="W115" s="45"/>
      <c r="X115" s="45"/>
      <c r="Y115" s="38"/>
      <c r="Z115" s="556"/>
      <c r="AA115" s="556"/>
      <c r="AB115" s="556"/>
      <c r="AC115" s="556"/>
      <c r="AD115" s="556"/>
      <c r="AE115" s="977"/>
      <c r="AF115" s="977"/>
      <c r="AG115" s="556"/>
      <c r="AH115" s="556"/>
      <c r="AI115" s="556"/>
      <c r="AJ115" s="556"/>
      <c r="AK115" s="556"/>
      <c r="AL115" s="556"/>
      <c r="AM115" s="556"/>
      <c r="AN115" s="556"/>
      <c r="AO115" s="556"/>
      <c r="AP115" s="556"/>
      <c r="AQ115" s="556"/>
      <c r="AR115" s="556"/>
      <c r="AS115" s="556"/>
      <c r="AT115" s="556"/>
      <c r="AU115" s="556"/>
      <c r="AV115" s="556"/>
      <c r="AW115" s="556"/>
      <c r="AX115" s="556"/>
      <c r="AY115" s="556"/>
      <c r="AZ115" s="556"/>
      <c r="BA115" s="556"/>
      <c r="BB115" s="556"/>
    </row>
    <row r="116" spans="1:54" s="374" customFormat="1" ht="15.6" hidden="1" x14ac:dyDescent="0.3">
      <c r="A116" s="1032" t="s">
        <v>847</v>
      </c>
      <c r="B116" s="732" t="str">
        <f>IF(E116="","",DAY(E116))</f>
        <v/>
      </c>
      <c r="C116" s="676" t="str">
        <f>CONCATENATE(C114+1,".")</f>
        <v>42.</v>
      </c>
      <c r="D116" s="654"/>
      <c r="E116" s="704" t="str">
        <f>(IF(E114="","",IF(G116="","",
IF($M$19=1,EDATE(E114,-1),
IF(AND($M$19=2,B114=1),EOMONTH(E114,-2)+16,
IF(AND($M$19=2,B114=16),EOMONTH(E114,-1)+1,
IF($M$19=3,E114-14,
IF($M$19=4,E114-7,
""))))))))</f>
        <v/>
      </c>
      <c r="F116" s="654" t="s">
        <v>240</v>
      </c>
      <c r="G116" s="704" t="str">
        <f>IF(E114="","",
IF($L$13=3,E114-1,
IF(AND($L$13=2,E114-1&gt;=$V$19,YEAR(E114-1)&gt;=($K$30-1)),E114-1,"")))</f>
        <v/>
      </c>
      <c r="H116" s="660"/>
      <c r="I116" s="654" t="s">
        <v>240</v>
      </c>
      <c r="J116" s="660"/>
      <c r="K116" s="969"/>
      <c r="L116" s="1547"/>
      <c r="M116" s="1548"/>
      <c r="N116" s="677"/>
      <c r="O116" s="655"/>
      <c r="P116" s="656"/>
      <c r="Q116" s="655"/>
      <c r="R116" s="655"/>
      <c r="S116" s="655"/>
      <c r="T116" s="655"/>
      <c r="U116" s="657"/>
      <c r="V116" s="655"/>
      <c r="W116" s="655"/>
      <c r="X116" s="655"/>
      <c r="Y116" s="657"/>
      <c r="Z116" s="1030"/>
      <c r="AA116" s="1030"/>
      <c r="AB116" s="1030"/>
      <c r="AC116" s="1030"/>
      <c r="AD116" s="1030"/>
      <c r="AE116" s="1031"/>
      <c r="AF116" s="1031"/>
      <c r="AG116" s="1030"/>
      <c r="AH116" s="1030"/>
      <c r="AI116" s="1030"/>
      <c r="AJ116" s="1030"/>
      <c r="AK116" s="1030"/>
      <c r="AL116" s="1030"/>
      <c r="AM116" s="1030"/>
      <c r="AN116" s="1030"/>
      <c r="AO116" s="1030"/>
      <c r="AP116" s="1030"/>
      <c r="AQ116" s="1030"/>
      <c r="AR116" s="1030"/>
      <c r="AS116" s="1030"/>
      <c r="AT116" s="1030"/>
      <c r="AU116" s="1030"/>
      <c r="AV116" s="1030"/>
      <c r="AW116" s="1030"/>
      <c r="AX116" s="1030"/>
      <c r="AY116" s="1030"/>
      <c r="AZ116" s="1030"/>
      <c r="BA116" s="1030"/>
      <c r="BB116" s="1030"/>
    </row>
    <row r="117" spans="1:54" ht="3" hidden="1" customHeight="1" x14ac:dyDescent="0.3">
      <c r="A117" s="779"/>
      <c r="B117" s="779"/>
      <c r="C117" s="679"/>
      <c r="D117" s="144"/>
      <c r="E117" s="671"/>
      <c r="F117" s="671"/>
      <c r="G117" s="671"/>
      <c r="H117" s="671"/>
      <c r="I117" s="671"/>
      <c r="J117" s="671"/>
      <c r="K117" s="969"/>
      <c r="L117" s="38"/>
      <c r="M117" s="38"/>
      <c r="N117" s="680"/>
      <c r="O117" s="45"/>
      <c r="P117" s="45"/>
      <c r="Q117" s="45"/>
      <c r="R117" s="45"/>
      <c r="S117" s="45"/>
      <c r="T117" s="45"/>
      <c r="U117" s="45"/>
      <c r="V117" s="45"/>
      <c r="W117" s="45"/>
      <c r="X117" s="45"/>
      <c r="Y117" s="38"/>
      <c r="Z117" s="556"/>
      <c r="AA117" s="556"/>
      <c r="AB117" s="556"/>
      <c r="AC117" s="556"/>
      <c r="AD117" s="556"/>
      <c r="AE117" s="977"/>
      <c r="AF117" s="977"/>
      <c r="AG117" s="556"/>
      <c r="AH117" s="556"/>
      <c r="AI117" s="556"/>
      <c r="AJ117" s="556"/>
      <c r="AK117" s="556"/>
      <c r="AL117" s="556"/>
      <c r="AM117" s="556"/>
      <c r="AN117" s="556"/>
      <c r="AO117" s="556"/>
      <c r="AP117" s="556"/>
      <c r="AQ117" s="556"/>
      <c r="AR117" s="556"/>
      <c r="AS117" s="556"/>
      <c r="AT117" s="556"/>
      <c r="AU117" s="556"/>
      <c r="AV117" s="556"/>
      <c r="AW117" s="556"/>
      <c r="AX117" s="556"/>
      <c r="AY117" s="556"/>
      <c r="AZ117" s="556"/>
      <c r="BA117" s="556"/>
      <c r="BB117" s="556"/>
    </row>
    <row r="118" spans="1:54" s="374" customFormat="1" ht="15.6" hidden="1" x14ac:dyDescent="0.3">
      <c r="A118" s="1032" t="s">
        <v>847</v>
      </c>
      <c r="B118" s="732" t="str">
        <f>IF(E118="","",DAY(E118))</f>
        <v/>
      </c>
      <c r="C118" s="676" t="str">
        <f>CONCATENATE(C116+1,".")</f>
        <v>43.</v>
      </c>
      <c r="D118" s="654"/>
      <c r="E118" s="704" t="str">
        <f>(IF(E116="","",IF(G118="","",
IF($M$19=1,EDATE(E116,-1),
IF(AND($M$19=2,B116=1),EOMONTH(E116,-2)+16,
IF(AND($M$19=2,B116=16),EOMONTH(E116,-1)+1,
IF($M$19=3,E116-14,
IF($M$19=4,E116-7,
""))))))))</f>
        <v/>
      </c>
      <c r="F118" s="654" t="s">
        <v>240</v>
      </c>
      <c r="G118" s="704" t="str">
        <f>IF(E116="","",
IF($L$13=3,E116-1,
IF(AND($L$13=2,E116-1&gt;=$V$19,YEAR(E116-1)&gt;=($K$30-1)),E116-1,"")))</f>
        <v/>
      </c>
      <c r="H118" s="660"/>
      <c r="I118" s="654" t="s">
        <v>240</v>
      </c>
      <c r="J118" s="660"/>
      <c r="K118" s="969"/>
      <c r="L118" s="1547"/>
      <c r="M118" s="1548"/>
      <c r="N118" s="677"/>
      <c r="O118" s="655"/>
      <c r="P118" s="656"/>
      <c r="Q118" s="655"/>
      <c r="R118" s="655"/>
      <c r="S118" s="655"/>
      <c r="T118" s="655"/>
      <c r="U118" s="657"/>
      <c r="V118" s="655"/>
      <c r="W118" s="655"/>
      <c r="X118" s="655"/>
      <c r="Y118" s="657"/>
      <c r="Z118" s="1030"/>
      <c r="AA118" s="1030"/>
      <c r="AB118" s="1030"/>
      <c r="AC118" s="1030"/>
      <c r="AD118" s="1030"/>
      <c r="AE118" s="1031"/>
      <c r="AF118" s="1031"/>
      <c r="AG118" s="1030"/>
      <c r="AH118" s="1030"/>
      <c r="AI118" s="1030"/>
      <c r="AJ118" s="1030"/>
      <c r="AK118" s="1030"/>
      <c r="AL118" s="1030"/>
      <c r="AM118" s="1030"/>
      <c r="AN118" s="1030"/>
      <c r="AO118" s="1030"/>
      <c r="AP118" s="1030"/>
      <c r="AQ118" s="1030"/>
      <c r="AR118" s="1030"/>
      <c r="AS118" s="1030"/>
      <c r="AT118" s="1030"/>
      <c r="AU118" s="1030"/>
      <c r="AV118" s="1030"/>
      <c r="AW118" s="1030"/>
      <c r="AX118" s="1030"/>
      <c r="AY118" s="1030"/>
      <c r="AZ118" s="1030"/>
      <c r="BA118" s="1030"/>
      <c r="BB118" s="1030"/>
    </row>
    <row r="119" spans="1:54" ht="3" hidden="1" customHeight="1" x14ac:dyDescent="0.3">
      <c r="A119" s="779"/>
      <c r="B119" s="779"/>
      <c r="C119" s="679"/>
      <c r="D119" s="668"/>
      <c r="E119" s="669"/>
      <c r="F119" s="670"/>
      <c r="G119" s="669"/>
      <c r="H119" s="669"/>
      <c r="I119" s="670"/>
      <c r="J119" s="669"/>
      <c r="K119" s="969"/>
      <c r="L119" s="38"/>
      <c r="M119" s="38"/>
      <c r="N119" s="680"/>
      <c r="O119" s="45"/>
      <c r="P119" s="45"/>
      <c r="Q119" s="38"/>
      <c r="R119" s="45"/>
      <c r="S119" s="45"/>
      <c r="T119" s="45"/>
      <c r="U119" s="45"/>
      <c r="V119" s="45"/>
      <c r="W119" s="45"/>
      <c r="X119" s="45"/>
      <c r="Y119" s="38"/>
      <c r="Z119" s="556"/>
      <c r="AA119" s="556"/>
      <c r="AB119" s="556"/>
      <c r="AC119" s="556"/>
      <c r="AD119" s="556"/>
      <c r="AE119" s="977"/>
      <c r="AF119" s="977"/>
      <c r="AG119" s="556"/>
      <c r="AH119" s="556"/>
      <c r="AI119" s="556"/>
      <c r="AJ119" s="556"/>
      <c r="AK119" s="556"/>
      <c r="AL119" s="556"/>
      <c r="AM119" s="556"/>
      <c r="AN119" s="556"/>
      <c r="AO119" s="556"/>
      <c r="AP119" s="556"/>
      <c r="AQ119" s="556"/>
      <c r="AR119" s="556"/>
      <c r="AS119" s="556"/>
      <c r="AT119" s="556"/>
      <c r="AU119" s="556"/>
      <c r="AV119" s="556"/>
      <c r="AW119" s="556"/>
      <c r="AX119" s="556"/>
      <c r="AY119" s="556"/>
      <c r="AZ119" s="556"/>
      <c r="BA119" s="556"/>
      <c r="BB119" s="556"/>
    </row>
    <row r="120" spans="1:54" s="374" customFormat="1" ht="15.6" hidden="1" x14ac:dyDescent="0.3">
      <c r="A120" s="1032" t="s">
        <v>847</v>
      </c>
      <c r="B120" s="732" t="str">
        <f>IF(E120="","",DAY(E120))</f>
        <v/>
      </c>
      <c r="C120" s="676" t="str">
        <f>CONCATENATE(C118+1,".")</f>
        <v>44.</v>
      </c>
      <c r="D120" s="654"/>
      <c r="E120" s="704" t="str">
        <f>(IF(E118="","",IF(G120="","",
IF($M$19=1,EDATE(E118,-1),
IF(AND($M$19=2,B118=1),EOMONTH(E118,-2)+16,
IF(AND($M$19=2,B118=16),EOMONTH(E118,-1)+1,
IF($M$19=3,E118-14,
IF($M$19=4,E118-7,
""))))))))</f>
        <v/>
      </c>
      <c r="F120" s="654" t="s">
        <v>240</v>
      </c>
      <c r="G120" s="704" t="str">
        <f>IF(E118="","",
IF($L$13=3,E118-1,
IF(AND($L$13=2,E118-1&gt;=$V$19,YEAR(E118-1)&gt;=($K$30-1)),E118-1,"")))</f>
        <v/>
      </c>
      <c r="H120" s="660"/>
      <c r="I120" s="654" t="s">
        <v>240</v>
      </c>
      <c r="J120" s="660"/>
      <c r="K120" s="969"/>
      <c r="L120" s="1547"/>
      <c r="M120" s="1548"/>
      <c r="N120" s="677"/>
      <c r="O120" s="655"/>
      <c r="P120" s="656"/>
      <c r="Q120" s="655"/>
      <c r="R120" s="655"/>
      <c r="S120" s="655"/>
      <c r="T120" s="655"/>
      <c r="U120" s="657"/>
      <c r="V120" s="655"/>
      <c r="W120" s="655"/>
      <c r="X120" s="655"/>
      <c r="Y120" s="657"/>
      <c r="Z120" s="1030"/>
      <c r="AA120" s="1030"/>
      <c r="AB120" s="1030"/>
      <c r="AC120" s="1030"/>
      <c r="AD120" s="1030"/>
      <c r="AE120" s="1031"/>
      <c r="AF120" s="1031"/>
      <c r="AG120" s="1030"/>
      <c r="AH120" s="1030"/>
      <c r="AI120" s="1030"/>
      <c r="AJ120" s="1030"/>
      <c r="AK120" s="1030"/>
      <c r="AL120" s="1030"/>
      <c r="AM120" s="1030"/>
      <c r="AN120" s="1030"/>
      <c r="AO120" s="1030"/>
      <c r="AP120" s="1030"/>
      <c r="AQ120" s="1030"/>
      <c r="AR120" s="1030"/>
      <c r="AS120" s="1030"/>
      <c r="AT120" s="1030"/>
      <c r="AU120" s="1030"/>
      <c r="AV120" s="1030"/>
      <c r="AW120" s="1030"/>
      <c r="AX120" s="1030"/>
      <c r="AY120" s="1030"/>
      <c r="AZ120" s="1030"/>
      <c r="BA120" s="1030"/>
      <c r="BB120" s="1030"/>
    </row>
    <row r="121" spans="1:54" ht="3" hidden="1" customHeight="1" x14ac:dyDescent="0.3">
      <c r="A121" s="779"/>
      <c r="B121" s="779"/>
      <c r="C121" s="679"/>
      <c r="D121" s="117"/>
      <c r="E121" s="671"/>
      <c r="F121" s="671"/>
      <c r="G121" s="671"/>
      <c r="H121" s="671"/>
      <c r="I121" s="671"/>
      <c r="J121" s="671"/>
      <c r="K121" s="969"/>
      <c r="L121" s="38"/>
      <c r="M121" s="38"/>
      <c r="N121" s="680"/>
      <c r="O121" s="45"/>
      <c r="P121" s="45"/>
      <c r="Q121" s="45"/>
      <c r="R121" s="45"/>
      <c r="S121" s="45"/>
      <c r="T121" s="45"/>
      <c r="U121" s="45"/>
      <c r="V121" s="45"/>
      <c r="W121" s="45"/>
      <c r="X121" s="45"/>
      <c r="Y121" s="38"/>
      <c r="Z121" s="556"/>
      <c r="AA121" s="556"/>
      <c r="AB121" s="556"/>
      <c r="AC121" s="556"/>
      <c r="AD121" s="556"/>
      <c r="AE121" s="977"/>
      <c r="AF121" s="977"/>
      <c r="AG121" s="556"/>
      <c r="AH121" s="556"/>
      <c r="AI121" s="556"/>
      <c r="AJ121" s="556"/>
      <c r="AK121" s="556"/>
      <c r="AL121" s="556"/>
      <c r="AM121" s="556"/>
      <c r="AN121" s="556"/>
      <c r="AO121" s="556"/>
      <c r="AP121" s="556"/>
      <c r="AQ121" s="556"/>
      <c r="AR121" s="556"/>
      <c r="AS121" s="556"/>
      <c r="AT121" s="556"/>
      <c r="AU121" s="556"/>
      <c r="AV121" s="556"/>
      <c r="AW121" s="556"/>
      <c r="AX121" s="556"/>
      <c r="AY121" s="556"/>
      <c r="AZ121" s="556"/>
      <c r="BA121" s="556"/>
      <c r="BB121" s="556"/>
    </row>
    <row r="122" spans="1:54" s="374" customFormat="1" ht="15.6" hidden="1" x14ac:dyDescent="0.3">
      <c r="A122" s="1032" t="s">
        <v>847</v>
      </c>
      <c r="B122" s="732" t="str">
        <f>IF(E122="","",DAY(E122))</f>
        <v/>
      </c>
      <c r="C122" s="676" t="str">
        <f>CONCATENATE(C120+1,".")</f>
        <v>45.</v>
      </c>
      <c r="D122" s="654"/>
      <c r="E122" s="704" t="str">
        <f>(IF(E120="","",IF(G122="","",
IF($M$19=1,EDATE(E120,-1),
IF(AND($M$19=2,B120=1),EOMONTH(E120,-2)+16,
IF(AND($M$19=2,B120=16),EOMONTH(E120,-1)+1,
IF($M$19=3,E120-14,
IF($M$19=4,E120-7,
""))))))))</f>
        <v/>
      </c>
      <c r="F122" s="654" t="s">
        <v>240</v>
      </c>
      <c r="G122" s="704" t="str">
        <f>IF(E120="","",
IF($L$13=3,E120-1,
IF(AND($L$13=2,E120-1&gt;=$V$19,YEAR(E120-1)&gt;=($K$30-1)),E120-1,"")))</f>
        <v/>
      </c>
      <c r="H122" s="660"/>
      <c r="I122" s="654" t="s">
        <v>240</v>
      </c>
      <c r="J122" s="660"/>
      <c r="K122" s="969"/>
      <c r="L122" s="1547"/>
      <c r="M122" s="1548"/>
      <c r="N122" s="677"/>
      <c r="O122" s="655"/>
      <c r="P122" s="656"/>
      <c r="Q122" s="655"/>
      <c r="R122" s="655"/>
      <c r="S122" s="655"/>
      <c r="T122" s="655"/>
      <c r="U122" s="657"/>
      <c r="V122" s="655"/>
      <c r="W122" s="655"/>
      <c r="X122" s="655"/>
      <c r="Y122" s="657"/>
      <c r="Z122" s="1030"/>
      <c r="AA122" s="1030"/>
      <c r="AB122" s="1030"/>
      <c r="AC122" s="1030"/>
      <c r="AD122" s="1030"/>
      <c r="AE122" s="1031"/>
      <c r="AF122" s="1031"/>
      <c r="AG122" s="1030"/>
      <c r="AH122" s="1030"/>
      <c r="AI122" s="1030"/>
      <c r="AJ122" s="1030"/>
      <c r="AK122" s="1030"/>
      <c r="AL122" s="1030"/>
      <c r="AM122" s="1030"/>
      <c r="AN122" s="1030"/>
      <c r="AO122" s="1030"/>
      <c r="AP122" s="1030"/>
      <c r="AQ122" s="1030"/>
      <c r="AR122" s="1030"/>
      <c r="AS122" s="1030"/>
      <c r="AT122" s="1030"/>
      <c r="AU122" s="1030"/>
      <c r="AV122" s="1030"/>
      <c r="AW122" s="1030"/>
      <c r="AX122" s="1030"/>
      <c r="AY122" s="1030"/>
      <c r="AZ122" s="1030"/>
      <c r="BA122" s="1030"/>
      <c r="BB122" s="1030"/>
    </row>
    <row r="123" spans="1:54" ht="3" hidden="1" customHeight="1" x14ac:dyDescent="0.3">
      <c r="A123" s="779"/>
      <c r="B123" s="779"/>
      <c r="C123" s="679"/>
      <c r="D123" s="144"/>
      <c r="E123" s="671"/>
      <c r="F123" s="671"/>
      <c r="G123" s="671"/>
      <c r="H123" s="671"/>
      <c r="I123" s="671"/>
      <c r="J123" s="671"/>
      <c r="K123" s="969"/>
      <c r="L123" s="38"/>
      <c r="M123" s="38"/>
      <c r="N123" s="680"/>
      <c r="O123" s="45"/>
      <c r="P123" s="45"/>
      <c r="Q123" s="45"/>
      <c r="R123" s="45"/>
      <c r="S123" s="45"/>
      <c r="T123" s="45"/>
      <c r="U123" s="45"/>
      <c r="V123" s="45"/>
      <c r="W123" s="45"/>
      <c r="X123" s="45"/>
      <c r="Y123" s="38"/>
      <c r="Z123" s="556"/>
      <c r="AA123" s="556"/>
      <c r="AB123" s="556"/>
      <c r="AC123" s="556"/>
      <c r="AD123" s="556"/>
      <c r="AE123" s="977"/>
      <c r="AF123" s="977"/>
      <c r="AG123" s="556"/>
      <c r="AH123" s="556"/>
      <c r="AI123" s="556"/>
      <c r="AJ123" s="556"/>
      <c r="AK123" s="556"/>
      <c r="AL123" s="556"/>
      <c r="AM123" s="556"/>
      <c r="AN123" s="556"/>
      <c r="AO123" s="556"/>
      <c r="AP123" s="556"/>
      <c r="AQ123" s="556"/>
      <c r="AR123" s="556"/>
      <c r="AS123" s="556"/>
      <c r="AT123" s="556"/>
      <c r="AU123" s="556"/>
      <c r="AV123" s="556"/>
      <c r="AW123" s="556"/>
      <c r="AX123" s="556"/>
      <c r="AY123" s="556"/>
      <c r="AZ123" s="556"/>
      <c r="BA123" s="556"/>
      <c r="BB123" s="556"/>
    </row>
    <row r="124" spans="1:54" s="374" customFormat="1" ht="15.6" hidden="1" x14ac:dyDescent="0.3">
      <c r="A124" s="1032" t="s">
        <v>847</v>
      </c>
      <c r="B124" s="732" t="str">
        <f>IF(E124="","",DAY(E124))</f>
        <v/>
      </c>
      <c r="C124" s="676" t="str">
        <f>CONCATENATE(C122+1,".")</f>
        <v>46.</v>
      </c>
      <c r="D124" s="654"/>
      <c r="E124" s="704" t="str">
        <f>(IF(E122="","",IF(G124="","",
IF($M$19=1,EDATE(E122,-1),
IF(AND($M$19=2,B122=1),EOMONTH(E122,-2)+16,
IF(AND($M$19=2,B122=16),EOMONTH(E122,-1)+1,
IF($M$19=3,E122-14,
IF($M$19=4,E122-7,
""))))))))</f>
        <v/>
      </c>
      <c r="F124" s="654" t="s">
        <v>240</v>
      </c>
      <c r="G124" s="704" t="str">
        <f>IF(E122="","",
IF($L$13=3,E122-1,
IF(AND($L$13=2,E122-1&gt;=$V$19,YEAR(E122-1)&gt;=($K$30-1)),E122-1,"")))</f>
        <v/>
      </c>
      <c r="H124" s="660"/>
      <c r="I124" s="654" t="s">
        <v>240</v>
      </c>
      <c r="J124" s="660"/>
      <c r="K124" s="969"/>
      <c r="L124" s="1547"/>
      <c r="M124" s="1548"/>
      <c r="N124" s="677"/>
      <c r="O124" s="655"/>
      <c r="P124" s="656"/>
      <c r="Q124" s="655"/>
      <c r="R124" s="655"/>
      <c r="S124" s="655"/>
      <c r="T124" s="655"/>
      <c r="U124" s="657"/>
      <c r="V124" s="655"/>
      <c r="W124" s="655"/>
      <c r="X124" s="655"/>
      <c r="Y124" s="657"/>
      <c r="Z124" s="1030"/>
      <c r="AA124" s="1030"/>
      <c r="AB124" s="1030"/>
      <c r="AC124" s="1030"/>
      <c r="AD124" s="1030"/>
      <c r="AE124" s="1031"/>
      <c r="AF124" s="1031"/>
      <c r="AG124" s="1030"/>
      <c r="AH124" s="1030"/>
      <c r="AI124" s="1030"/>
      <c r="AJ124" s="1030"/>
      <c r="AK124" s="1030"/>
      <c r="AL124" s="1030"/>
      <c r="AM124" s="1030"/>
      <c r="AN124" s="1030"/>
      <c r="AO124" s="1030"/>
      <c r="AP124" s="1030"/>
      <c r="AQ124" s="1030"/>
      <c r="AR124" s="1030"/>
      <c r="AS124" s="1030"/>
      <c r="AT124" s="1030"/>
      <c r="AU124" s="1030"/>
      <c r="AV124" s="1030"/>
      <c r="AW124" s="1030"/>
      <c r="AX124" s="1030"/>
      <c r="AY124" s="1030"/>
      <c r="AZ124" s="1030"/>
      <c r="BA124" s="1030"/>
      <c r="BB124" s="1030"/>
    </row>
    <row r="125" spans="1:54" ht="3" hidden="1" customHeight="1" x14ac:dyDescent="0.3">
      <c r="A125" s="779"/>
      <c r="B125" s="779"/>
      <c r="C125" s="679"/>
      <c r="D125" s="668"/>
      <c r="E125" s="669"/>
      <c r="F125" s="670"/>
      <c r="G125" s="669"/>
      <c r="H125" s="669"/>
      <c r="I125" s="670"/>
      <c r="J125" s="669"/>
      <c r="K125" s="969"/>
      <c r="L125" s="38"/>
      <c r="M125" s="38"/>
      <c r="N125" s="680"/>
      <c r="O125" s="45"/>
      <c r="P125" s="45"/>
      <c r="Q125" s="38"/>
      <c r="R125" s="45"/>
      <c r="S125" s="45"/>
      <c r="T125" s="45"/>
      <c r="U125" s="45"/>
      <c r="V125" s="45"/>
      <c r="W125" s="45"/>
      <c r="X125" s="45"/>
      <c r="Y125" s="38"/>
      <c r="Z125" s="556"/>
      <c r="AA125" s="556"/>
      <c r="AB125" s="556"/>
      <c r="AC125" s="556"/>
      <c r="AD125" s="556"/>
      <c r="AE125" s="977"/>
      <c r="AF125" s="977"/>
      <c r="AG125" s="556"/>
      <c r="AH125" s="556"/>
      <c r="AI125" s="556"/>
      <c r="AJ125" s="556"/>
      <c r="AK125" s="556"/>
      <c r="AL125" s="556"/>
      <c r="AM125" s="556"/>
      <c r="AN125" s="556"/>
      <c r="AO125" s="556"/>
      <c r="AP125" s="556"/>
      <c r="AQ125" s="556"/>
      <c r="AR125" s="556"/>
      <c r="AS125" s="556"/>
      <c r="AT125" s="556"/>
      <c r="AU125" s="556"/>
      <c r="AV125" s="556"/>
      <c r="AW125" s="556"/>
      <c r="AX125" s="556"/>
      <c r="AY125" s="556"/>
      <c r="AZ125" s="556"/>
      <c r="BA125" s="556"/>
      <c r="BB125" s="556"/>
    </row>
    <row r="126" spans="1:54" s="374" customFormat="1" ht="15.6" hidden="1" x14ac:dyDescent="0.3">
      <c r="A126" s="1032" t="s">
        <v>847</v>
      </c>
      <c r="B126" s="732" t="str">
        <f>IF(E126="","",DAY(E126))</f>
        <v/>
      </c>
      <c r="C126" s="676" t="str">
        <f>CONCATENATE(C124+1,".")</f>
        <v>47.</v>
      </c>
      <c r="D126" s="654"/>
      <c r="E126" s="704" t="str">
        <f>(IF(E124="","",IF(G126="","",
IF($M$19=1,EDATE(E124,-1),
IF(AND($M$19=2,B124=1),EOMONTH(E124,-2)+16,
IF(AND($M$19=2,B124=16),EOMONTH(E124,-1)+1,
IF($M$19=3,E124-14,
IF($M$19=4,E124-7,
""))))))))</f>
        <v/>
      </c>
      <c r="F126" s="654" t="s">
        <v>240</v>
      </c>
      <c r="G126" s="704" t="str">
        <f>IF(E124="","",
IF($L$13=3,E124-1,
IF(AND($L$13=2,E124-1&gt;=$V$19,YEAR(E124-1)&gt;=($K$30-1)),E124-1,"")))</f>
        <v/>
      </c>
      <c r="H126" s="660"/>
      <c r="I126" s="654" t="s">
        <v>240</v>
      </c>
      <c r="J126" s="660"/>
      <c r="K126" s="969"/>
      <c r="L126" s="1547"/>
      <c r="M126" s="1548"/>
      <c r="N126" s="677"/>
      <c r="O126" s="655"/>
      <c r="P126" s="656"/>
      <c r="Q126" s="655"/>
      <c r="R126" s="655"/>
      <c r="S126" s="655"/>
      <c r="T126" s="655"/>
      <c r="U126" s="657"/>
      <c r="V126" s="655"/>
      <c r="W126" s="655"/>
      <c r="X126" s="655"/>
      <c r="Y126" s="657"/>
      <c r="Z126" s="1030"/>
      <c r="AA126" s="1030"/>
      <c r="AB126" s="1030"/>
      <c r="AC126" s="1030"/>
      <c r="AD126" s="1030"/>
      <c r="AE126" s="1031"/>
      <c r="AF126" s="1031"/>
      <c r="AG126" s="1030"/>
      <c r="AH126" s="1030"/>
      <c r="AI126" s="1030"/>
      <c r="AJ126" s="1030"/>
      <c r="AK126" s="1030"/>
      <c r="AL126" s="1030"/>
      <c r="AM126" s="1030"/>
      <c r="AN126" s="1030"/>
      <c r="AO126" s="1030"/>
      <c r="AP126" s="1030"/>
      <c r="AQ126" s="1030"/>
      <c r="AR126" s="1030"/>
      <c r="AS126" s="1030"/>
      <c r="AT126" s="1030"/>
      <c r="AU126" s="1030"/>
      <c r="AV126" s="1030"/>
      <c r="AW126" s="1030"/>
      <c r="AX126" s="1030"/>
      <c r="AY126" s="1030"/>
      <c r="AZ126" s="1030"/>
      <c r="BA126" s="1030"/>
      <c r="BB126" s="1030"/>
    </row>
    <row r="127" spans="1:54" ht="3" hidden="1" customHeight="1" x14ac:dyDescent="0.3">
      <c r="A127" s="779"/>
      <c r="B127" s="779"/>
      <c r="C127" s="679"/>
      <c r="D127" s="668"/>
      <c r="E127" s="669"/>
      <c r="F127" s="670"/>
      <c r="G127" s="669"/>
      <c r="H127" s="669"/>
      <c r="I127" s="670"/>
      <c r="J127" s="669"/>
      <c r="K127" s="969"/>
      <c r="L127" s="38"/>
      <c r="M127" s="38"/>
      <c r="N127" s="680"/>
      <c r="O127" s="45"/>
      <c r="P127" s="45"/>
      <c r="Q127" s="38"/>
      <c r="R127" s="45"/>
      <c r="S127" s="45"/>
      <c r="T127" s="45"/>
      <c r="U127" s="45"/>
      <c r="V127" s="45"/>
      <c r="W127" s="45"/>
      <c r="X127" s="45"/>
      <c r="Y127" s="38"/>
      <c r="Z127" s="556"/>
      <c r="AA127" s="556"/>
      <c r="AB127" s="556"/>
      <c r="AC127" s="556"/>
      <c r="AD127" s="556"/>
      <c r="AE127" s="977"/>
      <c r="AF127" s="977"/>
      <c r="AG127" s="556"/>
      <c r="AH127" s="556"/>
      <c r="AI127" s="556"/>
      <c r="AJ127" s="556"/>
      <c r="AK127" s="556"/>
      <c r="AL127" s="556"/>
      <c r="AM127" s="556"/>
      <c r="AN127" s="556"/>
      <c r="AO127" s="556"/>
      <c r="AP127" s="556"/>
      <c r="AQ127" s="556"/>
      <c r="AR127" s="556"/>
      <c r="AS127" s="556"/>
      <c r="AT127" s="556"/>
      <c r="AU127" s="556"/>
      <c r="AV127" s="556"/>
      <c r="AW127" s="556"/>
      <c r="AX127" s="556"/>
      <c r="AY127" s="556"/>
      <c r="AZ127" s="556"/>
      <c r="BA127" s="556"/>
      <c r="BB127" s="556"/>
    </row>
    <row r="128" spans="1:54" s="374" customFormat="1" ht="15.6" hidden="1" x14ac:dyDescent="0.3">
      <c r="A128" s="1032" t="s">
        <v>847</v>
      </c>
      <c r="B128" s="732" t="str">
        <f>IF(E128="","",DAY(E128))</f>
        <v/>
      </c>
      <c r="C128" s="676" t="str">
        <f>CONCATENATE(C126+1,".")</f>
        <v>48.</v>
      </c>
      <c r="D128" s="654"/>
      <c r="E128" s="704" t="str">
        <f>(IF(E126="","",IF(G128="","",
IF($M$19=1,EDATE(E126,-1),
IF(AND($M$19=2,B126=1),EOMONTH(E126,-2)+16,
IF(AND($M$19=2,B126=16),EOMONTH(E126,-1)+1,
IF($M$19=3,E126-14,
IF($M$19=4,E126-7,
""))))))))</f>
        <v/>
      </c>
      <c r="F128" s="654" t="s">
        <v>240</v>
      </c>
      <c r="G128" s="704" t="str">
        <f>IF(E126="","",
IF($L$13=3,E126-1,
IF(AND($L$13=2,E126-1&gt;=$V$19,YEAR(E126-1)&gt;=($K$30-1)),E126-1,"")))</f>
        <v/>
      </c>
      <c r="H128" s="660"/>
      <c r="I128" s="654" t="s">
        <v>240</v>
      </c>
      <c r="J128" s="660"/>
      <c r="K128" s="969"/>
      <c r="L128" s="1547"/>
      <c r="M128" s="1548"/>
      <c r="N128" s="677"/>
      <c r="O128" s="655"/>
      <c r="P128" s="656"/>
      <c r="Q128" s="655"/>
      <c r="R128" s="655"/>
      <c r="S128" s="655"/>
      <c r="T128" s="655"/>
      <c r="U128" s="657"/>
      <c r="V128" s="655"/>
      <c r="W128" s="655"/>
      <c r="X128" s="655"/>
      <c r="Y128" s="657"/>
      <c r="Z128" s="1030"/>
      <c r="AA128" s="1030"/>
      <c r="AB128" s="1030"/>
      <c r="AC128" s="1030"/>
      <c r="AD128" s="1030"/>
      <c r="AE128" s="1031"/>
      <c r="AF128" s="1031"/>
      <c r="AG128" s="1030"/>
      <c r="AH128" s="1030"/>
      <c r="AI128" s="1030"/>
      <c r="AJ128" s="1030"/>
      <c r="AK128" s="1030"/>
      <c r="AL128" s="1030"/>
      <c r="AM128" s="1030"/>
      <c r="AN128" s="1030"/>
      <c r="AO128" s="1030"/>
      <c r="AP128" s="1030"/>
      <c r="AQ128" s="1030"/>
      <c r="AR128" s="1030"/>
      <c r="AS128" s="1030"/>
      <c r="AT128" s="1030"/>
      <c r="AU128" s="1030"/>
      <c r="AV128" s="1030"/>
      <c r="AW128" s="1030"/>
      <c r="AX128" s="1030"/>
      <c r="AY128" s="1030"/>
      <c r="AZ128" s="1030"/>
      <c r="BA128" s="1030"/>
      <c r="BB128" s="1030"/>
    </row>
    <row r="129" spans="1:54" ht="3" hidden="1" customHeight="1" x14ac:dyDescent="0.3">
      <c r="A129" s="779"/>
      <c r="B129" s="779"/>
      <c r="C129" s="679"/>
      <c r="D129" s="668"/>
      <c r="E129" s="669"/>
      <c r="F129" s="670"/>
      <c r="G129" s="669"/>
      <c r="H129" s="669"/>
      <c r="I129" s="670"/>
      <c r="J129" s="669"/>
      <c r="K129" s="969"/>
      <c r="L129" s="134"/>
      <c r="M129" s="134"/>
      <c r="N129" s="680"/>
      <c r="O129" s="45"/>
      <c r="P129" s="45"/>
      <c r="Q129" s="38"/>
      <c r="R129" s="45"/>
      <c r="S129" s="45"/>
      <c r="T129" s="45"/>
      <c r="U129" s="45"/>
      <c r="V129" s="45"/>
      <c r="W129" s="45"/>
      <c r="X129" s="45"/>
      <c r="Y129" s="38"/>
      <c r="Z129" s="556"/>
      <c r="AA129" s="556"/>
      <c r="AB129" s="556"/>
      <c r="AC129" s="556"/>
      <c r="AD129" s="556"/>
      <c r="AE129" s="977"/>
      <c r="AF129" s="977"/>
      <c r="AG129" s="556"/>
      <c r="AH129" s="556"/>
      <c r="AI129" s="556"/>
      <c r="AJ129" s="556"/>
      <c r="AK129" s="556"/>
      <c r="AL129" s="556"/>
      <c r="AM129" s="556"/>
      <c r="AN129" s="556"/>
      <c r="AO129" s="556"/>
      <c r="AP129" s="556"/>
      <c r="AQ129" s="556"/>
      <c r="AR129" s="556"/>
      <c r="AS129" s="556"/>
      <c r="AT129" s="556"/>
      <c r="AU129" s="556"/>
      <c r="AV129" s="556"/>
      <c r="AW129" s="556"/>
      <c r="AX129" s="556"/>
      <c r="AY129" s="556"/>
      <c r="AZ129" s="556"/>
      <c r="BA129" s="556"/>
      <c r="BB129" s="556"/>
    </row>
    <row r="130" spans="1:54" s="374" customFormat="1" ht="15.6" hidden="1" x14ac:dyDescent="0.3">
      <c r="A130" s="1032" t="s">
        <v>847</v>
      </c>
      <c r="B130" s="732" t="str">
        <f>IF(E130="","",DAY(E130))</f>
        <v/>
      </c>
      <c r="C130" s="676" t="str">
        <f>CONCATENATE(C128+1,".")</f>
        <v>49.</v>
      </c>
      <c r="D130" s="654"/>
      <c r="E130" s="704" t="str">
        <f>(IF(E128="","",IF(G130="","",
IF($M$19=1,EDATE(E128,-1),
IF(AND($M$19=2,B128=1),EOMONTH(E128,-2)+16,
IF(AND($M$19=2,B128=16),EOMONTH(E128,-1)+1,
IF($M$19=3,E128-14,
IF($M$19=4,E128-7,
""))))))))</f>
        <v/>
      </c>
      <c r="F130" s="654" t="s">
        <v>240</v>
      </c>
      <c r="G130" s="704" t="str">
        <f>IF(E128="","",
IF($L$13=3,E128-1,
IF(AND($L$13=2,E128-1&gt;=$V$19,YEAR(E128-1)&gt;=($K$30-1)),E128-1,"")))</f>
        <v/>
      </c>
      <c r="H130" s="660"/>
      <c r="I130" s="654" t="s">
        <v>240</v>
      </c>
      <c r="J130" s="660"/>
      <c r="K130" s="969"/>
      <c r="L130" s="1547"/>
      <c r="M130" s="1548"/>
      <c r="N130" s="677"/>
      <c r="O130" s="655"/>
      <c r="P130" s="656"/>
      <c r="Q130" s="655"/>
      <c r="R130" s="655"/>
      <c r="S130" s="655"/>
      <c r="T130" s="655"/>
      <c r="U130" s="657"/>
      <c r="V130" s="655"/>
      <c r="W130" s="655"/>
      <c r="X130" s="655"/>
      <c r="Y130" s="657"/>
      <c r="Z130" s="1030"/>
      <c r="AA130" s="1030"/>
      <c r="AB130" s="1030"/>
      <c r="AC130" s="1030"/>
      <c r="AD130" s="1030"/>
      <c r="AE130" s="1031"/>
      <c r="AF130" s="1031"/>
      <c r="AG130" s="1030"/>
      <c r="AH130" s="1030"/>
      <c r="AI130" s="1030"/>
      <c r="AJ130" s="1030"/>
      <c r="AK130" s="1030"/>
      <c r="AL130" s="1030"/>
      <c r="AM130" s="1030"/>
      <c r="AN130" s="1030"/>
      <c r="AO130" s="1030"/>
      <c r="AP130" s="1030"/>
      <c r="AQ130" s="1030"/>
      <c r="AR130" s="1030"/>
      <c r="AS130" s="1030"/>
      <c r="AT130" s="1030"/>
      <c r="AU130" s="1030"/>
      <c r="AV130" s="1030"/>
      <c r="AW130" s="1030"/>
      <c r="AX130" s="1030"/>
      <c r="AY130" s="1030"/>
      <c r="AZ130" s="1030"/>
      <c r="BA130" s="1030"/>
      <c r="BB130" s="1030"/>
    </row>
    <row r="131" spans="1:54" ht="3" hidden="1" customHeight="1" x14ac:dyDescent="0.3">
      <c r="A131" s="779"/>
      <c r="B131" s="779"/>
      <c r="C131" s="679"/>
      <c r="D131" s="117"/>
      <c r="E131" s="671"/>
      <c r="F131" s="671"/>
      <c r="G131" s="671"/>
      <c r="H131" s="671"/>
      <c r="I131" s="671"/>
      <c r="J131" s="671"/>
      <c r="K131" s="969"/>
      <c r="L131" s="38"/>
      <c r="M131" s="38"/>
      <c r="N131" s="680"/>
      <c r="O131" s="45"/>
      <c r="P131" s="45"/>
      <c r="Q131" s="45"/>
      <c r="R131" s="45"/>
      <c r="S131" s="45"/>
      <c r="T131" s="45"/>
      <c r="U131" s="45"/>
      <c r="V131" s="45"/>
      <c r="W131" s="45"/>
      <c r="X131" s="45"/>
      <c r="Y131" s="38"/>
      <c r="Z131" s="556"/>
      <c r="AA131" s="556"/>
      <c r="AB131" s="556"/>
      <c r="AC131" s="556"/>
      <c r="AD131" s="556"/>
      <c r="AE131" s="977"/>
      <c r="AF131" s="977"/>
      <c r="AG131" s="556"/>
      <c r="AH131" s="556"/>
      <c r="AI131" s="556"/>
      <c r="AJ131" s="556"/>
      <c r="AK131" s="556"/>
      <c r="AL131" s="556"/>
      <c r="AM131" s="556"/>
      <c r="AN131" s="556"/>
      <c r="AO131" s="556"/>
      <c r="AP131" s="556"/>
      <c r="AQ131" s="556"/>
      <c r="AR131" s="556"/>
      <c r="AS131" s="556"/>
      <c r="AT131" s="556"/>
      <c r="AU131" s="556"/>
      <c r="AV131" s="556"/>
      <c r="AW131" s="556"/>
      <c r="AX131" s="556"/>
      <c r="AY131" s="556"/>
      <c r="AZ131" s="556"/>
      <c r="BA131" s="556"/>
      <c r="BB131" s="556"/>
    </row>
    <row r="132" spans="1:54" s="374" customFormat="1" ht="15.6" hidden="1" x14ac:dyDescent="0.3">
      <c r="A132" s="1032" t="s">
        <v>847</v>
      </c>
      <c r="B132" s="732" t="str">
        <f>IF(E132="","",DAY(E132))</f>
        <v/>
      </c>
      <c r="C132" s="676" t="str">
        <f>CONCATENATE(C130+1,".")</f>
        <v>50.</v>
      </c>
      <c r="D132" s="654"/>
      <c r="E132" s="704" t="str">
        <f>(IF(E130="","",IF(G132="","",
IF($M$19=1,EDATE(E130,-1),
IF(AND($M$19=2,B130=1),EOMONTH(E130,-2)+16,
IF(AND($M$19=2,B130=16),EOMONTH(E130,-1)+1,
IF($M$19=3,E130-14,
IF($M$19=4,E130-7,
""))))))))</f>
        <v/>
      </c>
      <c r="F132" s="654" t="s">
        <v>240</v>
      </c>
      <c r="G132" s="704" t="str">
        <f>IF(E130="","",
IF($L$13=3,E130-1,
IF(AND($L$13=2,E130-1&gt;=$V$19,YEAR(E130-1)&gt;=($K$30-1)),E130-1,"")))</f>
        <v/>
      </c>
      <c r="H132" s="660"/>
      <c r="I132" s="654" t="s">
        <v>240</v>
      </c>
      <c r="J132" s="660"/>
      <c r="K132" s="969"/>
      <c r="L132" s="1547"/>
      <c r="M132" s="1548"/>
      <c r="N132" s="677"/>
      <c r="O132" s="655"/>
      <c r="P132" s="656"/>
      <c r="Q132" s="655"/>
      <c r="R132" s="655"/>
      <c r="S132" s="655"/>
      <c r="T132" s="655"/>
      <c r="U132" s="657"/>
      <c r="V132" s="655"/>
      <c r="W132" s="655"/>
      <c r="X132" s="655"/>
      <c r="Y132" s="657"/>
      <c r="Z132" s="1030"/>
      <c r="AA132" s="1030"/>
      <c r="AB132" s="1030"/>
      <c r="AC132" s="1030"/>
      <c r="AD132" s="1030"/>
      <c r="AE132" s="1031"/>
      <c r="AF132" s="1031"/>
      <c r="AG132" s="1030"/>
      <c r="AH132" s="1030"/>
      <c r="AI132" s="1030"/>
      <c r="AJ132" s="1030"/>
      <c r="AK132" s="1030"/>
      <c r="AL132" s="1030"/>
      <c r="AM132" s="1030"/>
      <c r="AN132" s="1030"/>
      <c r="AO132" s="1030"/>
      <c r="AP132" s="1030"/>
      <c r="AQ132" s="1030"/>
      <c r="AR132" s="1030"/>
      <c r="AS132" s="1030"/>
      <c r="AT132" s="1030"/>
      <c r="AU132" s="1030"/>
      <c r="AV132" s="1030"/>
      <c r="AW132" s="1030"/>
      <c r="AX132" s="1030"/>
      <c r="AY132" s="1030"/>
      <c r="AZ132" s="1030"/>
      <c r="BA132" s="1030"/>
      <c r="BB132" s="1030"/>
    </row>
    <row r="133" spans="1:54" ht="3" hidden="1" customHeight="1" x14ac:dyDescent="0.3">
      <c r="A133" s="779"/>
      <c r="B133" s="779"/>
      <c r="C133" s="679"/>
      <c r="D133" s="144"/>
      <c r="E133" s="671"/>
      <c r="F133" s="671"/>
      <c r="G133" s="671"/>
      <c r="H133" s="671"/>
      <c r="I133" s="671"/>
      <c r="J133" s="671"/>
      <c r="K133" s="969"/>
      <c r="L133" s="38"/>
      <c r="M133" s="38"/>
      <c r="N133" s="680"/>
      <c r="O133" s="45"/>
      <c r="P133" s="45"/>
      <c r="Q133" s="45"/>
      <c r="R133" s="45"/>
      <c r="S133" s="45"/>
      <c r="T133" s="45"/>
      <c r="U133" s="45"/>
      <c r="V133" s="45"/>
      <c r="W133" s="45"/>
      <c r="X133" s="45"/>
      <c r="Y133" s="38"/>
      <c r="Z133" s="556"/>
      <c r="AA133" s="556"/>
      <c r="AB133" s="556"/>
      <c r="AC133" s="556"/>
      <c r="AD133" s="556"/>
      <c r="AE133" s="977"/>
      <c r="AF133" s="977"/>
      <c r="AG133" s="556"/>
      <c r="AH133" s="556"/>
      <c r="AI133" s="556"/>
      <c r="AJ133" s="556"/>
      <c r="AK133" s="556"/>
      <c r="AL133" s="556"/>
      <c r="AM133" s="556"/>
      <c r="AN133" s="556"/>
      <c r="AO133" s="556"/>
      <c r="AP133" s="556"/>
      <c r="AQ133" s="556"/>
      <c r="AR133" s="556"/>
      <c r="AS133" s="556"/>
      <c r="AT133" s="556"/>
      <c r="AU133" s="556"/>
      <c r="AV133" s="556"/>
      <c r="AW133" s="556"/>
      <c r="AX133" s="556"/>
      <c r="AY133" s="556"/>
      <c r="AZ133" s="556"/>
      <c r="BA133" s="556"/>
      <c r="BB133" s="556"/>
    </row>
    <row r="134" spans="1:54" s="374" customFormat="1" ht="15.6" hidden="1" x14ac:dyDescent="0.3">
      <c r="A134" s="1032" t="s">
        <v>847</v>
      </c>
      <c r="B134" s="732" t="str">
        <f>IF(E134="","",DAY(E134))</f>
        <v/>
      </c>
      <c r="C134" s="676" t="str">
        <f>CONCATENATE(C132+1,".")</f>
        <v>51.</v>
      </c>
      <c r="D134" s="654"/>
      <c r="E134" s="704" t="str">
        <f>(IF(E132="","",IF(G134="","",
IF($M$19=1,EDATE(E132,-1),
IF(AND($M$19=2,B132=1),EOMONTH(E132,-2)+16,
IF(AND($M$19=2,B132=16),EOMONTH(E132,-1)+1,
IF($M$19=3,E132-14,
IF($M$19=4,E132-7,
""))))))))</f>
        <v/>
      </c>
      <c r="F134" s="654" t="s">
        <v>240</v>
      </c>
      <c r="G134" s="704" t="str">
        <f>IF(E132="","",
IF($L$13=3,E132-1,
IF(AND($L$13=2,E132-1&gt;=$V$19,YEAR(E132-1)&gt;=($K$30-1)),E132-1,"")))</f>
        <v/>
      </c>
      <c r="H134" s="660"/>
      <c r="I134" s="654" t="s">
        <v>240</v>
      </c>
      <c r="J134" s="660"/>
      <c r="K134" s="969"/>
      <c r="L134" s="1547"/>
      <c r="M134" s="1548"/>
      <c r="N134" s="677"/>
      <c r="O134" s="655"/>
      <c r="P134" s="656"/>
      <c r="Q134" s="655"/>
      <c r="R134" s="655"/>
      <c r="S134" s="655"/>
      <c r="T134" s="655"/>
      <c r="U134" s="657"/>
      <c r="V134" s="655"/>
      <c r="W134" s="655"/>
      <c r="X134" s="655"/>
      <c r="Y134" s="657"/>
      <c r="Z134" s="1030"/>
      <c r="AA134" s="1030"/>
      <c r="AB134" s="1030"/>
      <c r="AC134" s="1030"/>
      <c r="AD134" s="1030"/>
      <c r="AE134" s="1031"/>
      <c r="AF134" s="1031"/>
      <c r="AG134" s="1030"/>
      <c r="AH134" s="1030"/>
      <c r="AI134" s="1030"/>
      <c r="AJ134" s="1030"/>
      <c r="AK134" s="1030"/>
      <c r="AL134" s="1030"/>
      <c r="AM134" s="1030"/>
      <c r="AN134" s="1030"/>
      <c r="AO134" s="1030"/>
      <c r="AP134" s="1030"/>
      <c r="AQ134" s="1030"/>
      <c r="AR134" s="1030"/>
      <c r="AS134" s="1030"/>
      <c r="AT134" s="1030"/>
      <c r="AU134" s="1030"/>
      <c r="AV134" s="1030"/>
      <c r="AW134" s="1030"/>
      <c r="AX134" s="1030"/>
      <c r="AY134" s="1030"/>
      <c r="AZ134" s="1030"/>
      <c r="BA134" s="1030"/>
      <c r="BB134" s="1030"/>
    </row>
    <row r="135" spans="1:54" ht="3" hidden="1" customHeight="1" x14ac:dyDescent="0.3">
      <c r="A135" s="779"/>
      <c r="B135" s="779"/>
      <c r="C135" s="679"/>
      <c r="D135" s="144"/>
      <c r="E135" s="671"/>
      <c r="F135" s="671"/>
      <c r="G135" s="671"/>
      <c r="H135" s="671"/>
      <c r="I135" s="671"/>
      <c r="J135" s="671"/>
      <c r="K135" s="969"/>
      <c r="L135" s="38"/>
      <c r="M135" s="38"/>
      <c r="N135" s="680"/>
      <c r="O135" s="45"/>
      <c r="P135" s="45"/>
      <c r="Q135" s="45"/>
      <c r="R135" s="45"/>
      <c r="S135" s="45"/>
      <c r="T135" s="45"/>
      <c r="U135" s="45"/>
      <c r="V135" s="45"/>
      <c r="W135" s="45"/>
      <c r="X135" s="45"/>
      <c r="Y135" s="38"/>
      <c r="Z135" s="556"/>
      <c r="AA135" s="556"/>
      <c r="AB135" s="556"/>
      <c r="AC135" s="556"/>
      <c r="AD135" s="556"/>
      <c r="AE135" s="977"/>
      <c r="AF135" s="977"/>
      <c r="AG135" s="556"/>
      <c r="AH135" s="556"/>
      <c r="AI135" s="556"/>
      <c r="AJ135" s="556"/>
      <c r="AK135" s="556"/>
      <c r="AL135" s="556"/>
      <c r="AM135" s="556"/>
      <c r="AN135" s="556"/>
      <c r="AO135" s="556"/>
      <c r="AP135" s="556"/>
      <c r="AQ135" s="556"/>
      <c r="AR135" s="556"/>
      <c r="AS135" s="556"/>
      <c r="AT135" s="556"/>
      <c r="AU135" s="556"/>
      <c r="AV135" s="556"/>
      <c r="AW135" s="556"/>
      <c r="AX135" s="556"/>
      <c r="AY135" s="556"/>
      <c r="AZ135" s="556"/>
      <c r="BA135" s="556"/>
      <c r="BB135" s="556"/>
    </row>
    <row r="136" spans="1:54" s="374" customFormat="1" ht="15.6" hidden="1" x14ac:dyDescent="0.3">
      <c r="A136" s="1032" t="s">
        <v>847</v>
      </c>
      <c r="B136" s="732" t="str">
        <f>IF(E136="","",DAY(E136))</f>
        <v/>
      </c>
      <c r="C136" s="676" t="str">
        <f>CONCATENATE(C134+1,".")</f>
        <v>52.</v>
      </c>
      <c r="D136" s="654"/>
      <c r="E136" s="704" t="str">
        <f>(IF(E134="","",IF(G136="","",
IF($M$19=1,EDATE(E134,-1),
IF(AND($M$19=2,B134=1),EOMONTH(E134,-2)+16,
IF(AND($M$19=2,B134=16),EOMONTH(E134,-1)+1,
IF($M$19=3,E134-14,
IF($M$19=4,E134-7,
""))))))))</f>
        <v/>
      </c>
      <c r="F136" s="654" t="s">
        <v>240</v>
      </c>
      <c r="G136" s="704" t="str">
        <f>IF(E134="","",
IF($L$13=3,E134-1,
IF(AND($L$13=2,E134-1&gt;=$V$19,YEAR(E134-1)&gt;=($K$30-1)),E134-1,"")))</f>
        <v/>
      </c>
      <c r="H136" s="660"/>
      <c r="I136" s="654" t="s">
        <v>240</v>
      </c>
      <c r="J136" s="660"/>
      <c r="K136" s="969"/>
      <c r="L136" s="1547"/>
      <c r="M136" s="1548"/>
      <c r="N136" s="677"/>
      <c r="O136" s="655"/>
      <c r="P136" s="656"/>
      <c r="Q136" s="655"/>
      <c r="R136" s="655"/>
      <c r="S136" s="655"/>
      <c r="T136" s="655"/>
      <c r="U136" s="657"/>
      <c r="V136" s="655"/>
      <c r="W136" s="655"/>
      <c r="X136" s="655"/>
      <c r="Y136" s="657"/>
      <c r="Z136" s="1030"/>
      <c r="AA136" s="1030"/>
      <c r="AB136" s="1030"/>
      <c r="AC136" s="1030"/>
      <c r="AD136" s="1030"/>
      <c r="AE136" s="1031"/>
      <c r="AF136" s="1031"/>
      <c r="AG136" s="1030"/>
      <c r="AH136" s="1030"/>
      <c r="AI136" s="1030"/>
      <c r="AJ136" s="1030"/>
      <c r="AK136" s="1030"/>
      <c r="AL136" s="1030"/>
      <c r="AM136" s="1030"/>
      <c r="AN136" s="1030"/>
      <c r="AO136" s="1030"/>
      <c r="AP136" s="1030"/>
      <c r="AQ136" s="1030"/>
      <c r="AR136" s="1030"/>
      <c r="AS136" s="1030"/>
      <c r="AT136" s="1030"/>
      <c r="AU136" s="1030"/>
      <c r="AV136" s="1030"/>
      <c r="AW136" s="1030"/>
      <c r="AX136" s="1030"/>
      <c r="AY136" s="1030"/>
      <c r="AZ136" s="1030"/>
      <c r="BA136" s="1030"/>
      <c r="BB136" s="1030"/>
    </row>
    <row r="137" spans="1:54" ht="3" hidden="1" customHeight="1" x14ac:dyDescent="0.3">
      <c r="A137" s="779"/>
      <c r="B137" s="779"/>
      <c r="C137" s="679"/>
      <c r="D137" s="668"/>
      <c r="E137" s="669"/>
      <c r="F137" s="670"/>
      <c r="G137" s="669"/>
      <c r="H137" s="669"/>
      <c r="I137" s="670"/>
      <c r="J137" s="669"/>
      <c r="K137" s="969"/>
      <c r="L137" s="134"/>
      <c r="M137" s="134"/>
      <c r="N137" s="680"/>
      <c r="O137" s="45"/>
      <c r="P137" s="45"/>
      <c r="Q137" s="38"/>
      <c r="R137" s="45"/>
      <c r="S137" s="45"/>
      <c r="T137" s="45"/>
      <c r="U137" s="45"/>
      <c r="V137" s="45"/>
      <c r="W137" s="45"/>
      <c r="X137" s="45"/>
      <c r="Y137" s="38"/>
      <c r="Z137" s="556"/>
      <c r="AA137" s="556"/>
      <c r="AB137" s="556"/>
      <c r="AC137" s="556"/>
      <c r="AD137" s="556"/>
      <c r="AE137" s="977"/>
      <c r="AF137" s="977"/>
      <c r="AG137" s="556"/>
      <c r="AH137" s="556"/>
      <c r="AI137" s="556"/>
      <c r="AJ137" s="556"/>
      <c r="AK137" s="556"/>
      <c r="AL137" s="556"/>
      <c r="AM137" s="556"/>
      <c r="AN137" s="556"/>
      <c r="AO137" s="556"/>
      <c r="AP137" s="556"/>
      <c r="AQ137" s="556"/>
      <c r="AR137" s="556"/>
      <c r="AS137" s="556"/>
      <c r="AT137" s="556"/>
      <c r="AU137" s="556"/>
      <c r="AV137" s="556"/>
      <c r="AW137" s="556"/>
      <c r="AX137" s="556"/>
      <c r="AY137" s="556"/>
      <c r="AZ137" s="556"/>
      <c r="BA137" s="556"/>
      <c r="BB137" s="556"/>
    </row>
    <row r="138" spans="1:54" s="374" customFormat="1" ht="15.6" hidden="1" x14ac:dyDescent="0.3">
      <c r="A138" s="1032" t="s">
        <v>847</v>
      </c>
      <c r="B138" s="732" t="str">
        <f>IF(E138="","",DAY(E138))</f>
        <v/>
      </c>
      <c r="C138" s="676" t="str">
        <f>CONCATENATE(C136+1,".")</f>
        <v>53.</v>
      </c>
      <c r="D138" s="654"/>
      <c r="E138" s="704" t="str">
        <f>(IF(E136="","",IF(G138="","",
IF($M$19=1,EDATE(E136,-1),
IF(AND($M$19=2,B136=1),EOMONTH(E136,-2)+16,
IF(AND($M$19=2,B136=16),EOMONTH(E136,-1)+1,
IF($M$19=3,E136-14,
IF($M$19=4,E136-7,
""))))))))</f>
        <v/>
      </c>
      <c r="F138" s="654" t="s">
        <v>240</v>
      </c>
      <c r="G138" s="704" t="str">
        <f>IF(E136="","",
IF($L$13=3,E136-1,
IF(AND($L$13=2,E136-1&gt;=$V$19,YEAR(E136-1)&gt;=($K$30-1)),E136-1,"")))</f>
        <v/>
      </c>
      <c r="H138" s="660"/>
      <c r="I138" s="654" t="s">
        <v>240</v>
      </c>
      <c r="J138" s="660"/>
      <c r="K138" s="969"/>
      <c r="L138" s="1547"/>
      <c r="M138" s="1548"/>
      <c r="N138" s="677"/>
      <c r="O138" s="655"/>
      <c r="P138" s="656"/>
      <c r="Q138" s="655"/>
      <c r="R138" s="655"/>
      <c r="S138" s="655"/>
      <c r="T138" s="655"/>
      <c r="U138" s="657"/>
      <c r="V138" s="655"/>
      <c r="W138" s="655"/>
      <c r="X138" s="655"/>
      <c r="Y138" s="657"/>
      <c r="Z138" s="1030"/>
      <c r="AA138" s="1030"/>
      <c r="AB138" s="1030"/>
      <c r="AC138" s="1030"/>
      <c r="AD138" s="1030"/>
      <c r="AE138" s="1031"/>
      <c r="AF138" s="1031"/>
      <c r="AG138" s="1030"/>
      <c r="AH138" s="1030"/>
      <c r="AI138" s="1030"/>
      <c r="AJ138" s="1030"/>
      <c r="AK138" s="1030"/>
      <c r="AL138" s="1030"/>
      <c r="AM138" s="1030"/>
      <c r="AN138" s="1030"/>
      <c r="AO138" s="1030"/>
      <c r="AP138" s="1030"/>
      <c r="AQ138" s="1030"/>
      <c r="AR138" s="1030"/>
      <c r="AS138" s="1030"/>
      <c r="AT138" s="1030"/>
      <c r="AU138" s="1030"/>
      <c r="AV138" s="1030"/>
      <c r="AW138" s="1030"/>
      <c r="AX138" s="1030"/>
      <c r="AY138" s="1030"/>
      <c r="AZ138" s="1030"/>
      <c r="BA138" s="1030"/>
      <c r="BB138" s="1030"/>
    </row>
    <row r="139" spans="1:54" ht="3" hidden="1" customHeight="1" x14ac:dyDescent="0.3">
      <c r="A139" s="779"/>
      <c r="B139" s="779"/>
      <c r="C139" s="679"/>
      <c r="D139" s="117"/>
      <c r="E139" s="671"/>
      <c r="F139" s="671"/>
      <c r="G139" s="671"/>
      <c r="H139" s="671"/>
      <c r="I139" s="671"/>
      <c r="J139" s="671"/>
      <c r="K139" s="969"/>
      <c r="L139" s="38"/>
      <c r="M139" s="38"/>
      <c r="N139" s="680"/>
      <c r="O139" s="45"/>
      <c r="P139" s="45"/>
      <c r="Q139" s="45"/>
      <c r="R139" s="45"/>
      <c r="S139" s="45"/>
      <c r="T139" s="45"/>
      <c r="U139" s="45"/>
      <c r="V139" s="45"/>
      <c r="W139" s="45"/>
      <c r="X139" s="45"/>
      <c r="Y139" s="38"/>
      <c r="Z139" s="556"/>
      <c r="AA139" s="556"/>
      <c r="AB139" s="556"/>
      <c r="AC139" s="556"/>
      <c r="AD139" s="556"/>
      <c r="AE139" s="977"/>
      <c r="AF139" s="977"/>
      <c r="AG139" s="556"/>
      <c r="AH139" s="556"/>
      <c r="AI139" s="556"/>
      <c r="AJ139" s="556"/>
      <c r="AK139" s="556"/>
      <c r="AL139" s="556"/>
      <c r="AM139" s="556"/>
      <c r="AN139" s="556"/>
      <c r="AO139" s="556"/>
      <c r="AP139" s="556"/>
      <c r="AQ139" s="556"/>
      <c r="AR139" s="556"/>
      <c r="AS139" s="556"/>
      <c r="AT139" s="556"/>
      <c r="AU139" s="556"/>
      <c r="AV139" s="556"/>
      <c r="AW139" s="556"/>
      <c r="AX139" s="556"/>
      <c r="AY139" s="556"/>
      <c r="AZ139" s="556"/>
      <c r="BA139" s="556"/>
      <c r="BB139" s="556"/>
    </row>
    <row r="140" spans="1:54" s="374" customFormat="1" ht="15.6" hidden="1" x14ac:dyDescent="0.3">
      <c r="A140" s="1032" t="s">
        <v>847</v>
      </c>
      <c r="B140" s="732" t="str">
        <f>IF(E140="","",DAY(E140))</f>
        <v/>
      </c>
      <c r="C140" s="676" t="str">
        <f>CONCATENATE(C138+1,".")</f>
        <v>54.</v>
      </c>
      <c r="D140" s="654"/>
      <c r="E140" s="704" t="str">
        <f>(IF(E138="","",IF(G140="","",
IF($M$19=1,EDATE(E138,-1),
IF(AND($M$19=2,B138=1),EOMONTH(E138,-2)+16,
IF(AND($M$19=2,B138=16),EOMONTH(E138,-1)+1,
IF($M$19=3,E138-14,
IF($M$19=4,E138-7,
""))))))))</f>
        <v/>
      </c>
      <c r="F140" s="654" t="s">
        <v>240</v>
      </c>
      <c r="G140" s="704" t="str">
        <f>IF(E138="","",
IF($L$13=3,E138-1,
IF(AND($L$13=2,E138-1&gt;=$V$19,YEAR(E138-1)&gt;=($K$30-1)),E138-1,"")))</f>
        <v/>
      </c>
      <c r="H140" s="660"/>
      <c r="I140" s="654" t="s">
        <v>240</v>
      </c>
      <c r="J140" s="660"/>
      <c r="K140" s="969"/>
      <c r="L140" s="1547"/>
      <c r="M140" s="1548"/>
      <c r="N140" s="677"/>
      <c r="O140" s="655"/>
      <c r="P140" s="656"/>
      <c r="Q140" s="655"/>
      <c r="R140" s="655"/>
      <c r="S140" s="655"/>
      <c r="T140" s="655"/>
      <c r="U140" s="657"/>
      <c r="V140" s="655"/>
      <c r="W140" s="655"/>
      <c r="X140" s="655"/>
      <c r="Y140" s="657"/>
      <c r="Z140" s="1030"/>
      <c r="AA140" s="1030"/>
      <c r="AB140" s="1030"/>
      <c r="AC140" s="1030"/>
      <c r="AD140" s="1030"/>
      <c r="AE140" s="1031"/>
      <c r="AF140" s="1031"/>
      <c r="AG140" s="1030"/>
      <c r="AH140" s="1030"/>
      <c r="AI140" s="1030"/>
      <c r="AJ140" s="1030"/>
      <c r="AK140" s="1030"/>
      <c r="AL140" s="1030"/>
      <c r="AM140" s="1030"/>
      <c r="AN140" s="1030"/>
      <c r="AO140" s="1030"/>
      <c r="AP140" s="1030"/>
      <c r="AQ140" s="1030"/>
      <c r="AR140" s="1030"/>
      <c r="AS140" s="1030"/>
      <c r="AT140" s="1030"/>
      <c r="AU140" s="1030"/>
      <c r="AV140" s="1030"/>
      <c r="AW140" s="1030"/>
      <c r="AX140" s="1030"/>
      <c r="AY140" s="1030"/>
      <c r="AZ140" s="1030"/>
      <c r="BA140" s="1030"/>
      <c r="BB140" s="1030"/>
    </row>
    <row r="141" spans="1:54" ht="3" hidden="1" customHeight="1" x14ac:dyDescent="0.3">
      <c r="A141" s="779"/>
      <c r="B141" s="779"/>
      <c r="C141" s="679"/>
      <c r="D141" s="144"/>
      <c r="E141" s="671"/>
      <c r="F141" s="671"/>
      <c r="G141" s="671"/>
      <c r="H141" s="671"/>
      <c r="I141" s="671"/>
      <c r="J141" s="671"/>
      <c r="K141" s="969"/>
      <c r="L141" s="38"/>
      <c r="M141" s="38"/>
      <c r="N141" s="680"/>
      <c r="O141" s="45"/>
      <c r="P141" s="45"/>
      <c r="Q141" s="45"/>
      <c r="R141" s="45"/>
      <c r="S141" s="45"/>
      <c r="T141" s="45"/>
      <c r="U141" s="45"/>
      <c r="V141" s="45"/>
      <c r="W141" s="45"/>
      <c r="X141" s="45"/>
      <c r="Y141" s="38"/>
      <c r="Z141" s="556"/>
      <c r="AA141" s="556"/>
      <c r="AB141" s="556"/>
      <c r="AC141" s="556"/>
      <c r="AD141" s="556"/>
      <c r="AE141" s="977"/>
      <c r="AF141" s="977"/>
      <c r="AG141" s="556"/>
      <c r="AH141" s="556"/>
      <c r="AI141" s="556"/>
      <c r="AJ141" s="556"/>
      <c r="AK141" s="556"/>
      <c r="AL141" s="556"/>
      <c r="AM141" s="556"/>
      <c r="AN141" s="556"/>
      <c r="AO141" s="556"/>
      <c r="AP141" s="556"/>
      <c r="AQ141" s="556"/>
      <c r="AR141" s="556"/>
      <c r="AS141" s="556"/>
      <c r="AT141" s="556"/>
      <c r="AU141" s="556"/>
      <c r="AV141" s="556"/>
      <c r="AW141" s="556"/>
      <c r="AX141" s="556"/>
      <c r="AY141" s="556"/>
      <c r="AZ141" s="556"/>
      <c r="BA141" s="556"/>
      <c r="BB141" s="556"/>
    </row>
    <row r="142" spans="1:54" s="374" customFormat="1" ht="15.6" hidden="1" x14ac:dyDescent="0.3">
      <c r="A142" s="1032" t="s">
        <v>847</v>
      </c>
      <c r="B142" s="732" t="str">
        <f>IF(E142="","",DAY(E142))</f>
        <v/>
      </c>
      <c r="C142" s="676" t="str">
        <f>CONCATENATE(C140+1,".")</f>
        <v>55.</v>
      </c>
      <c r="D142" s="654"/>
      <c r="E142" s="704" t="str">
        <f>(IF(E140="","",IF(G142="","",
IF($M$19=1,EDATE(E140,-1),
IF(AND($M$19=2,B140=1),EOMONTH(E140,-2)+16,
IF(AND($M$19=2,B140=16),EOMONTH(E140,-1)+1,
IF($M$19=3,E140-14,
IF($M$19=4,E140-7,
""))))))))</f>
        <v/>
      </c>
      <c r="F142" s="654" t="s">
        <v>240</v>
      </c>
      <c r="G142" s="704" t="str">
        <f>IF(E140="","",
IF($L$13=3,E140-1,
IF(AND($L$13=2,E140-1&gt;=$V$19,YEAR(E140-1)&gt;=($K$30-1)),E140-1,"")))</f>
        <v/>
      </c>
      <c r="H142" s="660"/>
      <c r="I142" s="654" t="s">
        <v>240</v>
      </c>
      <c r="J142" s="660"/>
      <c r="K142" s="969"/>
      <c r="L142" s="1547"/>
      <c r="M142" s="1548"/>
      <c r="N142" s="677"/>
      <c r="O142" s="655"/>
      <c r="P142" s="656"/>
      <c r="Q142" s="655"/>
      <c r="R142" s="655"/>
      <c r="S142" s="655"/>
      <c r="T142" s="655"/>
      <c r="U142" s="657"/>
      <c r="V142" s="655"/>
      <c r="W142" s="655"/>
      <c r="X142" s="655"/>
      <c r="Y142" s="657"/>
      <c r="Z142" s="1030"/>
      <c r="AA142" s="1030"/>
      <c r="AB142" s="1030"/>
      <c r="AC142" s="1030"/>
      <c r="AD142" s="1030"/>
      <c r="AE142" s="1031"/>
      <c r="AF142" s="1031"/>
      <c r="AG142" s="1030"/>
      <c r="AH142" s="1030"/>
      <c r="AI142" s="1030"/>
      <c r="AJ142" s="1030"/>
      <c r="AK142" s="1030"/>
      <c r="AL142" s="1030"/>
      <c r="AM142" s="1030"/>
      <c r="AN142" s="1030"/>
      <c r="AO142" s="1030"/>
      <c r="AP142" s="1030"/>
      <c r="AQ142" s="1030"/>
      <c r="AR142" s="1030"/>
      <c r="AS142" s="1030"/>
      <c r="AT142" s="1030"/>
      <c r="AU142" s="1030"/>
      <c r="AV142" s="1030"/>
      <c r="AW142" s="1030"/>
      <c r="AX142" s="1030"/>
      <c r="AY142" s="1030"/>
      <c r="AZ142" s="1030"/>
      <c r="BA142" s="1030"/>
      <c r="BB142" s="1030"/>
    </row>
    <row r="143" spans="1:54" ht="3" hidden="1" customHeight="1" x14ac:dyDescent="0.3">
      <c r="A143" s="779"/>
      <c r="B143" s="779"/>
      <c r="C143" s="679"/>
      <c r="D143" s="144"/>
      <c r="E143" s="671"/>
      <c r="F143" s="671"/>
      <c r="G143" s="671"/>
      <c r="H143" s="671"/>
      <c r="I143" s="671"/>
      <c r="J143" s="671"/>
      <c r="K143" s="969"/>
      <c r="L143" s="38"/>
      <c r="M143" s="38"/>
      <c r="N143" s="680"/>
      <c r="O143" s="45"/>
      <c r="P143" s="45"/>
      <c r="Q143" s="45"/>
      <c r="R143" s="45"/>
      <c r="S143" s="45"/>
      <c r="T143" s="45"/>
      <c r="U143" s="45"/>
      <c r="V143" s="45"/>
      <c r="W143" s="45"/>
      <c r="X143" s="45"/>
      <c r="Y143" s="38"/>
      <c r="Z143" s="556"/>
      <c r="AA143" s="556"/>
      <c r="AB143" s="556"/>
      <c r="AC143" s="556"/>
      <c r="AD143" s="556"/>
      <c r="AE143" s="977"/>
      <c r="AF143" s="977"/>
      <c r="AG143" s="556"/>
      <c r="AH143" s="556"/>
      <c r="AI143" s="556"/>
      <c r="AJ143" s="556"/>
      <c r="AK143" s="556"/>
      <c r="AL143" s="556"/>
      <c r="AM143" s="556"/>
      <c r="AN143" s="556"/>
      <c r="AO143" s="556"/>
      <c r="AP143" s="556"/>
      <c r="AQ143" s="556"/>
      <c r="AR143" s="556"/>
      <c r="AS143" s="556"/>
      <c r="AT143" s="556"/>
      <c r="AU143" s="556"/>
      <c r="AV143" s="556"/>
      <c r="AW143" s="556"/>
      <c r="AX143" s="556"/>
      <c r="AY143" s="556"/>
      <c r="AZ143" s="556"/>
      <c r="BA143" s="556"/>
      <c r="BB143" s="556"/>
    </row>
    <row r="144" spans="1:54" s="374" customFormat="1" ht="15.6" hidden="1" x14ac:dyDescent="0.3">
      <c r="A144" s="1032" t="s">
        <v>847</v>
      </c>
      <c r="B144" s="732" t="str">
        <f>IF(E144="","",DAY(E144))</f>
        <v/>
      </c>
      <c r="C144" s="676" t="str">
        <f>CONCATENATE(C142+1,".")</f>
        <v>56.</v>
      </c>
      <c r="D144" s="654"/>
      <c r="E144" s="704" t="str">
        <f>(IF(E142="","",IF(G144="","",
IF($M$19=1,EDATE(E142,-1),
IF(AND($M$19=2,B142=1),EOMONTH(E142,-2)+16,
IF(AND($M$19=2,B142=16),EOMONTH(E142,-1)+1,
IF($M$19=3,E142-14,
IF($M$19=4,E142-7,
""))))))))</f>
        <v/>
      </c>
      <c r="F144" s="654" t="s">
        <v>240</v>
      </c>
      <c r="G144" s="704" t="str">
        <f>IF(E142="","",
IF($L$13=3,E142-1,
IF(AND($L$13=2,E142-1&gt;=$V$19,YEAR(E142-1)&gt;=($K$30-1)),E142-1,"")))</f>
        <v/>
      </c>
      <c r="H144" s="660"/>
      <c r="I144" s="654" t="s">
        <v>240</v>
      </c>
      <c r="J144" s="660"/>
      <c r="K144" s="969"/>
      <c r="L144" s="1547"/>
      <c r="M144" s="1548"/>
      <c r="N144" s="677"/>
      <c r="O144" s="655"/>
      <c r="P144" s="656"/>
      <c r="Q144" s="655"/>
      <c r="R144" s="655"/>
      <c r="S144" s="655"/>
      <c r="T144" s="655"/>
      <c r="U144" s="657"/>
      <c r="V144" s="655"/>
      <c r="W144" s="655"/>
      <c r="X144" s="655"/>
      <c r="Y144" s="657"/>
      <c r="Z144" s="1030"/>
      <c r="AA144" s="1030"/>
      <c r="AB144" s="1030"/>
      <c r="AC144" s="1030"/>
      <c r="AD144" s="1030"/>
      <c r="AE144" s="1031"/>
      <c r="AF144" s="1031"/>
      <c r="AG144" s="1030"/>
      <c r="AH144" s="1030"/>
      <c r="AI144" s="1030"/>
      <c r="AJ144" s="1030"/>
      <c r="AK144" s="1030"/>
      <c r="AL144" s="1030"/>
      <c r="AM144" s="1030"/>
      <c r="AN144" s="1030"/>
      <c r="AO144" s="1030"/>
      <c r="AP144" s="1030"/>
      <c r="AQ144" s="1030"/>
      <c r="AR144" s="1030"/>
      <c r="AS144" s="1030"/>
      <c r="AT144" s="1030"/>
      <c r="AU144" s="1030"/>
      <c r="AV144" s="1030"/>
      <c r="AW144" s="1030"/>
      <c r="AX144" s="1030"/>
      <c r="AY144" s="1030"/>
      <c r="AZ144" s="1030"/>
      <c r="BA144" s="1030"/>
      <c r="BB144" s="1030"/>
    </row>
    <row r="145" spans="1:54" ht="3" hidden="1" customHeight="1" x14ac:dyDescent="0.3">
      <c r="A145" s="779"/>
      <c r="B145" s="779"/>
      <c r="C145" s="679"/>
      <c r="D145" s="668"/>
      <c r="E145" s="669"/>
      <c r="F145" s="670"/>
      <c r="G145" s="669"/>
      <c r="H145" s="669"/>
      <c r="I145" s="670"/>
      <c r="J145" s="669"/>
      <c r="K145" s="969"/>
      <c r="L145" s="38"/>
      <c r="M145" s="38"/>
      <c r="N145" s="680"/>
      <c r="O145" s="45"/>
      <c r="P145" s="45"/>
      <c r="Q145" s="38"/>
      <c r="R145" s="45"/>
      <c r="S145" s="45"/>
      <c r="T145" s="45"/>
      <c r="U145" s="45"/>
      <c r="V145" s="45"/>
      <c r="W145" s="45"/>
      <c r="X145" s="45"/>
      <c r="Y145" s="38"/>
      <c r="Z145" s="556"/>
      <c r="AA145" s="556"/>
      <c r="AB145" s="556"/>
      <c r="AC145" s="556"/>
      <c r="AD145" s="556"/>
      <c r="AE145" s="977"/>
      <c r="AF145" s="977"/>
      <c r="AG145" s="556"/>
      <c r="AH145" s="556"/>
      <c r="AI145" s="556"/>
      <c r="AJ145" s="556"/>
      <c r="AK145" s="556"/>
      <c r="AL145" s="556"/>
      <c r="AM145" s="556"/>
      <c r="AN145" s="556"/>
      <c r="AO145" s="556"/>
      <c r="AP145" s="556"/>
      <c r="AQ145" s="556"/>
      <c r="AR145" s="556"/>
      <c r="AS145" s="556"/>
      <c r="AT145" s="556"/>
      <c r="AU145" s="556"/>
      <c r="AV145" s="556"/>
      <c r="AW145" s="556"/>
      <c r="AX145" s="556"/>
      <c r="AY145" s="556"/>
      <c r="AZ145" s="556"/>
      <c r="BA145" s="556"/>
      <c r="BB145" s="556"/>
    </row>
    <row r="146" spans="1:54" s="374" customFormat="1" ht="15.6" hidden="1" x14ac:dyDescent="0.3">
      <c r="A146" s="1032" t="s">
        <v>847</v>
      </c>
      <c r="B146" s="732" t="str">
        <f>IF(E146="","",DAY(E146))</f>
        <v/>
      </c>
      <c r="C146" s="676" t="str">
        <f>CONCATENATE(C144+1,".")</f>
        <v>57.</v>
      </c>
      <c r="D146" s="654"/>
      <c r="E146" s="704" t="str">
        <f>(IF(E144="","",IF(G146="","",
IF($M$19=1,EDATE(E144,-1),
IF(AND($M$19=2,B144=1),EOMONTH(E144,-2)+16,
IF(AND($M$19=2,B144=16),EOMONTH(E144,-1)+1,
IF($M$19=3,E144-14,
IF($M$19=4,E144-7,
""))))))))</f>
        <v/>
      </c>
      <c r="F146" s="654" t="s">
        <v>240</v>
      </c>
      <c r="G146" s="704" t="str">
        <f>IF(E144="","",
IF($L$13=3,E144-1,
IF(AND($L$13=2,E144-1&gt;=$V$19,YEAR(E144-1)&gt;=($K$30-1)),E144-1,"")))</f>
        <v/>
      </c>
      <c r="H146" s="660"/>
      <c r="I146" s="654" t="s">
        <v>240</v>
      </c>
      <c r="J146" s="660"/>
      <c r="K146" s="969"/>
      <c r="L146" s="1547"/>
      <c r="M146" s="1548"/>
      <c r="N146" s="677"/>
      <c r="O146" s="655"/>
      <c r="P146" s="656"/>
      <c r="Q146" s="655"/>
      <c r="R146" s="655"/>
      <c r="S146" s="655"/>
      <c r="T146" s="655"/>
      <c r="U146" s="657"/>
      <c r="V146" s="655"/>
      <c r="W146" s="655"/>
      <c r="X146" s="655"/>
      <c r="Y146" s="657"/>
      <c r="Z146" s="1030"/>
      <c r="AA146" s="1030"/>
      <c r="AB146" s="1030"/>
      <c r="AC146" s="1030"/>
      <c r="AD146" s="1030"/>
      <c r="AE146" s="1031"/>
      <c r="AF146" s="1031"/>
      <c r="AG146" s="1030"/>
      <c r="AH146" s="1030"/>
      <c r="AI146" s="1030"/>
      <c r="AJ146" s="1030"/>
      <c r="AK146" s="1030"/>
      <c r="AL146" s="1030"/>
      <c r="AM146" s="1030"/>
      <c r="AN146" s="1030"/>
      <c r="AO146" s="1030"/>
      <c r="AP146" s="1030"/>
      <c r="AQ146" s="1030"/>
      <c r="AR146" s="1030"/>
      <c r="AS146" s="1030"/>
      <c r="AT146" s="1030"/>
      <c r="AU146" s="1030"/>
      <c r="AV146" s="1030"/>
      <c r="AW146" s="1030"/>
      <c r="AX146" s="1030"/>
      <c r="AY146" s="1030"/>
      <c r="AZ146" s="1030"/>
      <c r="BA146" s="1030"/>
      <c r="BB146" s="1030"/>
    </row>
    <row r="147" spans="1:54" ht="3" hidden="1" customHeight="1" x14ac:dyDescent="0.3">
      <c r="A147" s="779"/>
      <c r="B147" s="779"/>
      <c r="C147" s="679"/>
      <c r="D147" s="668"/>
      <c r="E147" s="669"/>
      <c r="F147" s="670"/>
      <c r="G147" s="669"/>
      <c r="H147" s="669"/>
      <c r="I147" s="670"/>
      <c r="J147" s="669"/>
      <c r="K147" s="969"/>
      <c r="L147" s="134"/>
      <c r="M147" s="134"/>
      <c r="N147" s="680"/>
      <c r="O147" s="45"/>
      <c r="P147" s="45"/>
      <c r="Q147" s="38"/>
      <c r="R147" s="45"/>
      <c r="S147" s="45"/>
      <c r="T147" s="45"/>
      <c r="U147" s="45"/>
      <c r="V147" s="45"/>
      <c r="W147" s="45"/>
      <c r="X147" s="45"/>
      <c r="Y147" s="38"/>
      <c r="Z147" s="556"/>
      <c r="AA147" s="556"/>
      <c r="AB147" s="556"/>
      <c r="AC147" s="556"/>
      <c r="AD147" s="556"/>
      <c r="AE147" s="977"/>
      <c r="AF147" s="977"/>
      <c r="AG147" s="556"/>
      <c r="AH147" s="556"/>
      <c r="AI147" s="556"/>
      <c r="AJ147" s="556"/>
      <c r="AK147" s="556"/>
      <c r="AL147" s="556"/>
      <c r="AM147" s="556"/>
      <c r="AN147" s="556"/>
      <c r="AO147" s="556"/>
      <c r="AP147" s="556"/>
      <c r="AQ147" s="556"/>
      <c r="AR147" s="556"/>
      <c r="AS147" s="556"/>
      <c r="AT147" s="556"/>
      <c r="AU147" s="556"/>
      <c r="AV147" s="556"/>
      <c r="AW147" s="556"/>
      <c r="AX147" s="556"/>
      <c r="AY147" s="556"/>
      <c r="AZ147" s="556"/>
      <c r="BA147" s="556"/>
      <c r="BB147" s="556"/>
    </row>
    <row r="148" spans="1:54" s="374" customFormat="1" ht="15.6" hidden="1" x14ac:dyDescent="0.3">
      <c r="A148" s="1032" t="s">
        <v>847</v>
      </c>
      <c r="B148" s="732" t="str">
        <f>IF(E148="","",DAY(E148))</f>
        <v/>
      </c>
      <c r="C148" s="676" t="str">
        <f>CONCATENATE(C146+1,".")</f>
        <v>58.</v>
      </c>
      <c r="D148" s="654"/>
      <c r="E148" s="704" t="str">
        <f>(IF(E146="","",IF(G148="","",
IF($M$19=1,EDATE(E146,-1),
IF(AND($M$19=2,B146=1),EOMONTH(E146,-2)+16,
IF(AND($M$19=2,B146=16),EOMONTH(E146,-1)+1,
IF($M$19=3,E146-14,
IF($M$19=4,E146-7,
""))))))))</f>
        <v/>
      </c>
      <c r="F148" s="654" t="s">
        <v>240</v>
      </c>
      <c r="G148" s="704" t="str">
        <f>IF(E146="","",
IF($L$13=3,E146-1,
IF(AND($L$13=2,E146-1&gt;=$V$19,YEAR(E146-1)&gt;=($K$30-1)),E146-1,"")))</f>
        <v/>
      </c>
      <c r="H148" s="660"/>
      <c r="I148" s="654" t="s">
        <v>240</v>
      </c>
      <c r="J148" s="660"/>
      <c r="K148" s="969"/>
      <c r="L148" s="1547"/>
      <c r="M148" s="1548"/>
      <c r="N148" s="677"/>
      <c r="O148" s="655"/>
      <c r="P148" s="656"/>
      <c r="Q148" s="655"/>
      <c r="R148" s="655"/>
      <c r="S148" s="655"/>
      <c r="T148" s="655"/>
      <c r="U148" s="657"/>
      <c r="V148" s="655"/>
      <c r="W148" s="655"/>
      <c r="X148" s="655"/>
      <c r="Y148" s="657"/>
      <c r="Z148" s="1030"/>
      <c r="AA148" s="1030"/>
      <c r="AB148" s="1030"/>
      <c r="AC148" s="1030"/>
      <c r="AD148" s="1030"/>
      <c r="AE148" s="1031"/>
      <c r="AF148" s="1031"/>
      <c r="AG148" s="1030"/>
      <c r="AH148" s="1030"/>
      <c r="AI148" s="1030"/>
      <c r="AJ148" s="1030"/>
      <c r="AK148" s="1030"/>
      <c r="AL148" s="1030"/>
      <c r="AM148" s="1030"/>
      <c r="AN148" s="1030"/>
      <c r="AO148" s="1030"/>
      <c r="AP148" s="1030"/>
      <c r="AQ148" s="1030"/>
      <c r="AR148" s="1030"/>
      <c r="AS148" s="1030"/>
      <c r="AT148" s="1030"/>
      <c r="AU148" s="1030"/>
      <c r="AV148" s="1030"/>
      <c r="AW148" s="1030"/>
      <c r="AX148" s="1030"/>
      <c r="AY148" s="1030"/>
      <c r="AZ148" s="1030"/>
      <c r="BA148" s="1030"/>
      <c r="BB148" s="1030"/>
    </row>
    <row r="149" spans="1:54" ht="3" hidden="1" customHeight="1" x14ac:dyDescent="0.3">
      <c r="A149" s="779"/>
      <c r="B149" s="779"/>
      <c r="C149" s="679"/>
      <c r="D149" s="117"/>
      <c r="E149" s="671"/>
      <c r="F149" s="671"/>
      <c r="G149" s="671"/>
      <c r="H149" s="671"/>
      <c r="I149" s="671"/>
      <c r="J149" s="671"/>
      <c r="K149" s="969"/>
      <c r="L149" s="38"/>
      <c r="M149" s="38"/>
      <c r="N149" s="680"/>
      <c r="O149" s="45"/>
      <c r="P149" s="45"/>
      <c r="Q149" s="45"/>
      <c r="R149" s="45"/>
      <c r="S149" s="45"/>
      <c r="T149" s="45"/>
      <c r="U149" s="45"/>
      <c r="V149" s="45"/>
      <c r="W149" s="45"/>
      <c r="X149" s="45"/>
      <c r="Y149" s="38"/>
      <c r="Z149" s="556"/>
      <c r="AA149" s="556"/>
      <c r="AB149" s="556"/>
      <c r="AC149" s="556"/>
      <c r="AD149" s="556"/>
      <c r="AE149" s="977"/>
      <c r="AF149" s="977"/>
      <c r="AG149" s="556"/>
      <c r="AH149" s="556"/>
      <c r="AI149" s="556"/>
      <c r="AJ149" s="556"/>
      <c r="AK149" s="556"/>
      <c r="AL149" s="556"/>
      <c r="AM149" s="556"/>
      <c r="AN149" s="556"/>
      <c r="AO149" s="556"/>
      <c r="AP149" s="556"/>
      <c r="AQ149" s="556"/>
      <c r="AR149" s="556"/>
      <c r="AS149" s="556"/>
      <c r="AT149" s="556"/>
      <c r="AU149" s="556"/>
      <c r="AV149" s="556"/>
      <c r="AW149" s="556"/>
      <c r="AX149" s="556"/>
      <c r="AY149" s="556"/>
      <c r="AZ149" s="556"/>
      <c r="BA149" s="556"/>
      <c r="BB149" s="556"/>
    </row>
    <row r="150" spans="1:54" s="374" customFormat="1" ht="15.6" hidden="1" x14ac:dyDescent="0.3">
      <c r="A150" s="1032" t="s">
        <v>847</v>
      </c>
      <c r="B150" s="732" t="str">
        <f>IF(E150="","",DAY(E150))</f>
        <v/>
      </c>
      <c r="C150" s="676" t="str">
        <f>CONCATENATE(C148+1,".")</f>
        <v>59.</v>
      </c>
      <c r="D150" s="654"/>
      <c r="E150" s="704" t="str">
        <f>(IF(E148="","",IF(G150="","",
IF($M$19=1,EDATE(E148,-1),
IF(AND($M$19=2,B148=1),EOMONTH(E148,-2)+16,
IF(AND($M$19=2,B148=16),EOMONTH(E148,-1)+1,
IF($M$19=3,E148-14,
IF($M$19=4,E148-7,
""))))))))</f>
        <v/>
      </c>
      <c r="F150" s="654" t="s">
        <v>240</v>
      </c>
      <c r="G150" s="704" t="str">
        <f>IF(E148="","",
IF($L$13=3,E148-1,
IF(AND($L$13=2,E148-1&gt;=$V$19,YEAR(E148-1)&gt;=($K$30-1)),E148-1,"")))</f>
        <v/>
      </c>
      <c r="H150" s="660"/>
      <c r="I150" s="654" t="s">
        <v>240</v>
      </c>
      <c r="J150" s="660"/>
      <c r="K150" s="969"/>
      <c r="L150" s="1547"/>
      <c r="M150" s="1548"/>
      <c r="N150" s="677"/>
      <c r="O150" s="655"/>
      <c r="P150" s="656"/>
      <c r="Q150" s="655"/>
      <c r="R150" s="655"/>
      <c r="S150" s="655"/>
      <c r="T150" s="655"/>
      <c r="U150" s="657"/>
      <c r="V150" s="655"/>
      <c r="W150" s="655"/>
      <c r="X150" s="655"/>
      <c r="Y150" s="657"/>
      <c r="Z150" s="1030"/>
      <c r="AA150" s="1030"/>
      <c r="AB150" s="1030"/>
      <c r="AC150" s="1030"/>
      <c r="AD150" s="1030"/>
      <c r="AE150" s="1031"/>
      <c r="AF150" s="1031"/>
      <c r="AG150" s="1030"/>
      <c r="AH150" s="1030"/>
      <c r="AI150" s="1030"/>
      <c r="AJ150" s="1030"/>
      <c r="AK150" s="1030"/>
      <c r="AL150" s="1030"/>
      <c r="AM150" s="1030"/>
      <c r="AN150" s="1030"/>
      <c r="AO150" s="1030"/>
      <c r="AP150" s="1030"/>
      <c r="AQ150" s="1030"/>
      <c r="AR150" s="1030"/>
      <c r="AS150" s="1030"/>
      <c r="AT150" s="1030"/>
      <c r="AU150" s="1030"/>
      <c r="AV150" s="1030"/>
      <c r="AW150" s="1030"/>
      <c r="AX150" s="1030"/>
      <c r="AY150" s="1030"/>
      <c r="AZ150" s="1030"/>
      <c r="BA150" s="1030"/>
      <c r="BB150" s="1030"/>
    </row>
    <row r="151" spans="1:54" ht="3" hidden="1" customHeight="1" x14ac:dyDescent="0.3">
      <c r="A151" s="779"/>
      <c r="B151" s="779"/>
      <c r="C151" s="679"/>
      <c r="D151" s="144"/>
      <c r="E151" s="671"/>
      <c r="F151" s="671"/>
      <c r="G151" s="671"/>
      <c r="H151" s="671"/>
      <c r="I151" s="671"/>
      <c r="J151" s="671"/>
      <c r="K151" s="969"/>
      <c r="L151" s="38"/>
      <c r="M151" s="38"/>
      <c r="N151" s="680"/>
      <c r="O151" s="45"/>
      <c r="P151" s="45"/>
      <c r="Q151" s="45"/>
      <c r="R151" s="45"/>
      <c r="S151" s="45"/>
      <c r="T151" s="45"/>
      <c r="U151" s="45"/>
      <c r="V151" s="45"/>
      <c r="W151" s="45"/>
      <c r="X151" s="45"/>
      <c r="Y151" s="38"/>
      <c r="Z151" s="556"/>
      <c r="AA151" s="556"/>
      <c r="AB151" s="556"/>
      <c r="AC151" s="556"/>
      <c r="AD151" s="556"/>
      <c r="AE151" s="977"/>
      <c r="AF151" s="977"/>
      <c r="AG151" s="556"/>
      <c r="AH151" s="556"/>
      <c r="AI151" s="556"/>
      <c r="AJ151" s="556"/>
      <c r="AK151" s="556"/>
      <c r="AL151" s="556"/>
      <c r="AM151" s="556"/>
      <c r="AN151" s="556"/>
      <c r="AO151" s="556"/>
      <c r="AP151" s="556"/>
      <c r="AQ151" s="556"/>
      <c r="AR151" s="556"/>
      <c r="AS151" s="556"/>
      <c r="AT151" s="556"/>
      <c r="AU151" s="556"/>
      <c r="AV151" s="556"/>
      <c r="AW151" s="556"/>
      <c r="AX151" s="556"/>
      <c r="AY151" s="556"/>
      <c r="AZ151" s="556"/>
      <c r="BA151" s="556"/>
      <c r="BB151" s="556"/>
    </row>
    <row r="152" spans="1:54" s="374" customFormat="1" ht="15.6" hidden="1" x14ac:dyDescent="0.3">
      <c r="A152" s="1032" t="s">
        <v>847</v>
      </c>
      <c r="B152" s="732" t="str">
        <f>IF(E152="","",DAY(E152))</f>
        <v/>
      </c>
      <c r="C152" s="676" t="str">
        <f>CONCATENATE(C150+1,".")</f>
        <v>60.</v>
      </c>
      <c r="D152" s="654"/>
      <c r="E152" s="704" t="str">
        <f>(IF(E150="","",IF(G152="","",
IF($M$19=1,EDATE(E150,-1),
IF(AND($M$19=2,B150=1),EOMONTH(E150,-2)+16,
IF(AND($M$19=2,B150=16),EOMONTH(E150,-1)+1,
IF($M$19=3,E150-14,
IF($M$19=4,E150-7,
""))))))))</f>
        <v/>
      </c>
      <c r="F152" s="654" t="s">
        <v>240</v>
      </c>
      <c r="G152" s="704" t="str">
        <f>IF(E150="","",
IF($L$13=3,E150-1,
IF(AND($L$13=2,E150-1&gt;=$V$19,YEAR(E150-1)&gt;=($K$30-1)),E150-1,"")))</f>
        <v/>
      </c>
      <c r="H152" s="660"/>
      <c r="I152" s="654" t="s">
        <v>240</v>
      </c>
      <c r="J152" s="660"/>
      <c r="K152" s="969"/>
      <c r="L152" s="1547"/>
      <c r="M152" s="1548"/>
      <c r="N152" s="677"/>
      <c r="O152" s="655"/>
      <c r="P152" s="656"/>
      <c r="Q152" s="655"/>
      <c r="R152" s="655"/>
      <c r="S152" s="655"/>
      <c r="T152" s="655"/>
      <c r="U152" s="657"/>
      <c r="V152" s="655"/>
      <c r="W152" s="655"/>
      <c r="X152" s="655"/>
      <c r="Y152" s="657"/>
      <c r="Z152" s="1030"/>
      <c r="AA152" s="1030"/>
      <c r="AB152" s="1030"/>
      <c r="AC152" s="1030"/>
      <c r="AD152" s="1030"/>
      <c r="AE152" s="1031"/>
      <c r="AF152" s="1031"/>
      <c r="AG152" s="1030"/>
      <c r="AH152" s="1030"/>
      <c r="AI152" s="1030"/>
      <c r="AJ152" s="1030"/>
      <c r="AK152" s="1030"/>
      <c r="AL152" s="1030"/>
      <c r="AM152" s="1030"/>
      <c r="AN152" s="1030"/>
      <c r="AO152" s="1030"/>
      <c r="AP152" s="1030"/>
      <c r="AQ152" s="1030"/>
      <c r="AR152" s="1030"/>
      <c r="AS152" s="1030"/>
      <c r="AT152" s="1030"/>
      <c r="AU152" s="1030"/>
      <c r="AV152" s="1030"/>
      <c r="AW152" s="1030"/>
      <c r="AX152" s="1030"/>
      <c r="AY152" s="1030"/>
      <c r="AZ152" s="1030"/>
      <c r="BA152" s="1030"/>
      <c r="BB152" s="1030"/>
    </row>
    <row r="153" spans="1:54" ht="3" hidden="1" customHeight="1" x14ac:dyDescent="0.3">
      <c r="A153" s="779"/>
      <c r="B153" s="779"/>
      <c r="C153" s="679"/>
      <c r="D153" s="144"/>
      <c r="E153" s="671"/>
      <c r="F153" s="671"/>
      <c r="G153" s="671"/>
      <c r="H153" s="671"/>
      <c r="I153" s="671"/>
      <c r="J153" s="671"/>
      <c r="K153" s="969"/>
      <c r="L153" s="38"/>
      <c r="M153" s="38"/>
      <c r="N153" s="680"/>
      <c r="O153" s="45"/>
      <c r="P153" s="45"/>
      <c r="Q153" s="45"/>
      <c r="R153" s="45"/>
      <c r="S153" s="45"/>
      <c r="T153" s="45"/>
      <c r="U153" s="45"/>
      <c r="V153" s="45"/>
      <c r="W153" s="45"/>
      <c r="X153" s="45"/>
      <c r="Y153" s="38"/>
      <c r="Z153" s="556"/>
      <c r="AA153" s="556"/>
      <c r="AB153" s="556"/>
      <c r="AC153" s="556"/>
      <c r="AD153" s="556"/>
      <c r="AE153" s="977"/>
      <c r="AF153" s="977"/>
      <c r="AG153" s="556"/>
      <c r="AH153" s="556"/>
      <c r="AI153" s="556"/>
      <c r="AJ153" s="556"/>
      <c r="AK153" s="556"/>
      <c r="AL153" s="556"/>
      <c r="AM153" s="556"/>
      <c r="AN153" s="556"/>
      <c r="AO153" s="556"/>
      <c r="AP153" s="556"/>
      <c r="AQ153" s="556"/>
      <c r="AR153" s="556"/>
      <c r="AS153" s="556"/>
      <c r="AT153" s="556"/>
      <c r="AU153" s="556"/>
      <c r="AV153" s="556"/>
      <c r="AW153" s="556"/>
      <c r="AX153" s="556"/>
      <c r="AY153" s="556"/>
      <c r="AZ153" s="556"/>
      <c r="BA153" s="556"/>
      <c r="BB153" s="556"/>
    </row>
    <row r="154" spans="1:54" s="374" customFormat="1" ht="15.6" hidden="1" x14ac:dyDescent="0.3">
      <c r="A154" s="1032" t="s">
        <v>847</v>
      </c>
      <c r="B154" s="732" t="str">
        <f>IF(E154="","",DAY(E154))</f>
        <v/>
      </c>
      <c r="C154" s="676" t="str">
        <f>CONCATENATE(C152+1,".")</f>
        <v>61.</v>
      </c>
      <c r="D154" s="654"/>
      <c r="E154" s="704" t="str">
        <f>(IF(E152="","",IF(G154="","",
IF($M$19=1,EDATE(E152,-1),
IF(AND($M$19=2,B152=1),EOMONTH(E152,-2)+16,
IF(AND($M$19=2,B152=16),EOMONTH(E152,-1)+1,
IF($M$19=3,E152-14,
IF($M$19=4,E152-7,
""))))))))</f>
        <v/>
      </c>
      <c r="F154" s="654" t="s">
        <v>240</v>
      </c>
      <c r="G154" s="704" t="str">
        <f>IF(E152="","",
IF($L$13=3,E152-1,
IF(AND($L$13=2,E152-1&gt;=$V$19,YEAR(E152-1)&gt;=($K$30-1)),E152-1,"")))</f>
        <v/>
      </c>
      <c r="H154" s="660"/>
      <c r="I154" s="654" t="s">
        <v>240</v>
      </c>
      <c r="J154" s="660"/>
      <c r="K154" s="969"/>
      <c r="L154" s="1547"/>
      <c r="M154" s="1548"/>
      <c r="N154" s="677"/>
      <c r="O154" s="655"/>
      <c r="P154" s="656"/>
      <c r="Q154" s="655"/>
      <c r="R154" s="655"/>
      <c r="S154" s="655"/>
      <c r="T154" s="655"/>
      <c r="U154" s="657"/>
      <c r="V154" s="655"/>
      <c r="W154" s="655"/>
      <c r="X154" s="655"/>
      <c r="Y154" s="657"/>
      <c r="Z154" s="1030"/>
      <c r="AA154" s="1030"/>
      <c r="AB154" s="1030"/>
      <c r="AC154" s="1030"/>
      <c r="AD154" s="1030"/>
      <c r="AE154" s="1031"/>
      <c r="AF154" s="1031"/>
      <c r="AG154" s="1030"/>
      <c r="AH154" s="1030"/>
      <c r="AI154" s="1030"/>
      <c r="AJ154" s="1030"/>
      <c r="AK154" s="1030"/>
      <c r="AL154" s="1030"/>
      <c r="AM154" s="1030"/>
      <c r="AN154" s="1030"/>
      <c r="AO154" s="1030"/>
      <c r="AP154" s="1030"/>
      <c r="AQ154" s="1030"/>
      <c r="AR154" s="1030"/>
      <c r="AS154" s="1030"/>
      <c r="AT154" s="1030"/>
      <c r="AU154" s="1030"/>
      <c r="AV154" s="1030"/>
      <c r="AW154" s="1030"/>
      <c r="AX154" s="1030"/>
      <c r="AY154" s="1030"/>
      <c r="AZ154" s="1030"/>
      <c r="BA154" s="1030"/>
      <c r="BB154" s="1030"/>
    </row>
    <row r="155" spans="1:54" ht="3" hidden="1" customHeight="1" x14ac:dyDescent="0.3">
      <c r="A155" s="779"/>
      <c r="B155" s="779"/>
      <c r="C155" s="679"/>
      <c r="D155" s="668"/>
      <c r="E155" s="669"/>
      <c r="F155" s="670"/>
      <c r="G155" s="669"/>
      <c r="H155" s="669"/>
      <c r="I155" s="670"/>
      <c r="J155" s="669"/>
      <c r="K155" s="969"/>
      <c r="L155" s="38"/>
      <c r="M155" s="38"/>
      <c r="N155" s="680"/>
      <c r="O155" s="45"/>
      <c r="P155" s="45"/>
      <c r="Q155" s="38"/>
      <c r="R155" s="45"/>
      <c r="S155" s="45"/>
      <c r="T155" s="45"/>
      <c r="U155" s="45"/>
      <c r="V155" s="45"/>
      <c r="W155" s="45"/>
      <c r="X155" s="45"/>
      <c r="Y155" s="38"/>
      <c r="Z155" s="556"/>
      <c r="AA155" s="556"/>
      <c r="AB155" s="556"/>
      <c r="AC155" s="556"/>
      <c r="AD155" s="556"/>
      <c r="AE155" s="977"/>
      <c r="AF155" s="977"/>
      <c r="AG155" s="556"/>
      <c r="AH155" s="556"/>
      <c r="AI155" s="556"/>
      <c r="AJ155" s="556"/>
      <c r="AK155" s="556"/>
      <c r="AL155" s="556"/>
      <c r="AM155" s="556"/>
      <c r="AN155" s="556"/>
      <c r="AO155" s="556"/>
      <c r="AP155" s="556"/>
      <c r="AQ155" s="556"/>
      <c r="AR155" s="556"/>
      <c r="AS155" s="556"/>
      <c r="AT155" s="556"/>
      <c r="AU155" s="556"/>
      <c r="AV155" s="556"/>
      <c r="AW155" s="556"/>
      <c r="AX155" s="556"/>
      <c r="AY155" s="556"/>
      <c r="AZ155" s="556"/>
      <c r="BA155" s="556"/>
      <c r="BB155" s="556"/>
    </row>
    <row r="156" spans="1:54" s="374" customFormat="1" ht="15.6" hidden="1" x14ac:dyDescent="0.3">
      <c r="A156" s="1032" t="s">
        <v>847</v>
      </c>
      <c r="B156" s="732" t="str">
        <f>IF(E156="","",DAY(E156))</f>
        <v/>
      </c>
      <c r="C156" s="676" t="str">
        <f>CONCATENATE(C154+1,".")</f>
        <v>62.</v>
      </c>
      <c r="D156" s="654"/>
      <c r="E156" s="704" t="str">
        <f>(IF(E154="","",IF(G156="","",
IF($M$19=1,EDATE(E154,-1),
IF(AND($M$19=2,B154=1),EOMONTH(E154,-2)+16,
IF(AND($M$19=2,B154=16),EOMONTH(E154,-1)+1,
IF($M$19=3,E154-14,
IF($M$19=4,E154-7,
""))))))))</f>
        <v/>
      </c>
      <c r="F156" s="654" t="s">
        <v>240</v>
      </c>
      <c r="G156" s="704" t="str">
        <f>IF(E154="","",
IF($L$13=3,E154-1,
IF(AND($L$13=2,E154-1&gt;=$V$19,YEAR(E154-1)&gt;=($K$30-1)),E154-1,"")))</f>
        <v/>
      </c>
      <c r="H156" s="660"/>
      <c r="I156" s="654" t="s">
        <v>240</v>
      </c>
      <c r="J156" s="660"/>
      <c r="K156" s="969"/>
      <c r="L156" s="1547"/>
      <c r="M156" s="1548"/>
      <c r="N156" s="677"/>
      <c r="O156" s="655"/>
      <c r="P156" s="656"/>
      <c r="Q156" s="655"/>
      <c r="R156" s="655"/>
      <c r="S156" s="655"/>
      <c r="T156" s="655"/>
      <c r="U156" s="657"/>
      <c r="V156" s="655"/>
      <c r="W156" s="655"/>
      <c r="X156" s="655"/>
      <c r="Y156" s="657"/>
      <c r="Z156" s="1030"/>
      <c r="AA156" s="1030"/>
      <c r="AB156" s="1030"/>
      <c r="AC156" s="1030"/>
      <c r="AD156" s="1030"/>
      <c r="AE156" s="1031"/>
      <c r="AF156" s="1031"/>
      <c r="AG156" s="1030"/>
      <c r="AH156" s="1030"/>
      <c r="AI156" s="1030"/>
      <c r="AJ156" s="1030"/>
      <c r="AK156" s="1030"/>
      <c r="AL156" s="1030"/>
      <c r="AM156" s="1030"/>
      <c r="AN156" s="1030"/>
      <c r="AO156" s="1030"/>
      <c r="AP156" s="1030"/>
      <c r="AQ156" s="1030"/>
      <c r="AR156" s="1030"/>
      <c r="AS156" s="1030"/>
      <c r="AT156" s="1030"/>
      <c r="AU156" s="1030"/>
      <c r="AV156" s="1030"/>
      <c r="AW156" s="1030"/>
      <c r="AX156" s="1030"/>
      <c r="AY156" s="1030"/>
      <c r="AZ156" s="1030"/>
      <c r="BA156" s="1030"/>
      <c r="BB156" s="1030"/>
    </row>
    <row r="157" spans="1:54" ht="3" hidden="1" customHeight="1" x14ac:dyDescent="0.3">
      <c r="A157" s="779"/>
      <c r="B157" s="779"/>
      <c r="C157" s="679"/>
      <c r="D157" s="117"/>
      <c r="E157" s="671"/>
      <c r="F157" s="671"/>
      <c r="G157" s="671"/>
      <c r="H157" s="671"/>
      <c r="I157" s="671"/>
      <c r="J157" s="671"/>
      <c r="K157" s="969"/>
      <c r="L157" s="38"/>
      <c r="M157" s="38"/>
      <c r="N157" s="680"/>
      <c r="O157" s="45"/>
      <c r="P157" s="45"/>
      <c r="Q157" s="45"/>
      <c r="R157" s="45"/>
      <c r="S157" s="45"/>
      <c r="T157" s="45"/>
      <c r="U157" s="45"/>
      <c r="V157" s="45"/>
      <c r="W157" s="45"/>
      <c r="X157" s="45"/>
      <c r="Y157" s="38"/>
      <c r="Z157" s="556"/>
      <c r="AA157" s="556"/>
      <c r="AB157" s="556"/>
      <c r="AC157" s="556"/>
      <c r="AD157" s="556"/>
      <c r="AE157" s="977"/>
      <c r="AF157" s="977"/>
      <c r="AG157" s="556"/>
      <c r="AH157" s="556"/>
      <c r="AI157" s="556"/>
      <c r="AJ157" s="556"/>
      <c r="AK157" s="556"/>
      <c r="AL157" s="556"/>
      <c r="AM157" s="556"/>
      <c r="AN157" s="556"/>
      <c r="AO157" s="556"/>
      <c r="AP157" s="556"/>
      <c r="AQ157" s="556"/>
      <c r="AR157" s="556"/>
      <c r="AS157" s="556"/>
      <c r="AT157" s="556"/>
      <c r="AU157" s="556"/>
      <c r="AV157" s="556"/>
      <c r="AW157" s="556"/>
      <c r="AX157" s="556"/>
      <c r="AY157" s="556"/>
      <c r="AZ157" s="556"/>
      <c r="BA157" s="556"/>
      <c r="BB157" s="556"/>
    </row>
    <row r="158" spans="1:54" s="374" customFormat="1" ht="15.6" hidden="1" x14ac:dyDescent="0.3">
      <c r="A158" s="1032" t="s">
        <v>847</v>
      </c>
      <c r="B158" s="732" t="str">
        <f>IF(E158="","",DAY(E158))</f>
        <v/>
      </c>
      <c r="C158" s="676" t="str">
        <f>CONCATENATE(C156+1,".")</f>
        <v>63.</v>
      </c>
      <c r="D158" s="654"/>
      <c r="E158" s="704" t="str">
        <f>(IF(E156="","",IF(G158="","",
IF($M$19=1,EDATE(E156,-1),
IF(AND($M$19=2,B156=1),EOMONTH(E156,-2)+16,
IF(AND($M$19=2,B156=16),EOMONTH(E156,-1)+1,
IF($M$19=3,E156-14,
IF($M$19=4,E156-7,
""))))))))</f>
        <v/>
      </c>
      <c r="F158" s="654" t="s">
        <v>240</v>
      </c>
      <c r="G158" s="704" t="str">
        <f>IF(E156="","",
IF($L$13=3,E156-1,
IF(AND($L$13=2,E156-1&gt;=$V$19,YEAR(E156-1)&gt;=($K$30-1)),E156-1,"")))</f>
        <v/>
      </c>
      <c r="H158" s="660"/>
      <c r="I158" s="654" t="s">
        <v>240</v>
      </c>
      <c r="J158" s="660"/>
      <c r="K158" s="969"/>
      <c r="L158" s="1547"/>
      <c r="M158" s="1548"/>
      <c r="N158" s="677"/>
      <c r="O158" s="655"/>
      <c r="P158" s="656"/>
      <c r="Q158" s="655"/>
      <c r="R158" s="655"/>
      <c r="S158" s="655"/>
      <c r="T158" s="655"/>
      <c r="U158" s="657"/>
      <c r="V158" s="655"/>
      <c r="W158" s="655"/>
      <c r="X158" s="655"/>
      <c r="Y158" s="657"/>
      <c r="Z158" s="1030"/>
      <c r="AA158" s="1030"/>
      <c r="AB158" s="1030"/>
      <c r="AC158" s="1030"/>
      <c r="AD158" s="1030"/>
      <c r="AE158" s="1031"/>
      <c r="AF158" s="1031"/>
      <c r="AG158" s="1030"/>
      <c r="AH158" s="1030"/>
      <c r="AI158" s="1030"/>
      <c r="AJ158" s="1030"/>
      <c r="AK158" s="1030"/>
      <c r="AL158" s="1030"/>
      <c r="AM158" s="1030"/>
      <c r="AN158" s="1030"/>
      <c r="AO158" s="1030"/>
      <c r="AP158" s="1030"/>
      <c r="AQ158" s="1030"/>
      <c r="AR158" s="1030"/>
      <c r="AS158" s="1030"/>
      <c r="AT158" s="1030"/>
      <c r="AU158" s="1030"/>
      <c r="AV158" s="1030"/>
      <c r="AW158" s="1030"/>
      <c r="AX158" s="1030"/>
      <c r="AY158" s="1030"/>
      <c r="AZ158" s="1030"/>
      <c r="BA158" s="1030"/>
      <c r="BB158" s="1030"/>
    </row>
    <row r="159" spans="1:54" ht="3" hidden="1" customHeight="1" x14ac:dyDescent="0.3">
      <c r="A159" s="779"/>
      <c r="B159" s="779"/>
      <c r="C159" s="679"/>
      <c r="D159" s="144"/>
      <c r="E159" s="671"/>
      <c r="F159" s="671"/>
      <c r="G159" s="671"/>
      <c r="H159" s="671"/>
      <c r="I159" s="671"/>
      <c r="J159" s="671"/>
      <c r="K159" s="969"/>
      <c r="L159" s="38"/>
      <c r="M159" s="38"/>
      <c r="N159" s="680"/>
      <c r="O159" s="45"/>
      <c r="P159" s="45"/>
      <c r="Q159" s="45"/>
      <c r="R159" s="45"/>
      <c r="S159" s="45"/>
      <c r="T159" s="45"/>
      <c r="U159" s="45"/>
      <c r="V159" s="45"/>
      <c r="W159" s="45"/>
      <c r="X159" s="45"/>
      <c r="Y159" s="38"/>
      <c r="Z159" s="556"/>
      <c r="AA159" s="556"/>
      <c r="AB159" s="556"/>
      <c r="AC159" s="556"/>
      <c r="AD159" s="556"/>
      <c r="AE159" s="977"/>
      <c r="AF159" s="977"/>
      <c r="AG159" s="556"/>
      <c r="AH159" s="556"/>
      <c r="AI159" s="556"/>
      <c r="AJ159" s="556"/>
      <c r="AK159" s="556"/>
      <c r="AL159" s="556"/>
      <c r="AM159" s="556"/>
      <c r="AN159" s="556"/>
      <c r="AO159" s="556"/>
      <c r="AP159" s="556"/>
      <c r="AQ159" s="556"/>
      <c r="AR159" s="556"/>
      <c r="AS159" s="556"/>
      <c r="AT159" s="556"/>
      <c r="AU159" s="556"/>
      <c r="AV159" s="556"/>
      <c r="AW159" s="556"/>
      <c r="AX159" s="556"/>
      <c r="AY159" s="556"/>
      <c r="AZ159" s="556"/>
      <c r="BA159" s="556"/>
      <c r="BB159" s="556"/>
    </row>
    <row r="160" spans="1:54" s="374" customFormat="1" ht="15.6" hidden="1" x14ac:dyDescent="0.3">
      <c r="A160" s="1032" t="s">
        <v>847</v>
      </c>
      <c r="B160" s="732" t="str">
        <f>IF(E160="","",DAY(E160))</f>
        <v/>
      </c>
      <c r="C160" s="676" t="str">
        <f>CONCATENATE(C158+1,".")</f>
        <v>64.</v>
      </c>
      <c r="D160" s="654"/>
      <c r="E160" s="704" t="str">
        <f>(IF(E158="","",IF(G160="","",
IF($M$19=1,EDATE(E158,-1),
IF(AND($M$19=2,B158=1),EOMONTH(E158,-2)+16,
IF(AND($M$19=2,B158=16),EOMONTH(E158,-1)+1,
IF($M$19=3,E158-14,
IF($M$19=4,E158-7,
""))))))))</f>
        <v/>
      </c>
      <c r="F160" s="654" t="s">
        <v>240</v>
      </c>
      <c r="G160" s="704" t="str">
        <f>IF(E158="","",
IF($L$13=3,E158-1,
IF(AND($L$13=2,E158-1&gt;=$V$19,YEAR(E158-1)&gt;=($K$30-1)),E158-1,"")))</f>
        <v/>
      </c>
      <c r="H160" s="660"/>
      <c r="I160" s="654" t="s">
        <v>240</v>
      </c>
      <c r="J160" s="660"/>
      <c r="K160" s="969"/>
      <c r="L160" s="1547"/>
      <c r="M160" s="1548"/>
      <c r="N160" s="677"/>
      <c r="O160" s="655"/>
      <c r="P160" s="656"/>
      <c r="Q160" s="655"/>
      <c r="R160" s="655"/>
      <c r="S160" s="655"/>
      <c r="T160" s="655"/>
      <c r="U160" s="657"/>
      <c r="V160" s="655"/>
      <c r="W160" s="655"/>
      <c r="X160" s="655"/>
      <c r="Y160" s="657"/>
      <c r="Z160" s="1030"/>
      <c r="AA160" s="1030"/>
      <c r="AB160" s="1030"/>
      <c r="AC160" s="1030"/>
      <c r="AD160" s="1030"/>
      <c r="AE160" s="1031"/>
      <c r="AF160" s="1031"/>
      <c r="AG160" s="1030"/>
      <c r="AH160" s="1030"/>
      <c r="AI160" s="1030"/>
      <c r="AJ160" s="1030"/>
      <c r="AK160" s="1030"/>
      <c r="AL160" s="1030"/>
      <c r="AM160" s="1030"/>
      <c r="AN160" s="1030"/>
      <c r="AO160" s="1030"/>
      <c r="AP160" s="1030"/>
      <c r="AQ160" s="1030"/>
      <c r="AR160" s="1030"/>
      <c r="AS160" s="1030"/>
      <c r="AT160" s="1030"/>
      <c r="AU160" s="1030"/>
      <c r="AV160" s="1030"/>
      <c r="AW160" s="1030"/>
      <c r="AX160" s="1030"/>
      <c r="AY160" s="1030"/>
      <c r="AZ160" s="1030"/>
      <c r="BA160" s="1030"/>
      <c r="BB160" s="1030"/>
    </row>
    <row r="161" spans="1:54" ht="3" hidden="1" customHeight="1" x14ac:dyDescent="0.3">
      <c r="A161" s="779"/>
      <c r="B161" s="779"/>
      <c r="C161" s="679"/>
      <c r="D161" s="668"/>
      <c r="E161" s="669"/>
      <c r="F161" s="670"/>
      <c r="G161" s="669"/>
      <c r="H161" s="669"/>
      <c r="I161" s="670"/>
      <c r="J161" s="669"/>
      <c r="K161" s="969"/>
      <c r="L161" s="38"/>
      <c r="M161" s="38"/>
      <c r="N161" s="680"/>
      <c r="O161" s="45"/>
      <c r="P161" s="45"/>
      <c r="Q161" s="38"/>
      <c r="R161" s="45"/>
      <c r="S161" s="45"/>
      <c r="T161" s="45"/>
      <c r="U161" s="45"/>
      <c r="V161" s="45"/>
      <c r="W161" s="45"/>
      <c r="X161" s="45"/>
      <c r="Y161" s="38"/>
      <c r="Z161" s="556"/>
      <c r="AA161" s="556"/>
      <c r="AB161" s="556"/>
      <c r="AC161" s="556"/>
      <c r="AD161" s="556"/>
      <c r="AE161" s="977"/>
      <c r="AF161" s="977"/>
      <c r="AG161" s="556"/>
      <c r="AH161" s="556"/>
      <c r="AI161" s="556"/>
      <c r="AJ161" s="556"/>
      <c r="AK161" s="556"/>
      <c r="AL161" s="556"/>
      <c r="AM161" s="556"/>
      <c r="AN161" s="556"/>
      <c r="AO161" s="556"/>
      <c r="AP161" s="556"/>
      <c r="AQ161" s="556"/>
      <c r="AR161" s="556"/>
      <c r="AS161" s="556"/>
      <c r="AT161" s="556"/>
      <c r="AU161" s="556"/>
      <c r="AV161" s="556"/>
      <c r="AW161" s="556"/>
      <c r="AX161" s="556"/>
      <c r="AY161" s="556"/>
      <c r="AZ161" s="556"/>
      <c r="BA161" s="556"/>
      <c r="BB161" s="556"/>
    </row>
    <row r="162" spans="1:54" s="374" customFormat="1" ht="15.6" hidden="1" x14ac:dyDescent="0.3">
      <c r="A162" s="1032" t="s">
        <v>847</v>
      </c>
      <c r="B162" s="732" t="str">
        <f>IF(E162="","",DAY(E162))</f>
        <v/>
      </c>
      <c r="C162" s="676" t="str">
        <f>CONCATENATE(C160+1,".")</f>
        <v>65.</v>
      </c>
      <c r="D162" s="654"/>
      <c r="E162" s="704" t="str">
        <f>(IF(E160="","",IF(G162="","",
IF($M$19=1,EDATE(E160,-1),
IF(AND($M$19=2,B160=1),EOMONTH(E160,-2)+16,
IF(AND($M$19=2,B160=16),EOMONTH(E160,-1)+1,
IF($M$19=3,E160-14,
IF($M$19=4,E160-7,
""))))))))</f>
        <v/>
      </c>
      <c r="F162" s="654" t="s">
        <v>240</v>
      </c>
      <c r="G162" s="704" t="str">
        <f>IF(E160="","",
IF($L$13=3,E160-1,
IF(AND($L$13=2,E160-1&gt;=$V$19,YEAR(E160-1)&gt;=($K$30-1)),E160-1,"")))</f>
        <v/>
      </c>
      <c r="H162" s="660"/>
      <c r="I162" s="654" t="s">
        <v>240</v>
      </c>
      <c r="J162" s="660"/>
      <c r="K162" s="969"/>
      <c r="L162" s="1547"/>
      <c r="M162" s="1548"/>
      <c r="N162" s="677"/>
      <c r="O162" s="655"/>
      <c r="P162" s="656"/>
      <c r="Q162" s="655"/>
      <c r="R162" s="655"/>
      <c r="S162" s="655"/>
      <c r="T162" s="655"/>
      <c r="U162" s="657"/>
      <c r="V162" s="655"/>
      <c r="W162" s="655"/>
      <c r="X162" s="655"/>
      <c r="Y162" s="657"/>
      <c r="Z162" s="1030"/>
      <c r="AA162" s="1030"/>
      <c r="AB162" s="1030"/>
      <c r="AC162" s="1030"/>
      <c r="AD162" s="1030"/>
      <c r="AE162" s="1031"/>
      <c r="AF162" s="1031"/>
      <c r="AG162" s="1030"/>
      <c r="AH162" s="1030"/>
      <c r="AI162" s="1030"/>
      <c r="AJ162" s="1030"/>
      <c r="AK162" s="1030"/>
      <c r="AL162" s="1030"/>
      <c r="AM162" s="1030"/>
      <c r="AN162" s="1030"/>
      <c r="AO162" s="1030"/>
      <c r="AP162" s="1030"/>
      <c r="AQ162" s="1030"/>
      <c r="AR162" s="1030"/>
      <c r="AS162" s="1030"/>
      <c r="AT162" s="1030"/>
      <c r="AU162" s="1030"/>
      <c r="AV162" s="1030"/>
      <c r="AW162" s="1030"/>
      <c r="AX162" s="1030"/>
      <c r="AY162" s="1030"/>
      <c r="AZ162" s="1030"/>
      <c r="BA162" s="1030"/>
      <c r="BB162" s="1030"/>
    </row>
    <row r="163" spans="1:54" ht="3" hidden="1" customHeight="1" x14ac:dyDescent="0.3">
      <c r="A163" s="779"/>
      <c r="B163" s="779"/>
      <c r="C163" s="679"/>
      <c r="D163" s="668"/>
      <c r="E163" s="669"/>
      <c r="F163" s="670"/>
      <c r="G163" s="669"/>
      <c r="H163" s="669"/>
      <c r="I163" s="670"/>
      <c r="J163" s="669"/>
      <c r="K163" s="969"/>
      <c r="L163" s="38"/>
      <c r="M163" s="38"/>
      <c r="N163" s="680"/>
      <c r="O163" s="45"/>
      <c r="P163" s="45"/>
      <c r="Q163" s="38"/>
      <c r="R163" s="45"/>
      <c r="S163" s="45"/>
      <c r="T163" s="45"/>
      <c r="U163" s="45"/>
      <c r="V163" s="45"/>
      <c r="W163" s="45"/>
      <c r="X163" s="45"/>
      <c r="Y163" s="38"/>
      <c r="Z163" s="556"/>
      <c r="AA163" s="556"/>
      <c r="AB163" s="556"/>
      <c r="AC163" s="556"/>
      <c r="AD163" s="556"/>
      <c r="AE163" s="977"/>
      <c r="AF163" s="977"/>
      <c r="AG163" s="556"/>
      <c r="AH163" s="556"/>
      <c r="AI163" s="556"/>
      <c r="AJ163" s="556"/>
      <c r="AK163" s="556"/>
      <c r="AL163" s="556"/>
      <c r="AM163" s="556"/>
      <c r="AN163" s="556"/>
      <c r="AO163" s="556"/>
      <c r="AP163" s="556"/>
      <c r="AQ163" s="556"/>
      <c r="AR163" s="556"/>
      <c r="AS163" s="556"/>
      <c r="AT163" s="556"/>
      <c r="AU163" s="556"/>
      <c r="AV163" s="556"/>
      <c r="AW163" s="556"/>
      <c r="AX163" s="556"/>
      <c r="AY163" s="556"/>
      <c r="AZ163" s="556"/>
      <c r="BA163" s="556"/>
      <c r="BB163" s="556"/>
    </row>
    <row r="164" spans="1:54" s="374" customFormat="1" ht="15.6" hidden="1" x14ac:dyDescent="0.3">
      <c r="A164" s="1032" t="s">
        <v>847</v>
      </c>
      <c r="B164" s="732" t="str">
        <f>IF(E164="","",DAY(E164))</f>
        <v/>
      </c>
      <c r="C164" s="676" t="str">
        <f>CONCATENATE(C162+1,".")</f>
        <v>66.</v>
      </c>
      <c r="D164" s="654"/>
      <c r="E164" s="704" t="str">
        <f>(IF(E162="","",IF(G164="","",
IF($M$19=1,EDATE(E162,-1),
IF(AND($M$19=2,B162=1),EOMONTH(E162,-2)+16,
IF(AND($M$19=2,B162=16),EOMONTH(E162,-1)+1,
IF($M$19=3,E162-14,
IF($M$19=4,E162-7,
""))))))))</f>
        <v/>
      </c>
      <c r="F164" s="654" t="s">
        <v>240</v>
      </c>
      <c r="G164" s="704" t="str">
        <f>IF(E162="","",
IF($L$13=3,E162-1,
IF(AND($L$13=2,E162-1&gt;=$V$19,YEAR(E162-1)&gt;=($K$30-1)),E162-1,"")))</f>
        <v/>
      </c>
      <c r="H164" s="660"/>
      <c r="I164" s="654" t="s">
        <v>240</v>
      </c>
      <c r="J164" s="660"/>
      <c r="K164" s="969"/>
      <c r="L164" s="1547"/>
      <c r="M164" s="1548"/>
      <c r="N164" s="677"/>
      <c r="O164" s="655"/>
      <c r="P164" s="656"/>
      <c r="Q164" s="655"/>
      <c r="R164" s="655"/>
      <c r="S164" s="655"/>
      <c r="T164" s="655"/>
      <c r="U164" s="657"/>
      <c r="V164" s="655"/>
      <c r="W164" s="655"/>
      <c r="X164" s="655"/>
      <c r="Y164" s="657"/>
      <c r="Z164" s="1030"/>
      <c r="AA164" s="1030"/>
      <c r="AB164" s="1030"/>
      <c r="AC164" s="1030"/>
      <c r="AD164" s="1030"/>
      <c r="AE164" s="1031"/>
      <c r="AF164" s="1031"/>
      <c r="AG164" s="1030"/>
      <c r="AH164" s="1030"/>
      <c r="AI164" s="1030"/>
      <c r="AJ164" s="1030"/>
      <c r="AK164" s="1030"/>
      <c r="AL164" s="1030"/>
      <c r="AM164" s="1030"/>
      <c r="AN164" s="1030"/>
      <c r="AO164" s="1030"/>
      <c r="AP164" s="1030"/>
      <c r="AQ164" s="1030"/>
      <c r="AR164" s="1030"/>
      <c r="AS164" s="1030"/>
      <c r="AT164" s="1030"/>
      <c r="AU164" s="1030"/>
      <c r="AV164" s="1030"/>
      <c r="AW164" s="1030"/>
      <c r="AX164" s="1030"/>
      <c r="AY164" s="1030"/>
      <c r="AZ164" s="1030"/>
      <c r="BA164" s="1030"/>
      <c r="BB164" s="1030"/>
    </row>
    <row r="165" spans="1:54" ht="3" hidden="1" customHeight="1" x14ac:dyDescent="0.3">
      <c r="A165" s="779"/>
      <c r="B165" s="779"/>
      <c r="C165" s="679"/>
      <c r="D165" s="668"/>
      <c r="E165" s="669"/>
      <c r="F165" s="670"/>
      <c r="G165" s="669"/>
      <c r="H165" s="669"/>
      <c r="I165" s="670"/>
      <c r="J165" s="669"/>
      <c r="K165" s="969"/>
      <c r="L165" s="134"/>
      <c r="M165" s="134"/>
      <c r="N165" s="680"/>
      <c r="O165" s="45"/>
      <c r="P165" s="45"/>
      <c r="Q165" s="38"/>
      <c r="R165" s="45"/>
      <c r="S165" s="45"/>
      <c r="T165" s="45"/>
      <c r="U165" s="45"/>
      <c r="V165" s="45"/>
      <c r="W165" s="45"/>
      <c r="X165" s="45"/>
      <c r="Y165" s="38"/>
      <c r="Z165" s="556"/>
      <c r="AA165" s="556"/>
      <c r="AB165" s="556"/>
      <c r="AC165" s="556"/>
      <c r="AD165" s="556"/>
      <c r="AE165" s="977"/>
      <c r="AF165" s="977"/>
      <c r="AG165" s="556"/>
      <c r="AH165" s="556"/>
      <c r="AI165" s="556"/>
      <c r="AJ165" s="556"/>
      <c r="AK165" s="556"/>
      <c r="AL165" s="556"/>
      <c r="AM165" s="556"/>
      <c r="AN165" s="556"/>
      <c r="AO165" s="556"/>
      <c r="AP165" s="556"/>
      <c r="AQ165" s="556"/>
      <c r="AR165" s="556"/>
      <c r="AS165" s="556"/>
      <c r="AT165" s="556"/>
      <c r="AU165" s="556"/>
      <c r="AV165" s="556"/>
      <c r="AW165" s="556"/>
      <c r="AX165" s="556"/>
      <c r="AY165" s="556"/>
      <c r="AZ165" s="556"/>
      <c r="BA165" s="556"/>
      <c r="BB165" s="556"/>
    </row>
    <row r="166" spans="1:54" s="374" customFormat="1" ht="15.6" hidden="1" x14ac:dyDescent="0.3">
      <c r="A166" s="1032" t="s">
        <v>847</v>
      </c>
      <c r="B166" s="732" t="str">
        <f>IF(E166="","",DAY(E166))</f>
        <v/>
      </c>
      <c r="C166" s="676" t="str">
        <f>CONCATENATE(C164+1,".")</f>
        <v>67.</v>
      </c>
      <c r="D166" s="654"/>
      <c r="E166" s="704" t="str">
        <f>(IF(E164="","",IF(G166="","",
IF($M$19=1,EDATE(E164,-1),
IF(AND($M$19=2,B164=1),EOMONTH(E164,-2)+16,
IF(AND($M$19=2,B164=16),EOMONTH(E164,-1)+1,
IF($M$19=3,E164-14,
IF($M$19=4,E164-7,
""))))))))</f>
        <v/>
      </c>
      <c r="F166" s="654" t="s">
        <v>240</v>
      </c>
      <c r="G166" s="704" t="str">
        <f>IF(E164="","",
IF($L$13=3,E164-1,
IF(AND($L$13=2,E164-1&gt;=$V$19,YEAR(E164-1)&gt;=($K$30-1)),E164-1,"")))</f>
        <v/>
      </c>
      <c r="H166" s="660"/>
      <c r="I166" s="654" t="s">
        <v>240</v>
      </c>
      <c r="J166" s="660"/>
      <c r="K166" s="969"/>
      <c r="L166" s="1547"/>
      <c r="M166" s="1548"/>
      <c r="N166" s="677"/>
      <c r="O166" s="655"/>
      <c r="P166" s="656"/>
      <c r="Q166" s="655"/>
      <c r="R166" s="655"/>
      <c r="S166" s="655"/>
      <c r="T166" s="655"/>
      <c r="U166" s="657"/>
      <c r="V166" s="655"/>
      <c r="W166" s="655"/>
      <c r="X166" s="655"/>
      <c r="Y166" s="657"/>
      <c r="Z166" s="1030"/>
      <c r="AA166" s="1030"/>
      <c r="AB166" s="1030"/>
      <c r="AC166" s="1030"/>
      <c r="AD166" s="1030"/>
      <c r="AE166" s="1031"/>
      <c r="AF166" s="1031"/>
      <c r="AG166" s="1030"/>
      <c r="AH166" s="1030"/>
      <c r="AI166" s="1030"/>
      <c r="AJ166" s="1030"/>
      <c r="AK166" s="1030"/>
      <c r="AL166" s="1030"/>
      <c r="AM166" s="1030"/>
      <c r="AN166" s="1030"/>
      <c r="AO166" s="1030"/>
      <c r="AP166" s="1030"/>
      <c r="AQ166" s="1030"/>
      <c r="AR166" s="1030"/>
      <c r="AS166" s="1030"/>
      <c r="AT166" s="1030"/>
      <c r="AU166" s="1030"/>
      <c r="AV166" s="1030"/>
      <c r="AW166" s="1030"/>
      <c r="AX166" s="1030"/>
      <c r="AY166" s="1030"/>
      <c r="AZ166" s="1030"/>
      <c r="BA166" s="1030"/>
      <c r="BB166" s="1030"/>
    </row>
    <row r="167" spans="1:54" ht="3" hidden="1" customHeight="1" x14ac:dyDescent="0.3">
      <c r="A167" s="779"/>
      <c r="B167" s="779"/>
      <c r="C167" s="679"/>
      <c r="D167" s="117"/>
      <c r="E167" s="671"/>
      <c r="F167" s="671"/>
      <c r="G167" s="671"/>
      <c r="H167" s="671"/>
      <c r="I167" s="671"/>
      <c r="J167" s="671"/>
      <c r="K167" s="969"/>
      <c r="L167" s="38"/>
      <c r="M167" s="38"/>
      <c r="N167" s="680"/>
      <c r="O167" s="45"/>
      <c r="P167" s="45"/>
      <c r="Q167" s="45"/>
      <c r="R167" s="45"/>
      <c r="S167" s="45"/>
      <c r="T167" s="45"/>
      <c r="U167" s="45"/>
      <c r="V167" s="45"/>
      <c r="W167" s="45"/>
      <c r="X167" s="45"/>
      <c r="Y167" s="38"/>
      <c r="Z167" s="556"/>
      <c r="AA167" s="556"/>
      <c r="AB167" s="556"/>
      <c r="AC167" s="556"/>
      <c r="AD167" s="556"/>
      <c r="AE167" s="977"/>
      <c r="AF167" s="977"/>
      <c r="AG167" s="556"/>
      <c r="AH167" s="556"/>
      <c r="AI167" s="556"/>
      <c r="AJ167" s="556"/>
      <c r="AK167" s="556"/>
      <c r="AL167" s="556"/>
      <c r="AM167" s="556"/>
      <c r="AN167" s="556"/>
      <c r="AO167" s="556"/>
      <c r="AP167" s="556"/>
      <c r="AQ167" s="556"/>
      <c r="AR167" s="556"/>
      <c r="AS167" s="556"/>
      <c r="AT167" s="556"/>
      <c r="AU167" s="556"/>
      <c r="AV167" s="556"/>
      <c r="AW167" s="556"/>
      <c r="AX167" s="556"/>
      <c r="AY167" s="556"/>
      <c r="AZ167" s="556"/>
      <c r="BA167" s="556"/>
      <c r="BB167" s="556"/>
    </row>
    <row r="168" spans="1:54" s="374" customFormat="1" ht="15.6" hidden="1" x14ac:dyDescent="0.3">
      <c r="A168" s="1032" t="s">
        <v>847</v>
      </c>
      <c r="B168" s="732" t="str">
        <f>IF(E168="","",DAY(E168))</f>
        <v/>
      </c>
      <c r="C168" s="676" t="str">
        <f>CONCATENATE(C166+1,".")</f>
        <v>68.</v>
      </c>
      <c r="D168" s="654"/>
      <c r="E168" s="704" t="str">
        <f>(IF(E166="","",IF(G168="","",
IF($M$19=1,EDATE(E166,-1),
IF(AND($M$19=2,B166=1),EOMONTH(E166,-2)+16,
IF(AND($M$19=2,B166=16),EOMONTH(E166,-1)+1,
IF($M$19=3,E166-14,
IF($M$19=4,E166-7,
""))))))))</f>
        <v/>
      </c>
      <c r="F168" s="654" t="s">
        <v>240</v>
      </c>
      <c r="G168" s="704" t="str">
        <f>IF(E166="","",
IF($L$13=3,E166-1,
IF(AND($L$13=2,E166-1&gt;=$V$19,YEAR(E166-1)&gt;=($K$30-1)),E166-1,"")))</f>
        <v/>
      </c>
      <c r="H168" s="660"/>
      <c r="I168" s="654" t="s">
        <v>240</v>
      </c>
      <c r="J168" s="660"/>
      <c r="K168" s="969"/>
      <c r="L168" s="1547"/>
      <c r="M168" s="1548"/>
      <c r="N168" s="677"/>
      <c r="O168" s="655"/>
      <c r="P168" s="656"/>
      <c r="Q168" s="655"/>
      <c r="R168" s="655"/>
      <c r="S168" s="655"/>
      <c r="T168" s="655"/>
      <c r="U168" s="657"/>
      <c r="V168" s="655"/>
      <c r="W168" s="655"/>
      <c r="X168" s="655"/>
      <c r="Y168" s="657"/>
      <c r="Z168" s="1030"/>
      <c r="AA168" s="1030"/>
      <c r="AB168" s="1030"/>
      <c r="AC168" s="1030"/>
      <c r="AD168" s="1030"/>
      <c r="AE168" s="1031"/>
      <c r="AF168" s="1031"/>
      <c r="AG168" s="1030"/>
      <c r="AH168" s="1030"/>
      <c r="AI168" s="1030"/>
      <c r="AJ168" s="1030"/>
      <c r="AK168" s="1030"/>
      <c r="AL168" s="1030"/>
      <c r="AM168" s="1030"/>
      <c r="AN168" s="1030"/>
      <c r="AO168" s="1030"/>
      <c r="AP168" s="1030"/>
      <c r="AQ168" s="1030"/>
      <c r="AR168" s="1030"/>
      <c r="AS168" s="1030"/>
      <c r="AT168" s="1030"/>
      <c r="AU168" s="1030"/>
      <c r="AV168" s="1030"/>
      <c r="AW168" s="1030"/>
      <c r="AX168" s="1030"/>
      <c r="AY168" s="1030"/>
      <c r="AZ168" s="1030"/>
      <c r="BA168" s="1030"/>
      <c r="BB168" s="1030"/>
    </row>
    <row r="169" spans="1:54" ht="3" hidden="1" customHeight="1" x14ac:dyDescent="0.3">
      <c r="A169" s="779"/>
      <c r="B169" s="779"/>
      <c r="C169" s="679"/>
      <c r="D169" s="144"/>
      <c r="E169" s="671"/>
      <c r="F169" s="671"/>
      <c r="G169" s="671"/>
      <c r="H169" s="671"/>
      <c r="I169" s="671"/>
      <c r="J169" s="671"/>
      <c r="K169" s="969"/>
      <c r="L169" s="38"/>
      <c r="M169" s="38"/>
      <c r="N169" s="680"/>
      <c r="O169" s="45"/>
      <c r="P169" s="45"/>
      <c r="Q169" s="45"/>
      <c r="R169" s="45"/>
      <c r="S169" s="45"/>
      <c r="T169" s="45"/>
      <c r="U169" s="45"/>
      <c r="V169" s="45"/>
      <c r="W169" s="45"/>
      <c r="X169" s="45"/>
      <c r="Y169" s="38"/>
      <c r="Z169" s="556"/>
      <c r="AA169" s="556"/>
      <c r="AB169" s="556"/>
      <c r="AC169" s="556"/>
      <c r="AD169" s="556"/>
      <c r="AE169" s="977"/>
      <c r="AF169" s="977"/>
      <c r="AG169" s="556"/>
      <c r="AH169" s="556"/>
      <c r="AI169" s="556"/>
      <c r="AJ169" s="556"/>
      <c r="AK169" s="556"/>
      <c r="AL169" s="556"/>
      <c r="AM169" s="556"/>
      <c r="AN169" s="556"/>
      <c r="AO169" s="556"/>
      <c r="AP169" s="556"/>
      <c r="AQ169" s="556"/>
      <c r="AR169" s="556"/>
      <c r="AS169" s="556"/>
      <c r="AT169" s="556"/>
      <c r="AU169" s="556"/>
      <c r="AV169" s="556"/>
      <c r="AW169" s="556"/>
      <c r="AX169" s="556"/>
      <c r="AY169" s="556"/>
      <c r="AZ169" s="556"/>
      <c r="BA169" s="556"/>
      <c r="BB169" s="556"/>
    </row>
    <row r="170" spans="1:54" s="374" customFormat="1" ht="15.6" hidden="1" x14ac:dyDescent="0.3">
      <c r="A170" s="1032" t="s">
        <v>847</v>
      </c>
      <c r="B170" s="732" t="str">
        <f>IF(E170="","",DAY(E170))</f>
        <v/>
      </c>
      <c r="C170" s="676" t="str">
        <f>CONCATENATE(C168+1,".")</f>
        <v>69.</v>
      </c>
      <c r="D170" s="654"/>
      <c r="E170" s="704" t="str">
        <f>(IF(E168="","",IF(G170="","",
IF($M$19=1,EDATE(E168,-1),
IF(AND($M$19=2,B168=1),EOMONTH(E168,-2)+16,
IF(AND($M$19=2,B168=16),EOMONTH(E168,-1)+1,
IF($M$19=3,E168-14,
IF($M$19=4,E168-7,
""))))))))</f>
        <v/>
      </c>
      <c r="F170" s="654" t="s">
        <v>240</v>
      </c>
      <c r="G170" s="704" t="str">
        <f>IF(E168="","",
IF($L$13=3,E168-1,
IF(AND($L$13=2,E168-1&gt;=$V$19,YEAR(E168-1)&gt;=($K$30-1)),E168-1,"")))</f>
        <v/>
      </c>
      <c r="H170" s="660"/>
      <c r="I170" s="654" t="s">
        <v>240</v>
      </c>
      <c r="J170" s="660"/>
      <c r="K170" s="969"/>
      <c r="L170" s="1547"/>
      <c r="M170" s="1548"/>
      <c r="N170" s="677"/>
      <c r="O170" s="655"/>
      <c r="P170" s="656"/>
      <c r="Q170" s="655"/>
      <c r="R170" s="655"/>
      <c r="S170" s="655"/>
      <c r="T170" s="655"/>
      <c r="U170" s="657"/>
      <c r="V170" s="655"/>
      <c r="W170" s="655"/>
      <c r="X170" s="655"/>
      <c r="Y170" s="657"/>
      <c r="Z170" s="1030"/>
      <c r="AA170" s="1030"/>
      <c r="AB170" s="1030"/>
      <c r="AC170" s="1030"/>
      <c r="AD170" s="1030"/>
      <c r="AE170" s="1031"/>
      <c r="AF170" s="1031"/>
      <c r="AG170" s="1030"/>
      <c r="AH170" s="1030"/>
      <c r="AI170" s="1030"/>
      <c r="AJ170" s="1030"/>
      <c r="AK170" s="1030"/>
      <c r="AL170" s="1030"/>
      <c r="AM170" s="1030"/>
      <c r="AN170" s="1030"/>
      <c r="AO170" s="1030"/>
      <c r="AP170" s="1030"/>
      <c r="AQ170" s="1030"/>
      <c r="AR170" s="1030"/>
      <c r="AS170" s="1030"/>
      <c r="AT170" s="1030"/>
      <c r="AU170" s="1030"/>
      <c r="AV170" s="1030"/>
      <c r="AW170" s="1030"/>
      <c r="AX170" s="1030"/>
      <c r="AY170" s="1030"/>
      <c r="AZ170" s="1030"/>
      <c r="BA170" s="1030"/>
      <c r="BB170" s="1030"/>
    </row>
    <row r="171" spans="1:54" ht="3" hidden="1" customHeight="1" x14ac:dyDescent="0.3">
      <c r="A171" s="779"/>
      <c r="B171" s="779"/>
      <c r="C171" s="679"/>
      <c r="D171" s="144"/>
      <c r="E171" s="671"/>
      <c r="F171" s="671"/>
      <c r="G171" s="671"/>
      <c r="H171" s="671"/>
      <c r="I171" s="671"/>
      <c r="J171" s="671"/>
      <c r="K171" s="969"/>
      <c r="L171" s="38"/>
      <c r="M171" s="38"/>
      <c r="N171" s="680"/>
      <c r="O171" s="45"/>
      <c r="P171" s="45"/>
      <c r="Q171" s="45"/>
      <c r="R171" s="45"/>
      <c r="S171" s="45"/>
      <c r="T171" s="45"/>
      <c r="U171" s="45"/>
      <c r="V171" s="45"/>
      <c r="W171" s="45"/>
      <c r="X171" s="45"/>
      <c r="Y171" s="38"/>
      <c r="Z171" s="556"/>
      <c r="AA171" s="556"/>
      <c r="AB171" s="556"/>
      <c r="AC171" s="556"/>
      <c r="AD171" s="556"/>
      <c r="AE171" s="977"/>
      <c r="AF171" s="977"/>
      <c r="AG171" s="556"/>
      <c r="AH171" s="556"/>
      <c r="AI171" s="556"/>
      <c r="AJ171" s="556"/>
      <c r="AK171" s="556"/>
      <c r="AL171" s="556"/>
      <c r="AM171" s="556"/>
      <c r="AN171" s="556"/>
      <c r="AO171" s="556"/>
      <c r="AP171" s="556"/>
      <c r="AQ171" s="556"/>
      <c r="AR171" s="556"/>
      <c r="AS171" s="556"/>
      <c r="AT171" s="556"/>
      <c r="AU171" s="556"/>
      <c r="AV171" s="556"/>
      <c r="AW171" s="556"/>
      <c r="AX171" s="556"/>
      <c r="AY171" s="556"/>
      <c r="AZ171" s="556"/>
      <c r="BA171" s="556"/>
      <c r="BB171" s="556"/>
    </row>
    <row r="172" spans="1:54" s="374" customFormat="1" ht="15.6" hidden="1" x14ac:dyDescent="0.3">
      <c r="A172" s="1032" t="s">
        <v>847</v>
      </c>
      <c r="B172" s="732" t="str">
        <f>IF(E172="","",DAY(E172))</f>
        <v/>
      </c>
      <c r="C172" s="676" t="str">
        <f>CONCATENATE(C170+1,".")</f>
        <v>70.</v>
      </c>
      <c r="D172" s="654"/>
      <c r="E172" s="704" t="str">
        <f>(IF(E170="","",IF(G172="","",
IF($M$19=1,EDATE(E170,-1),
IF(AND($M$19=2,B170=1),EOMONTH(E170,-2)+16,
IF(AND($M$19=2,B170=16),EOMONTH(E170,-1)+1,
IF($M$19=3,E170-14,
IF($M$19=4,E170-7,
""))))))))</f>
        <v/>
      </c>
      <c r="F172" s="654" t="s">
        <v>240</v>
      </c>
      <c r="G172" s="704" t="str">
        <f>IF(E170="","",
IF($L$13=3,E170-1,
IF(AND($L$13=2,E170-1&gt;=$V$19,YEAR(E170-1)&gt;=($K$30-1)),E170-1,"")))</f>
        <v/>
      </c>
      <c r="H172" s="660"/>
      <c r="I172" s="654" t="s">
        <v>240</v>
      </c>
      <c r="J172" s="660"/>
      <c r="K172" s="969"/>
      <c r="L172" s="1547"/>
      <c r="M172" s="1548"/>
      <c r="N172" s="677"/>
      <c r="O172" s="655"/>
      <c r="P172" s="656"/>
      <c r="Q172" s="655"/>
      <c r="R172" s="655"/>
      <c r="S172" s="655"/>
      <c r="T172" s="655"/>
      <c r="U172" s="657"/>
      <c r="V172" s="655"/>
      <c r="W172" s="655"/>
      <c r="X172" s="655"/>
      <c r="Y172" s="657"/>
      <c r="Z172" s="1030"/>
      <c r="AA172" s="1030"/>
      <c r="AB172" s="1030"/>
      <c r="AC172" s="1030"/>
      <c r="AD172" s="1030"/>
      <c r="AE172" s="1031"/>
      <c r="AF172" s="1031"/>
      <c r="AG172" s="1030"/>
      <c r="AH172" s="1030"/>
      <c r="AI172" s="1030"/>
      <c r="AJ172" s="1030"/>
      <c r="AK172" s="1030"/>
      <c r="AL172" s="1030"/>
      <c r="AM172" s="1030"/>
      <c r="AN172" s="1030"/>
      <c r="AO172" s="1030"/>
      <c r="AP172" s="1030"/>
      <c r="AQ172" s="1030"/>
      <c r="AR172" s="1030"/>
      <c r="AS172" s="1030"/>
      <c r="AT172" s="1030"/>
      <c r="AU172" s="1030"/>
      <c r="AV172" s="1030"/>
      <c r="AW172" s="1030"/>
      <c r="AX172" s="1030"/>
      <c r="AY172" s="1030"/>
      <c r="AZ172" s="1030"/>
      <c r="BA172" s="1030"/>
      <c r="BB172" s="1030"/>
    </row>
    <row r="173" spans="1:54" ht="3" hidden="1" customHeight="1" x14ac:dyDescent="0.3">
      <c r="A173" s="779"/>
      <c r="B173" s="779"/>
      <c r="C173" s="679"/>
      <c r="D173" s="668"/>
      <c r="E173" s="669"/>
      <c r="F173" s="670"/>
      <c r="G173" s="669"/>
      <c r="H173" s="669"/>
      <c r="I173" s="670"/>
      <c r="J173" s="669"/>
      <c r="K173" s="969"/>
      <c r="L173" s="134"/>
      <c r="M173" s="134"/>
      <c r="N173" s="680"/>
      <c r="O173" s="45"/>
      <c r="P173" s="45"/>
      <c r="Q173" s="38"/>
      <c r="R173" s="45"/>
      <c r="S173" s="45"/>
      <c r="T173" s="45"/>
      <c r="U173" s="45"/>
      <c r="V173" s="45"/>
      <c r="W173" s="45"/>
      <c r="X173" s="45"/>
      <c r="Y173" s="38"/>
      <c r="Z173" s="556"/>
      <c r="AA173" s="556"/>
      <c r="AB173" s="556"/>
      <c r="AC173" s="556"/>
      <c r="AD173" s="556"/>
      <c r="AE173" s="977"/>
      <c r="AF173" s="977"/>
      <c r="AG173" s="556"/>
      <c r="AH173" s="556"/>
      <c r="AI173" s="556"/>
      <c r="AJ173" s="556"/>
      <c r="AK173" s="556"/>
      <c r="AL173" s="556"/>
      <c r="AM173" s="556"/>
      <c r="AN173" s="556"/>
      <c r="AO173" s="556"/>
      <c r="AP173" s="556"/>
      <c r="AQ173" s="556"/>
      <c r="AR173" s="556"/>
      <c r="AS173" s="556"/>
      <c r="AT173" s="556"/>
      <c r="AU173" s="556"/>
      <c r="AV173" s="556"/>
      <c r="AW173" s="556"/>
      <c r="AX173" s="556"/>
      <c r="AY173" s="556"/>
      <c r="AZ173" s="556"/>
      <c r="BA173" s="556"/>
      <c r="BB173" s="556"/>
    </row>
    <row r="174" spans="1:54" s="374" customFormat="1" ht="15.6" hidden="1" x14ac:dyDescent="0.3">
      <c r="A174" s="1032" t="s">
        <v>847</v>
      </c>
      <c r="B174" s="732" t="str">
        <f>IF(E174="","",DAY(E174))</f>
        <v/>
      </c>
      <c r="C174" s="676" t="str">
        <f>CONCATENATE(C172+1,".")</f>
        <v>71.</v>
      </c>
      <c r="D174" s="654"/>
      <c r="E174" s="704" t="str">
        <f>(IF(E172="","",IF(G174="","",
IF($M$19=1,EDATE(E172,-1),
IF(AND($M$19=2,B172=1),EOMONTH(E172,-2)+16,
IF(AND($M$19=2,B172=16),EOMONTH(E172,-1)+1,
IF($M$19=3,E172-14,
IF($M$19=4,E172-7,
""))))))))</f>
        <v/>
      </c>
      <c r="F174" s="654" t="s">
        <v>240</v>
      </c>
      <c r="G174" s="704" t="str">
        <f>IF(E172="","",
IF($L$13=3,E172-1,
IF(AND($L$13=2,E172-1&gt;=$V$19,YEAR(E172-1)&gt;=($K$30-1)),E172-1,"")))</f>
        <v/>
      </c>
      <c r="H174" s="660"/>
      <c r="I174" s="654" t="s">
        <v>240</v>
      </c>
      <c r="J174" s="660"/>
      <c r="K174" s="969"/>
      <c r="L174" s="1547"/>
      <c r="M174" s="1548"/>
      <c r="N174" s="677"/>
      <c r="O174" s="655"/>
      <c r="P174" s="656"/>
      <c r="Q174" s="655"/>
      <c r="R174" s="655"/>
      <c r="S174" s="655"/>
      <c r="T174" s="655"/>
      <c r="U174" s="657"/>
      <c r="V174" s="655"/>
      <c r="W174" s="655"/>
      <c r="X174" s="655"/>
      <c r="Y174" s="657"/>
      <c r="Z174" s="1030"/>
      <c r="AA174" s="1030"/>
      <c r="AB174" s="1030"/>
      <c r="AC174" s="1030"/>
      <c r="AD174" s="1030"/>
      <c r="AE174" s="1031"/>
      <c r="AF174" s="1031"/>
      <c r="AG174" s="1030"/>
      <c r="AH174" s="1030"/>
      <c r="AI174" s="1030"/>
      <c r="AJ174" s="1030"/>
      <c r="AK174" s="1030"/>
      <c r="AL174" s="1030"/>
      <c r="AM174" s="1030"/>
      <c r="AN174" s="1030"/>
      <c r="AO174" s="1030"/>
      <c r="AP174" s="1030"/>
      <c r="AQ174" s="1030"/>
      <c r="AR174" s="1030"/>
      <c r="AS174" s="1030"/>
      <c r="AT174" s="1030"/>
      <c r="AU174" s="1030"/>
      <c r="AV174" s="1030"/>
      <c r="AW174" s="1030"/>
      <c r="AX174" s="1030"/>
      <c r="AY174" s="1030"/>
      <c r="AZ174" s="1030"/>
      <c r="BA174" s="1030"/>
      <c r="BB174" s="1030"/>
    </row>
    <row r="175" spans="1:54" ht="3" hidden="1" customHeight="1" x14ac:dyDescent="0.3">
      <c r="A175" s="779"/>
      <c r="B175" s="779"/>
      <c r="C175" s="679"/>
      <c r="D175" s="117"/>
      <c r="E175" s="671"/>
      <c r="F175" s="671"/>
      <c r="G175" s="671"/>
      <c r="H175" s="671"/>
      <c r="I175" s="671"/>
      <c r="J175" s="671"/>
      <c r="K175" s="969"/>
      <c r="L175" s="38"/>
      <c r="M175" s="38"/>
      <c r="N175" s="680"/>
      <c r="O175" s="45"/>
      <c r="P175" s="45"/>
      <c r="Q175" s="45"/>
      <c r="R175" s="45"/>
      <c r="S175" s="45"/>
      <c r="T175" s="45"/>
      <c r="U175" s="45"/>
      <c r="V175" s="45"/>
      <c r="W175" s="45"/>
      <c r="X175" s="45"/>
      <c r="Y175" s="38"/>
      <c r="Z175" s="556"/>
      <c r="AA175" s="556"/>
      <c r="AB175" s="556"/>
      <c r="AC175" s="556"/>
      <c r="AD175" s="556"/>
      <c r="AE175" s="977"/>
      <c r="AF175" s="977"/>
      <c r="AG175" s="556"/>
      <c r="AH175" s="556"/>
      <c r="AI175" s="556"/>
      <c r="AJ175" s="556"/>
      <c r="AK175" s="556"/>
      <c r="AL175" s="556"/>
      <c r="AM175" s="556"/>
      <c r="AN175" s="556"/>
      <c r="AO175" s="556"/>
      <c r="AP175" s="556"/>
      <c r="AQ175" s="556"/>
      <c r="AR175" s="556"/>
      <c r="AS175" s="556"/>
      <c r="AT175" s="556"/>
      <c r="AU175" s="556"/>
      <c r="AV175" s="556"/>
      <c r="AW175" s="556"/>
      <c r="AX175" s="556"/>
      <c r="AY175" s="556"/>
      <c r="AZ175" s="556"/>
      <c r="BA175" s="556"/>
      <c r="BB175" s="556"/>
    </row>
    <row r="176" spans="1:54" s="374" customFormat="1" ht="15.6" hidden="1" x14ac:dyDescent="0.3">
      <c r="A176" s="1032" t="s">
        <v>847</v>
      </c>
      <c r="B176" s="732" t="str">
        <f>IF(E176="","",DAY(E176))</f>
        <v/>
      </c>
      <c r="C176" s="676" t="str">
        <f>CONCATENATE(C174+1,".")</f>
        <v>72.</v>
      </c>
      <c r="D176" s="654"/>
      <c r="E176" s="704" t="str">
        <f>(IF(E174="","",IF(G176="","",
IF($M$19=1,EDATE(E174,-1),
IF(AND($M$19=2,B174=1),EOMONTH(E174,-2)+16,
IF(AND($M$19=2,B174=16),EOMONTH(E174,-1)+1,
IF($M$19=3,E174-14,
IF($M$19=4,E174-7,
""))))))))</f>
        <v/>
      </c>
      <c r="F176" s="654" t="s">
        <v>240</v>
      </c>
      <c r="G176" s="704" t="str">
        <f>IF(E174="","",
IF($L$13=3,E174-1,
IF(AND($L$13=2,E174-1&gt;=$V$19,YEAR(E174-1)&gt;=($K$30-1)),E174-1,"")))</f>
        <v/>
      </c>
      <c r="H176" s="660"/>
      <c r="I176" s="654" t="s">
        <v>240</v>
      </c>
      <c r="J176" s="660"/>
      <c r="K176" s="969"/>
      <c r="L176" s="1547"/>
      <c r="M176" s="1548"/>
      <c r="N176" s="677"/>
      <c r="O176" s="655"/>
      <c r="P176" s="656"/>
      <c r="Q176" s="655"/>
      <c r="R176" s="655"/>
      <c r="S176" s="655"/>
      <c r="T176" s="655"/>
      <c r="U176" s="657"/>
      <c r="V176" s="655"/>
      <c r="W176" s="655"/>
      <c r="X176" s="655"/>
      <c r="Y176" s="657"/>
      <c r="Z176" s="1030"/>
      <c r="AA176" s="1030"/>
      <c r="AB176" s="1030"/>
      <c r="AC176" s="1030"/>
      <c r="AD176" s="1030"/>
      <c r="AE176" s="1031"/>
      <c r="AF176" s="1031"/>
      <c r="AG176" s="1030"/>
      <c r="AH176" s="1030"/>
      <c r="AI176" s="1030"/>
      <c r="AJ176" s="1030"/>
      <c r="AK176" s="1030"/>
      <c r="AL176" s="1030"/>
      <c r="AM176" s="1030"/>
      <c r="AN176" s="1030"/>
      <c r="AO176" s="1030"/>
      <c r="AP176" s="1030"/>
      <c r="AQ176" s="1030"/>
      <c r="AR176" s="1030"/>
      <c r="AS176" s="1030"/>
      <c r="AT176" s="1030"/>
      <c r="AU176" s="1030"/>
      <c r="AV176" s="1030"/>
      <c r="AW176" s="1030"/>
      <c r="AX176" s="1030"/>
      <c r="AY176" s="1030"/>
      <c r="AZ176" s="1030"/>
      <c r="BA176" s="1030"/>
      <c r="BB176" s="1030"/>
    </row>
    <row r="177" spans="1:54" ht="3" hidden="1" customHeight="1" x14ac:dyDescent="0.3">
      <c r="A177" s="779"/>
      <c r="B177" s="779"/>
      <c r="C177" s="679"/>
      <c r="D177" s="144"/>
      <c r="E177" s="671"/>
      <c r="F177" s="671"/>
      <c r="G177" s="671"/>
      <c r="H177" s="671"/>
      <c r="I177" s="671"/>
      <c r="J177" s="671"/>
      <c r="K177" s="969"/>
      <c r="L177" s="38"/>
      <c r="M177" s="38"/>
      <c r="N177" s="680"/>
      <c r="O177" s="45"/>
      <c r="P177" s="45"/>
      <c r="Q177" s="45"/>
      <c r="R177" s="45"/>
      <c r="S177" s="45"/>
      <c r="T177" s="45"/>
      <c r="U177" s="45"/>
      <c r="V177" s="45"/>
      <c r="W177" s="45"/>
      <c r="X177" s="45"/>
      <c r="Y177" s="38"/>
      <c r="Z177" s="556"/>
      <c r="AA177" s="556"/>
      <c r="AB177" s="556"/>
      <c r="AC177" s="556"/>
      <c r="AD177" s="556"/>
      <c r="AE177" s="977"/>
      <c r="AF177" s="977"/>
      <c r="AG177" s="556"/>
      <c r="AH177" s="556"/>
      <c r="AI177" s="556"/>
      <c r="AJ177" s="556"/>
      <c r="AK177" s="556"/>
      <c r="AL177" s="556"/>
      <c r="AM177" s="556"/>
      <c r="AN177" s="556"/>
      <c r="AO177" s="556"/>
      <c r="AP177" s="556"/>
      <c r="AQ177" s="556"/>
      <c r="AR177" s="556"/>
      <c r="AS177" s="556"/>
      <c r="AT177" s="556"/>
      <c r="AU177" s="556"/>
      <c r="AV177" s="556"/>
      <c r="AW177" s="556"/>
      <c r="AX177" s="556"/>
      <c r="AY177" s="556"/>
      <c r="AZ177" s="556"/>
      <c r="BA177" s="556"/>
      <c r="BB177" s="556"/>
    </row>
    <row r="178" spans="1:54" s="374" customFormat="1" ht="15.6" hidden="1" x14ac:dyDescent="0.3">
      <c r="A178" s="1032" t="s">
        <v>847</v>
      </c>
      <c r="B178" s="732" t="str">
        <f>IF(E178="","",DAY(E178))</f>
        <v/>
      </c>
      <c r="C178" s="676" t="str">
        <f>CONCATENATE(C176+1,".")</f>
        <v>73.</v>
      </c>
      <c r="D178" s="654"/>
      <c r="E178" s="704" t="str">
        <f>(IF(E176="","",IF(G178="","",
IF($M$19=1,EDATE(E176,-1),
IF(AND($M$19=2,B176=1),EOMONTH(E176,-2)+16,
IF(AND($M$19=2,B176=16),EOMONTH(E176,-1)+1,
IF($M$19=3,E176-14,
IF($M$19=4,E176-7,
""))))))))</f>
        <v/>
      </c>
      <c r="F178" s="654" t="s">
        <v>240</v>
      </c>
      <c r="G178" s="704" t="str">
        <f>IF(E176="","",
IF($L$13=3,E176-1,
IF(AND($L$13=2,E176-1&gt;=$V$19,YEAR(E176-1)&gt;=($K$30-1)),E176-1,"")))</f>
        <v/>
      </c>
      <c r="H178" s="660"/>
      <c r="I178" s="654" t="s">
        <v>240</v>
      </c>
      <c r="J178" s="660"/>
      <c r="K178" s="969"/>
      <c r="L178" s="1547"/>
      <c r="M178" s="1548"/>
      <c r="N178" s="677"/>
      <c r="O178" s="655"/>
      <c r="P178" s="656"/>
      <c r="Q178" s="655"/>
      <c r="R178" s="655"/>
      <c r="S178" s="655"/>
      <c r="T178" s="655"/>
      <c r="U178" s="657"/>
      <c r="V178" s="655"/>
      <c r="W178" s="655"/>
      <c r="X178" s="655"/>
      <c r="Y178" s="657"/>
      <c r="Z178" s="1030"/>
      <c r="AA178" s="1030"/>
      <c r="AB178" s="1030"/>
      <c r="AC178" s="1030"/>
      <c r="AD178" s="1030"/>
      <c r="AE178" s="1031"/>
      <c r="AF178" s="1031"/>
      <c r="AG178" s="1030"/>
      <c r="AH178" s="1030"/>
      <c r="AI178" s="1030"/>
      <c r="AJ178" s="1030"/>
      <c r="AK178" s="1030"/>
      <c r="AL178" s="1030"/>
      <c r="AM178" s="1030"/>
      <c r="AN178" s="1030"/>
      <c r="AO178" s="1030"/>
      <c r="AP178" s="1030"/>
      <c r="AQ178" s="1030"/>
      <c r="AR178" s="1030"/>
      <c r="AS178" s="1030"/>
      <c r="AT178" s="1030"/>
      <c r="AU178" s="1030"/>
      <c r="AV178" s="1030"/>
      <c r="AW178" s="1030"/>
      <c r="AX178" s="1030"/>
      <c r="AY178" s="1030"/>
      <c r="AZ178" s="1030"/>
      <c r="BA178" s="1030"/>
      <c r="BB178" s="1030"/>
    </row>
    <row r="179" spans="1:54" ht="3" hidden="1" customHeight="1" x14ac:dyDescent="0.3">
      <c r="A179" s="779"/>
      <c r="B179" s="779"/>
      <c r="C179" s="679"/>
      <c r="D179" s="144"/>
      <c r="E179" s="671"/>
      <c r="F179" s="671"/>
      <c r="G179" s="671"/>
      <c r="H179" s="671"/>
      <c r="I179" s="671"/>
      <c r="J179" s="671"/>
      <c r="K179" s="969"/>
      <c r="L179" s="38"/>
      <c r="M179" s="38"/>
      <c r="N179" s="680"/>
      <c r="O179" s="45"/>
      <c r="P179" s="45"/>
      <c r="Q179" s="45"/>
      <c r="R179" s="45"/>
      <c r="S179" s="45"/>
      <c r="T179" s="45"/>
      <c r="U179" s="45"/>
      <c r="V179" s="45"/>
      <c r="W179" s="45"/>
      <c r="X179" s="45"/>
      <c r="Y179" s="38"/>
      <c r="Z179" s="556"/>
      <c r="AA179" s="556"/>
      <c r="AB179" s="556"/>
      <c r="AC179" s="556"/>
      <c r="AD179" s="556"/>
      <c r="AE179" s="977"/>
      <c r="AF179" s="977"/>
      <c r="AG179" s="556"/>
      <c r="AH179" s="556"/>
      <c r="AI179" s="556"/>
      <c r="AJ179" s="556"/>
      <c r="AK179" s="556"/>
      <c r="AL179" s="556"/>
      <c r="AM179" s="556"/>
      <c r="AN179" s="556"/>
      <c r="AO179" s="556"/>
      <c r="AP179" s="556"/>
      <c r="AQ179" s="556"/>
      <c r="AR179" s="556"/>
      <c r="AS179" s="556"/>
      <c r="AT179" s="556"/>
      <c r="AU179" s="556"/>
      <c r="AV179" s="556"/>
      <c r="AW179" s="556"/>
      <c r="AX179" s="556"/>
      <c r="AY179" s="556"/>
      <c r="AZ179" s="556"/>
      <c r="BA179" s="556"/>
      <c r="BB179" s="556"/>
    </row>
    <row r="180" spans="1:54" s="374" customFormat="1" ht="15.6" hidden="1" x14ac:dyDescent="0.3">
      <c r="A180" s="1032" t="s">
        <v>847</v>
      </c>
      <c r="B180" s="732" t="str">
        <f>IF(E180="","",DAY(E180))</f>
        <v/>
      </c>
      <c r="C180" s="676" t="str">
        <f>CONCATENATE(C178+1,".")</f>
        <v>74.</v>
      </c>
      <c r="D180" s="654"/>
      <c r="E180" s="704" t="str">
        <f>(IF(E178="","",IF(G180="","",
IF($M$19=1,EDATE(E178,-1),
IF(AND($M$19=2,B178=1),EOMONTH(E178,-2)+16,
IF(AND($M$19=2,B178=16),EOMONTH(E178,-1)+1,
IF($M$19=3,E178-14,
IF($M$19=4,E178-7,
""))))))))</f>
        <v/>
      </c>
      <c r="F180" s="654" t="s">
        <v>240</v>
      </c>
      <c r="G180" s="704" t="str">
        <f>IF(E178="","",
IF($L$13=3,E178-1,
IF(AND($L$13=2,E178-1&gt;=$V$19,YEAR(E178-1)&gt;=($K$30-1)),E178-1,"")))</f>
        <v/>
      </c>
      <c r="H180" s="660"/>
      <c r="I180" s="654" t="s">
        <v>240</v>
      </c>
      <c r="J180" s="660"/>
      <c r="K180" s="969"/>
      <c r="L180" s="1547"/>
      <c r="M180" s="1548"/>
      <c r="N180" s="677"/>
      <c r="O180" s="655"/>
      <c r="P180" s="656"/>
      <c r="Q180" s="655"/>
      <c r="R180" s="655"/>
      <c r="S180" s="655"/>
      <c r="T180" s="655"/>
      <c r="U180" s="657"/>
      <c r="V180" s="655"/>
      <c r="W180" s="655"/>
      <c r="X180" s="655"/>
      <c r="Y180" s="657"/>
      <c r="Z180" s="1030"/>
      <c r="AA180" s="1030"/>
      <c r="AB180" s="1030"/>
      <c r="AC180" s="1030"/>
      <c r="AD180" s="1030"/>
      <c r="AE180" s="1031"/>
      <c r="AF180" s="1031"/>
      <c r="AG180" s="1030"/>
      <c r="AH180" s="1030"/>
      <c r="AI180" s="1030"/>
      <c r="AJ180" s="1030"/>
      <c r="AK180" s="1030"/>
      <c r="AL180" s="1030"/>
      <c r="AM180" s="1030"/>
      <c r="AN180" s="1030"/>
      <c r="AO180" s="1030"/>
      <c r="AP180" s="1030"/>
      <c r="AQ180" s="1030"/>
      <c r="AR180" s="1030"/>
      <c r="AS180" s="1030"/>
      <c r="AT180" s="1030"/>
      <c r="AU180" s="1030"/>
      <c r="AV180" s="1030"/>
      <c r="AW180" s="1030"/>
      <c r="AX180" s="1030"/>
      <c r="AY180" s="1030"/>
      <c r="AZ180" s="1030"/>
      <c r="BA180" s="1030"/>
      <c r="BB180" s="1030"/>
    </row>
    <row r="181" spans="1:54" ht="3" hidden="1" customHeight="1" x14ac:dyDescent="0.3">
      <c r="A181" s="779"/>
      <c r="B181" s="779"/>
      <c r="C181" s="679"/>
      <c r="D181" s="668"/>
      <c r="E181" s="669"/>
      <c r="F181" s="670"/>
      <c r="G181" s="669"/>
      <c r="H181" s="669"/>
      <c r="I181" s="670"/>
      <c r="J181" s="669"/>
      <c r="K181" s="969"/>
      <c r="L181" s="38"/>
      <c r="M181" s="38"/>
      <c r="N181" s="680"/>
      <c r="O181" s="45"/>
      <c r="P181" s="45"/>
      <c r="Q181" s="38"/>
      <c r="R181" s="45"/>
      <c r="S181" s="45"/>
      <c r="T181" s="45"/>
      <c r="U181" s="45"/>
      <c r="V181" s="45"/>
      <c r="W181" s="45"/>
      <c r="X181" s="45"/>
      <c r="Y181" s="38"/>
      <c r="Z181" s="556"/>
      <c r="AA181" s="556"/>
      <c r="AB181" s="556"/>
      <c r="AC181" s="556"/>
      <c r="AD181" s="556"/>
      <c r="AE181" s="977"/>
      <c r="AF181" s="977"/>
      <c r="AG181" s="556"/>
      <c r="AH181" s="556"/>
      <c r="AI181" s="556"/>
      <c r="AJ181" s="556"/>
      <c r="AK181" s="556"/>
      <c r="AL181" s="556"/>
      <c r="AM181" s="556"/>
      <c r="AN181" s="556"/>
      <c r="AO181" s="556"/>
      <c r="AP181" s="556"/>
      <c r="AQ181" s="556"/>
      <c r="AR181" s="556"/>
      <c r="AS181" s="556"/>
      <c r="AT181" s="556"/>
      <c r="AU181" s="556"/>
      <c r="AV181" s="556"/>
      <c r="AW181" s="556"/>
      <c r="AX181" s="556"/>
      <c r="AY181" s="556"/>
      <c r="AZ181" s="556"/>
      <c r="BA181" s="556"/>
      <c r="BB181" s="556"/>
    </row>
    <row r="182" spans="1:54" s="374" customFormat="1" ht="15.6" hidden="1" x14ac:dyDescent="0.3">
      <c r="A182" s="1032" t="s">
        <v>847</v>
      </c>
      <c r="B182" s="732" t="str">
        <f>IF(E182="","",DAY(E182))</f>
        <v/>
      </c>
      <c r="C182" s="676" t="str">
        <f>CONCATENATE(C180+1,".")</f>
        <v>75.</v>
      </c>
      <c r="D182" s="654"/>
      <c r="E182" s="704" t="str">
        <f>(IF(E180="","",IF(G182="","",
IF($M$19=1,EDATE(E180,-1),
IF(AND($M$19=2,B180=1),EOMONTH(E180,-2)+16,
IF(AND($M$19=2,B180=16),EOMONTH(E180,-1)+1,
IF($M$19=3,E180-14,
IF($M$19=4,E180-7,
""))))))))</f>
        <v/>
      </c>
      <c r="F182" s="654" t="s">
        <v>240</v>
      </c>
      <c r="G182" s="704" t="str">
        <f>IF(E180="","",
IF($L$13=3,E180-1,
IF(AND($L$13=2,E180-1&gt;=$V$19,YEAR(E180-1)&gt;=($K$30-1)),E180-1,"")))</f>
        <v/>
      </c>
      <c r="H182" s="660"/>
      <c r="I182" s="654" t="s">
        <v>240</v>
      </c>
      <c r="J182" s="660"/>
      <c r="K182" s="969"/>
      <c r="L182" s="1547"/>
      <c r="M182" s="1548"/>
      <c r="N182" s="677"/>
      <c r="O182" s="655"/>
      <c r="P182" s="656"/>
      <c r="Q182" s="655"/>
      <c r="R182" s="655"/>
      <c r="S182" s="655"/>
      <c r="T182" s="655"/>
      <c r="U182" s="657"/>
      <c r="V182" s="655"/>
      <c r="W182" s="655"/>
      <c r="X182" s="655"/>
      <c r="Y182" s="657"/>
      <c r="Z182" s="1030"/>
      <c r="AA182" s="1030"/>
      <c r="AB182" s="1030"/>
      <c r="AC182" s="1030"/>
      <c r="AD182" s="1030"/>
      <c r="AE182" s="1031"/>
      <c r="AF182" s="1031"/>
      <c r="AG182" s="1030"/>
      <c r="AH182" s="1030"/>
      <c r="AI182" s="1030"/>
      <c r="AJ182" s="1030"/>
      <c r="AK182" s="1030"/>
      <c r="AL182" s="1030"/>
      <c r="AM182" s="1030"/>
      <c r="AN182" s="1030"/>
      <c r="AO182" s="1030"/>
      <c r="AP182" s="1030"/>
      <c r="AQ182" s="1030"/>
      <c r="AR182" s="1030"/>
      <c r="AS182" s="1030"/>
      <c r="AT182" s="1030"/>
      <c r="AU182" s="1030"/>
      <c r="AV182" s="1030"/>
      <c r="AW182" s="1030"/>
      <c r="AX182" s="1030"/>
      <c r="AY182" s="1030"/>
      <c r="AZ182" s="1030"/>
      <c r="BA182" s="1030"/>
      <c r="BB182" s="1030"/>
    </row>
    <row r="183" spans="1:54" ht="3" hidden="1" customHeight="1" x14ac:dyDescent="0.3">
      <c r="A183" s="779"/>
      <c r="B183" s="779"/>
      <c r="C183" s="679"/>
      <c r="D183" s="668"/>
      <c r="E183" s="669"/>
      <c r="F183" s="670"/>
      <c r="G183" s="669"/>
      <c r="H183" s="669"/>
      <c r="I183" s="670"/>
      <c r="J183" s="669"/>
      <c r="K183" s="969"/>
      <c r="L183" s="134"/>
      <c r="M183" s="134"/>
      <c r="N183" s="680"/>
      <c r="O183" s="45"/>
      <c r="P183" s="45"/>
      <c r="Q183" s="38"/>
      <c r="R183" s="45"/>
      <c r="S183" s="45"/>
      <c r="T183" s="45"/>
      <c r="U183" s="45"/>
      <c r="V183" s="45"/>
      <c r="W183" s="45"/>
      <c r="X183" s="45"/>
      <c r="Y183" s="38"/>
      <c r="Z183" s="556"/>
      <c r="AA183" s="556"/>
      <c r="AB183" s="556"/>
      <c r="AC183" s="556"/>
      <c r="AD183" s="556"/>
      <c r="AE183" s="977"/>
      <c r="AF183" s="977"/>
      <c r="AG183" s="556"/>
      <c r="AH183" s="556"/>
      <c r="AI183" s="556"/>
      <c r="AJ183" s="556"/>
      <c r="AK183" s="556"/>
      <c r="AL183" s="556"/>
      <c r="AM183" s="556"/>
      <c r="AN183" s="556"/>
      <c r="AO183" s="556"/>
      <c r="AP183" s="556"/>
      <c r="AQ183" s="556"/>
      <c r="AR183" s="556"/>
      <c r="AS183" s="556"/>
      <c r="AT183" s="556"/>
      <c r="AU183" s="556"/>
      <c r="AV183" s="556"/>
      <c r="AW183" s="556"/>
      <c r="AX183" s="556"/>
      <c r="AY183" s="556"/>
      <c r="AZ183" s="556"/>
      <c r="BA183" s="556"/>
      <c r="BB183" s="556"/>
    </row>
    <row r="184" spans="1:54" s="374" customFormat="1" ht="15.6" hidden="1" x14ac:dyDescent="0.3">
      <c r="A184" s="1032" t="s">
        <v>847</v>
      </c>
      <c r="B184" s="732" t="str">
        <f>IF(E184="","",DAY(E184))</f>
        <v/>
      </c>
      <c r="C184" s="676" t="str">
        <f>CONCATENATE(C182+1,".")</f>
        <v>76.</v>
      </c>
      <c r="D184" s="654"/>
      <c r="E184" s="704" t="str">
        <f>(IF(E182="","",IF(G184="","",
IF($M$19=1,EDATE(E182,-1),
IF(AND($M$19=2,B182=1),EOMONTH(E182,-2)+16,
IF(AND($M$19=2,B182=16),EOMONTH(E182,-1)+1,
IF($M$19=3,E182-14,
IF($M$19=4,E182-7,
""))))))))</f>
        <v/>
      </c>
      <c r="F184" s="654" t="s">
        <v>240</v>
      </c>
      <c r="G184" s="704" t="str">
        <f>IF(E182="","",
IF($L$13=3,E182-1,
IF(AND($L$13=2,E182-1&gt;=$V$19,YEAR(E182-1)&gt;=($K$30-1)),E182-1,"")))</f>
        <v/>
      </c>
      <c r="H184" s="660"/>
      <c r="I184" s="654" t="s">
        <v>240</v>
      </c>
      <c r="J184" s="660"/>
      <c r="K184" s="969"/>
      <c r="L184" s="1547"/>
      <c r="M184" s="1548"/>
      <c r="N184" s="677"/>
      <c r="O184" s="655"/>
      <c r="P184" s="656"/>
      <c r="Q184" s="655"/>
      <c r="R184" s="655"/>
      <c r="S184" s="655"/>
      <c r="T184" s="655"/>
      <c r="U184" s="657"/>
      <c r="V184" s="655"/>
      <c r="W184" s="655"/>
      <c r="X184" s="655"/>
      <c r="Y184" s="657"/>
      <c r="Z184" s="1030"/>
      <c r="AA184" s="1030"/>
      <c r="AB184" s="1030"/>
      <c r="AC184" s="1030"/>
      <c r="AD184" s="1030"/>
      <c r="AE184" s="1031"/>
      <c r="AF184" s="1031"/>
      <c r="AG184" s="1030"/>
      <c r="AH184" s="1030"/>
      <c r="AI184" s="1030"/>
      <c r="AJ184" s="1030"/>
      <c r="AK184" s="1030"/>
      <c r="AL184" s="1030"/>
      <c r="AM184" s="1030"/>
      <c r="AN184" s="1030"/>
      <c r="AO184" s="1030"/>
      <c r="AP184" s="1030"/>
      <c r="AQ184" s="1030"/>
      <c r="AR184" s="1030"/>
      <c r="AS184" s="1030"/>
      <c r="AT184" s="1030"/>
      <c r="AU184" s="1030"/>
      <c r="AV184" s="1030"/>
      <c r="AW184" s="1030"/>
      <c r="AX184" s="1030"/>
      <c r="AY184" s="1030"/>
      <c r="AZ184" s="1030"/>
      <c r="BA184" s="1030"/>
      <c r="BB184" s="1030"/>
    </row>
    <row r="185" spans="1:54" ht="3" hidden="1" customHeight="1" x14ac:dyDescent="0.3">
      <c r="A185" s="779"/>
      <c r="B185" s="779"/>
      <c r="C185" s="679"/>
      <c r="D185" s="117"/>
      <c r="E185" s="671"/>
      <c r="F185" s="671"/>
      <c r="G185" s="671"/>
      <c r="H185" s="671"/>
      <c r="I185" s="671"/>
      <c r="J185" s="671"/>
      <c r="K185" s="969"/>
      <c r="L185" s="38"/>
      <c r="M185" s="38"/>
      <c r="N185" s="680"/>
      <c r="O185" s="45"/>
      <c r="P185" s="45"/>
      <c r="Q185" s="45"/>
      <c r="R185" s="45"/>
      <c r="S185" s="45"/>
      <c r="T185" s="45"/>
      <c r="U185" s="45"/>
      <c r="V185" s="45"/>
      <c r="W185" s="45"/>
      <c r="X185" s="45"/>
      <c r="Y185" s="38"/>
      <c r="Z185" s="556"/>
      <c r="AA185" s="556"/>
      <c r="AB185" s="556"/>
      <c r="AC185" s="556"/>
      <c r="AD185" s="556"/>
      <c r="AE185" s="977"/>
      <c r="AF185" s="977"/>
      <c r="AG185" s="556"/>
      <c r="AH185" s="556"/>
      <c r="AI185" s="556"/>
      <c r="AJ185" s="556"/>
      <c r="AK185" s="556"/>
      <c r="AL185" s="556"/>
      <c r="AM185" s="556"/>
      <c r="AN185" s="556"/>
      <c r="AO185" s="556"/>
      <c r="AP185" s="556"/>
      <c r="AQ185" s="556"/>
      <c r="AR185" s="556"/>
      <c r="AS185" s="556"/>
      <c r="AT185" s="556"/>
      <c r="AU185" s="556"/>
      <c r="AV185" s="556"/>
      <c r="AW185" s="556"/>
      <c r="AX185" s="556"/>
      <c r="AY185" s="556"/>
      <c r="AZ185" s="556"/>
      <c r="BA185" s="556"/>
      <c r="BB185" s="556"/>
    </row>
    <row r="186" spans="1:54" s="374" customFormat="1" ht="15.6" hidden="1" x14ac:dyDescent="0.3">
      <c r="A186" s="1032" t="s">
        <v>847</v>
      </c>
      <c r="B186" s="732" t="str">
        <f>IF(E186="","",DAY(E186))</f>
        <v/>
      </c>
      <c r="C186" s="676" t="str">
        <f>CONCATENATE(C184+1,".")</f>
        <v>77.</v>
      </c>
      <c r="D186" s="654"/>
      <c r="E186" s="704" t="str">
        <f>(IF(E184="","",IF(G186="","",
IF($M$19=1,EDATE(E184,-1),
IF(AND($M$19=2,B184=1),EOMONTH(E184,-2)+16,
IF(AND($M$19=2,B184=16),EOMONTH(E184,-1)+1,
IF($M$19=3,E184-14,
IF($M$19=4,E184-7,
""))))))))</f>
        <v/>
      </c>
      <c r="F186" s="654" t="s">
        <v>240</v>
      </c>
      <c r="G186" s="704" t="str">
        <f>IF(E184="","",
IF($L$13=3,E184-1,
IF(AND($L$13=2,E184-1&gt;=$V$19,YEAR(E184-1)&gt;=($K$30-1)),E184-1,"")))</f>
        <v/>
      </c>
      <c r="H186" s="660"/>
      <c r="I186" s="654" t="s">
        <v>240</v>
      </c>
      <c r="J186" s="660"/>
      <c r="K186" s="969"/>
      <c r="L186" s="1547"/>
      <c r="M186" s="1548"/>
      <c r="N186" s="677"/>
      <c r="O186" s="655"/>
      <c r="P186" s="656"/>
      <c r="Q186" s="655"/>
      <c r="R186" s="655"/>
      <c r="S186" s="655"/>
      <c r="T186" s="655"/>
      <c r="U186" s="657"/>
      <c r="V186" s="655"/>
      <c r="W186" s="655"/>
      <c r="X186" s="655"/>
      <c r="Y186" s="657"/>
      <c r="Z186" s="1030"/>
      <c r="AA186" s="1030"/>
      <c r="AB186" s="1030"/>
      <c r="AC186" s="1030"/>
      <c r="AD186" s="1030"/>
      <c r="AE186" s="1031"/>
      <c r="AF186" s="1031"/>
      <c r="AG186" s="1030"/>
      <c r="AH186" s="1030"/>
      <c r="AI186" s="1030"/>
      <c r="AJ186" s="1030"/>
      <c r="AK186" s="1030"/>
      <c r="AL186" s="1030"/>
      <c r="AM186" s="1030"/>
      <c r="AN186" s="1030"/>
      <c r="AO186" s="1030"/>
      <c r="AP186" s="1030"/>
      <c r="AQ186" s="1030"/>
      <c r="AR186" s="1030"/>
      <c r="AS186" s="1030"/>
      <c r="AT186" s="1030"/>
      <c r="AU186" s="1030"/>
      <c r="AV186" s="1030"/>
      <c r="AW186" s="1030"/>
      <c r="AX186" s="1030"/>
      <c r="AY186" s="1030"/>
      <c r="AZ186" s="1030"/>
      <c r="BA186" s="1030"/>
      <c r="BB186" s="1030"/>
    </row>
    <row r="187" spans="1:54" ht="3" hidden="1" customHeight="1" x14ac:dyDescent="0.3">
      <c r="A187" s="779"/>
      <c r="B187" s="779"/>
      <c r="C187" s="679"/>
      <c r="D187" s="144"/>
      <c r="E187" s="671"/>
      <c r="F187" s="671"/>
      <c r="G187" s="671"/>
      <c r="H187" s="671"/>
      <c r="I187" s="671"/>
      <c r="J187" s="671"/>
      <c r="K187" s="969"/>
      <c r="L187" s="38"/>
      <c r="M187" s="38"/>
      <c r="N187" s="680"/>
      <c r="O187" s="45"/>
      <c r="P187" s="45"/>
      <c r="Q187" s="45"/>
      <c r="R187" s="45"/>
      <c r="S187" s="45"/>
      <c r="T187" s="45"/>
      <c r="U187" s="45"/>
      <c r="V187" s="45"/>
      <c r="W187" s="45"/>
      <c r="X187" s="45"/>
      <c r="Y187" s="38"/>
      <c r="Z187" s="556"/>
      <c r="AA187" s="556"/>
      <c r="AB187" s="556"/>
      <c r="AC187" s="556"/>
      <c r="AD187" s="556"/>
      <c r="AE187" s="977"/>
      <c r="AF187" s="977"/>
      <c r="AG187" s="556"/>
      <c r="AH187" s="556"/>
      <c r="AI187" s="556"/>
      <c r="AJ187" s="556"/>
      <c r="AK187" s="556"/>
      <c r="AL187" s="556"/>
      <c r="AM187" s="556"/>
      <c r="AN187" s="556"/>
      <c r="AO187" s="556"/>
      <c r="AP187" s="556"/>
      <c r="AQ187" s="556"/>
      <c r="AR187" s="556"/>
      <c r="AS187" s="556"/>
      <c r="AT187" s="556"/>
      <c r="AU187" s="556"/>
      <c r="AV187" s="556"/>
      <c r="AW187" s="556"/>
      <c r="AX187" s="556"/>
      <c r="AY187" s="556"/>
      <c r="AZ187" s="556"/>
      <c r="BA187" s="556"/>
      <c r="BB187" s="556"/>
    </row>
    <row r="188" spans="1:54" s="374" customFormat="1" ht="15.6" hidden="1" x14ac:dyDescent="0.3">
      <c r="A188" s="1032" t="s">
        <v>847</v>
      </c>
      <c r="B188" s="732" t="str">
        <f>IF(E188="","",DAY(E188))</f>
        <v/>
      </c>
      <c r="C188" s="676" t="str">
        <f>CONCATENATE(C186+1,".")</f>
        <v>78.</v>
      </c>
      <c r="D188" s="654"/>
      <c r="E188" s="704" t="str">
        <f>(IF(E186="","",IF(G188="","",
IF($M$19=1,EDATE(E186,-1),
IF(AND($M$19=2,B186=1),EOMONTH(E186,-2)+16,
IF(AND($M$19=2,B186=16),EOMONTH(E186,-1)+1,
IF($M$19=3,E186-14,
IF($M$19=4,E186-7,
""))))))))</f>
        <v/>
      </c>
      <c r="F188" s="654" t="s">
        <v>240</v>
      </c>
      <c r="G188" s="704" t="str">
        <f>IF(E186="","",
IF($L$13=3,E186-1,
IF(AND($L$13=2,E186-1&gt;=$V$19,YEAR(E186-1)&gt;=($K$30-1)),E186-1,"")))</f>
        <v/>
      </c>
      <c r="H188" s="660"/>
      <c r="I188" s="654" t="s">
        <v>240</v>
      </c>
      <c r="J188" s="660"/>
      <c r="K188" s="969"/>
      <c r="L188" s="1547"/>
      <c r="M188" s="1548"/>
      <c r="N188" s="677"/>
      <c r="O188" s="655"/>
      <c r="P188" s="656"/>
      <c r="Q188" s="655"/>
      <c r="R188" s="655"/>
      <c r="S188" s="655"/>
      <c r="T188" s="655"/>
      <c r="U188" s="657"/>
      <c r="V188" s="655"/>
      <c r="W188" s="655"/>
      <c r="X188" s="655"/>
      <c r="Y188" s="657"/>
      <c r="Z188" s="1030"/>
      <c r="AA188" s="1030"/>
      <c r="AB188" s="1030"/>
      <c r="AC188" s="1030"/>
      <c r="AD188" s="1030"/>
      <c r="AE188" s="1031"/>
      <c r="AF188" s="1031"/>
      <c r="AG188" s="1030"/>
      <c r="AH188" s="1030"/>
      <c r="AI188" s="1030"/>
      <c r="AJ188" s="1030"/>
      <c r="AK188" s="1030"/>
      <c r="AL188" s="1030"/>
      <c r="AM188" s="1030"/>
      <c r="AN188" s="1030"/>
      <c r="AO188" s="1030"/>
      <c r="AP188" s="1030"/>
      <c r="AQ188" s="1030"/>
      <c r="AR188" s="1030"/>
      <c r="AS188" s="1030"/>
      <c r="AT188" s="1030"/>
      <c r="AU188" s="1030"/>
      <c r="AV188" s="1030"/>
      <c r="AW188" s="1030"/>
      <c r="AX188" s="1030"/>
      <c r="AY188" s="1030"/>
      <c r="AZ188" s="1030"/>
      <c r="BA188" s="1030"/>
      <c r="BB188" s="1030"/>
    </row>
    <row r="189" spans="1:54" ht="3" hidden="1" customHeight="1" x14ac:dyDescent="0.3">
      <c r="A189" s="779"/>
      <c r="B189" s="779"/>
      <c r="C189" s="679"/>
      <c r="D189" s="144"/>
      <c r="E189" s="671"/>
      <c r="F189" s="671"/>
      <c r="G189" s="671"/>
      <c r="H189" s="671"/>
      <c r="I189" s="671"/>
      <c r="J189" s="671"/>
      <c r="K189" s="969"/>
      <c r="L189" s="38"/>
      <c r="M189" s="38"/>
      <c r="N189" s="680"/>
      <c r="O189" s="45"/>
      <c r="P189" s="45"/>
      <c r="Q189" s="45"/>
      <c r="R189" s="45"/>
      <c r="S189" s="45"/>
      <c r="T189" s="45"/>
      <c r="U189" s="45"/>
      <c r="V189" s="45"/>
      <c r="W189" s="45"/>
      <c r="X189" s="45"/>
      <c r="Y189" s="38"/>
      <c r="Z189" s="556"/>
      <c r="AA189" s="556"/>
      <c r="AB189" s="556"/>
      <c r="AC189" s="556"/>
      <c r="AD189" s="556"/>
      <c r="AE189" s="977"/>
      <c r="AF189" s="977"/>
      <c r="AG189" s="556"/>
      <c r="AH189" s="556"/>
      <c r="AI189" s="556"/>
      <c r="AJ189" s="556"/>
      <c r="AK189" s="556"/>
      <c r="AL189" s="556"/>
      <c r="AM189" s="556"/>
      <c r="AN189" s="556"/>
      <c r="AO189" s="556"/>
      <c r="AP189" s="556"/>
      <c r="AQ189" s="556"/>
      <c r="AR189" s="556"/>
      <c r="AS189" s="556"/>
      <c r="AT189" s="556"/>
      <c r="AU189" s="556"/>
      <c r="AV189" s="556"/>
      <c r="AW189" s="556"/>
      <c r="AX189" s="556"/>
      <c r="AY189" s="556"/>
      <c r="AZ189" s="556"/>
      <c r="BA189" s="556"/>
      <c r="BB189" s="556"/>
    </row>
    <row r="190" spans="1:54" s="374" customFormat="1" ht="15.6" hidden="1" x14ac:dyDescent="0.3">
      <c r="A190" s="1032" t="s">
        <v>847</v>
      </c>
      <c r="B190" s="732" t="str">
        <f>IF(E190="","",DAY(E190))</f>
        <v/>
      </c>
      <c r="C190" s="676" t="str">
        <f>CONCATENATE(C188+1,".")</f>
        <v>79.</v>
      </c>
      <c r="D190" s="654"/>
      <c r="E190" s="704" t="str">
        <f>(IF(E188="","",IF(G190="","",
IF($M$19=1,EDATE(E188,-1),
IF(AND($M$19=2,B188=1),EOMONTH(E188,-2)+16,
IF(AND($M$19=2,B188=16),EOMONTH(E188,-1)+1,
IF($M$19=3,E188-14,
IF($M$19=4,E188-7,
""))))))))</f>
        <v/>
      </c>
      <c r="F190" s="654" t="s">
        <v>240</v>
      </c>
      <c r="G190" s="704" t="str">
        <f>IF(E188="","",
IF($L$13=3,E188-1,
IF(AND($L$13=2,E188-1&gt;=$V$19,YEAR(E188-1)&gt;=($K$30-1)),E188-1,"")))</f>
        <v/>
      </c>
      <c r="H190" s="660"/>
      <c r="I190" s="654" t="s">
        <v>240</v>
      </c>
      <c r="J190" s="660"/>
      <c r="K190" s="969"/>
      <c r="L190" s="1547"/>
      <c r="M190" s="1548"/>
      <c r="N190" s="677"/>
      <c r="O190" s="655"/>
      <c r="P190" s="656"/>
      <c r="Q190" s="655"/>
      <c r="R190" s="655"/>
      <c r="S190" s="655"/>
      <c r="T190" s="655"/>
      <c r="U190" s="657"/>
      <c r="V190" s="655"/>
      <c r="W190" s="655"/>
      <c r="X190" s="655"/>
      <c r="Y190" s="657"/>
      <c r="Z190" s="1030"/>
      <c r="AA190" s="1030"/>
      <c r="AB190" s="1030"/>
      <c r="AC190" s="1030"/>
      <c r="AD190" s="1030"/>
      <c r="AE190" s="1031"/>
      <c r="AF190" s="1031"/>
      <c r="AG190" s="1030"/>
      <c r="AH190" s="1030"/>
      <c r="AI190" s="1030"/>
      <c r="AJ190" s="1030"/>
      <c r="AK190" s="1030"/>
      <c r="AL190" s="1030"/>
      <c r="AM190" s="1030"/>
      <c r="AN190" s="1030"/>
      <c r="AO190" s="1030"/>
      <c r="AP190" s="1030"/>
      <c r="AQ190" s="1030"/>
      <c r="AR190" s="1030"/>
      <c r="AS190" s="1030"/>
      <c r="AT190" s="1030"/>
      <c r="AU190" s="1030"/>
      <c r="AV190" s="1030"/>
      <c r="AW190" s="1030"/>
      <c r="AX190" s="1030"/>
      <c r="AY190" s="1030"/>
      <c r="AZ190" s="1030"/>
      <c r="BA190" s="1030"/>
      <c r="BB190" s="1030"/>
    </row>
    <row r="191" spans="1:54" ht="3" hidden="1" customHeight="1" x14ac:dyDescent="0.3">
      <c r="A191" s="779"/>
      <c r="B191" s="779"/>
      <c r="C191" s="679"/>
      <c r="D191" s="668"/>
      <c r="E191" s="669"/>
      <c r="F191" s="670"/>
      <c r="G191" s="669"/>
      <c r="H191" s="669"/>
      <c r="I191" s="670"/>
      <c r="J191" s="669"/>
      <c r="K191" s="969"/>
      <c r="L191" s="38"/>
      <c r="M191" s="38"/>
      <c r="N191" s="680"/>
      <c r="O191" s="45"/>
      <c r="P191" s="45"/>
      <c r="Q191" s="38"/>
      <c r="R191" s="45"/>
      <c r="S191" s="45"/>
      <c r="T191" s="45"/>
      <c r="U191" s="45"/>
      <c r="V191" s="45"/>
      <c r="W191" s="45"/>
      <c r="X191" s="45"/>
      <c r="Y191" s="38"/>
      <c r="Z191" s="556"/>
      <c r="AA191" s="556"/>
      <c r="AB191" s="556"/>
      <c r="AC191" s="556"/>
      <c r="AD191" s="556"/>
      <c r="AE191" s="977"/>
      <c r="AF191" s="977"/>
      <c r="AG191" s="556"/>
      <c r="AH191" s="556"/>
      <c r="AI191" s="556"/>
      <c r="AJ191" s="556"/>
      <c r="AK191" s="556"/>
      <c r="AL191" s="556"/>
      <c r="AM191" s="556"/>
      <c r="AN191" s="556"/>
      <c r="AO191" s="556"/>
      <c r="AP191" s="556"/>
      <c r="AQ191" s="556"/>
      <c r="AR191" s="556"/>
      <c r="AS191" s="556"/>
      <c r="AT191" s="556"/>
      <c r="AU191" s="556"/>
      <c r="AV191" s="556"/>
      <c r="AW191" s="556"/>
      <c r="AX191" s="556"/>
      <c r="AY191" s="556"/>
      <c r="AZ191" s="556"/>
      <c r="BA191" s="556"/>
      <c r="BB191" s="556"/>
    </row>
    <row r="192" spans="1:54" s="374" customFormat="1" ht="15.6" hidden="1" x14ac:dyDescent="0.3">
      <c r="A192" s="1032" t="s">
        <v>847</v>
      </c>
      <c r="B192" s="732" t="str">
        <f>IF(E192="","",DAY(E192))</f>
        <v/>
      </c>
      <c r="C192" s="676" t="str">
        <f>CONCATENATE(C190+1,".")</f>
        <v>80.</v>
      </c>
      <c r="D192" s="654"/>
      <c r="E192" s="704" t="str">
        <f>(IF(E190="","",IF(G192="","",
IF($M$19=1,EDATE(E190,-1),
IF(AND($M$19=2,B190=1),EOMONTH(E190,-2)+16,
IF(AND($M$19=2,B190=16),EOMONTH(E190,-1)+1,
IF($M$19=3,E190-14,
IF($M$19=4,E190-7,
""))))))))</f>
        <v/>
      </c>
      <c r="F192" s="654" t="s">
        <v>240</v>
      </c>
      <c r="G192" s="704" t="str">
        <f>IF(E190="","",
IF($L$13=3,E190-1,
IF(AND($L$13=2,E190-1&gt;=$V$19,YEAR(E190-1)&gt;=($K$30-1)),E190-1,"")))</f>
        <v/>
      </c>
      <c r="H192" s="660"/>
      <c r="I192" s="654" t="s">
        <v>240</v>
      </c>
      <c r="J192" s="660"/>
      <c r="K192" s="969"/>
      <c r="L192" s="1547"/>
      <c r="M192" s="1548"/>
      <c r="N192" s="677"/>
      <c r="O192" s="655"/>
      <c r="P192" s="656"/>
      <c r="Q192" s="655"/>
      <c r="R192" s="655"/>
      <c r="S192" s="655"/>
      <c r="T192" s="655"/>
      <c r="U192" s="657"/>
      <c r="V192" s="655"/>
      <c r="W192" s="655"/>
      <c r="X192" s="655"/>
      <c r="Y192" s="657"/>
      <c r="Z192" s="1030"/>
      <c r="AA192" s="1030"/>
      <c r="AB192" s="1030"/>
      <c r="AC192" s="1030"/>
      <c r="AD192" s="1030"/>
      <c r="AE192" s="1031"/>
      <c r="AF192" s="1031"/>
      <c r="AG192" s="1030"/>
      <c r="AH192" s="1030"/>
      <c r="AI192" s="1030"/>
      <c r="AJ192" s="1030"/>
      <c r="AK192" s="1030"/>
      <c r="AL192" s="1030"/>
      <c r="AM192" s="1030"/>
      <c r="AN192" s="1030"/>
      <c r="AO192" s="1030"/>
      <c r="AP192" s="1030"/>
      <c r="AQ192" s="1030"/>
      <c r="AR192" s="1030"/>
      <c r="AS192" s="1030"/>
      <c r="AT192" s="1030"/>
      <c r="AU192" s="1030"/>
      <c r="AV192" s="1030"/>
      <c r="AW192" s="1030"/>
      <c r="AX192" s="1030"/>
      <c r="AY192" s="1030"/>
      <c r="AZ192" s="1030"/>
      <c r="BA192" s="1030"/>
      <c r="BB192" s="1030"/>
    </row>
    <row r="193" spans="1:54" ht="3" hidden="1" customHeight="1" x14ac:dyDescent="0.3">
      <c r="A193" s="779"/>
      <c r="B193" s="779"/>
      <c r="C193" s="679"/>
      <c r="D193" s="117"/>
      <c r="E193" s="671"/>
      <c r="F193" s="671"/>
      <c r="G193" s="671"/>
      <c r="H193" s="671"/>
      <c r="I193" s="671"/>
      <c r="J193" s="671"/>
      <c r="K193" s="969"/>
      <c r="L193" s="38"/>
      <c r="M193" s="38"/>
      <c r="N193" s="680"/>
      <c r="O193" s="45"/>
      <c r="P193" s="45"/>
      <c r="Q193" s="45"/>
      <c r="R193" s="45"/>
      <c r="S193" s="45"/>
      <c r="T193" s="45"/>
      <c r="U193" s="45"/>
      <c r="V193" s="45"/>
      <c r="W193" s="45"/>
      <c r="X193" s="45"/>
      <c r="Y193" s="38"/>
      <c r="Z193" s="556"/>
      <c r="AA193" s="556"/>
      <c r="AB193" s="556"/>
      <c r="AC193" s="556"/>
      <c r="AD193" s="556"/>
      <c r="AE193" s="977"/>
      <c r="AF193" s="977"/>
      <c r="AG193" s="556"/>
      <c r="AH193" s="556"/>
      <c r="AI193" s="556"/>
      <c r="AJ193" s="556"/>
      <c r="AK193" s="556"/>
      <c r="AL193" s="556"/>
      <c r="AM193" s="556"/>
      <c r="AN193" s="556"/>
      <c r="AO193" s="556"/>
      <c r="AP193" s="556"/>
      <c r="AQ193" s="556"/>
      <c r="AR193" s="556"/>
      <c r="AS193" s="556"/>
      <c r="AT193" s="556"/>
      <c r="AU193" s="556"/>
      <c r="AV193" s="556"/>
      <c r="AW193" s="556"/>
      <c r="AX193" s="556"/>
      <c r="AY193" s="556"/>
      <c r="AZ193" s="556"/>
      <c r="BA193" s="556"/>
      <c r="BB193" s="556"/>
    </row>
    <row r="194" spans="1:54" s="374" customFormat="1" ht="15.6" hidden="1" x14ac:dyDescent="0.3">
      <c r="A194" s="1032" t="s">
        <v>847</v>
      </c>
      <c r="B194" s="732" t="str">
        <f>IF(E194="","",DAY(E194))</f>
        <v/>
      </c>
      <c r="C194" s="676" t="str">
        <f>CONCATENATE(C192+1,".")</f>
        <v>81.</v>
      </c>
      <c r="D194" s="654"/>
      <c r="E194" s="704" t="str">
        <f>(IF(E192="","",IF(G194="","",
IF($M$19=1,EDATE(E192,-1),
IF(AND($M$19=2,B192=1),EOMONTH(E192,-2)+16,
IF(AND($M$19=2,B192=16),EOMONTH(E192,-1)+1,
IF($M$19=3,E192-14,
IF($M$19=4,E192-7,
""))))))))</f>
        <v/>
      </c>
      <c r="F194" s="654" t="s">
        <v>240</v>
      </c>
      <c r="G194" s="704" t="str">
        <f>IF(E192="","",
IF($L$13=3,E192-1,
IF(AND($L$13=2,E192-1&gt;=$V$19,YEAR(E192-1)&gt;=($K$30-1)),E192-1,"")))</f>
        <v/>
      </c>
      <c r="H194" s="660"/>
      <c r="I194" s="654" t="s">
        <v>240</v>
      </c>
      <c r="J194" s="660"/>
      <c r="K194" s="969"/>
      <c r="L194" s="1547"/>
      <c r="M194" s="1548"/>
      <c r="N194" s="677"/>
      <c r="O194" s="655"/>
      <c r="P194" s="656"/>
      <c r="Q194" s="655"/>
      <c r="R194" s="655"/>
      <c r="S194" s="655"/>
      <c r="T194" s="655"/>
      <c r="U194" s="657"/>
      <c r="V194" s="655"/>
      <c r="W194" s="655"/>
      <c r="X194" s="655"/>
      <c r="Y194" s="657"/>
      <c r="Z194" s="1030"/>
      <c r="AA194" s="1030"/>
      <c r="AB194" s="1030"/>
      <c r="AC194" s="1030"/>
      <c r="AD194" s="1030"/>
      <c r="AE194" s="1031"/>
      <c r="AF194" s="1031"/>
      <c r="AG194" s="1030"/>
      <c r="AH194" s="1030"/>
      <c r="AI194" s="1030"/>
      <c r="AJ194" s="1030"/>
      <c r="AK194" s="1030"/>
      <c r="AL194" s="1030"/>
      <c r="AM194" s="1030"/>
      <c r="AN194" s="1030"/>
      <c r="AO194" s="1030"/>
      <c r="AP194" s="1030"/>
      <c r="AQ194" s="1030"/>
      <c r="AR194" s="1030"/>
      <c r="AS194" s="1030"/>
      <c r="AT194" s="1030"/>
      <c r="AU194" s="1030"/>
      <c r="AV194" s="1030"/>
      <c r="AW194" s="1030"/>
      <c r="AX194" s="1030"/>
      <c r="AY194" s="1030"/>
      <c r="AZ194" s="1030"/>
      <c r="BA194" s="1030"/>
      <c r="BB194" s="1030"/>
    </row>
    <row r="195" spans="1:54" ht="3" hidden="1" customHeight="1" x14ac:dyDescent="0.3">
      <c r="A195" s="779"/>
      <c r="B195" s="779"/>
      <c r="C195" s="679"/>
      <c r="D195" s="144"/>
      <c r="E195" s="671"/>
      <c r="F195" s="671"/>
      <c r="G195" s="671"/>
      <c r="H195" s="671"/>
      <c r="I195" s="671"/>
      <c r="J195" s="671"/>
      <c r="K195" s="969"/>
      <c r="L195" s="38"/>
      <c r="M195" s="38"/>
      <c r="N195" s="680"/>
      <c r="O195" s="45"/>
      <c r="P195" s="45"/>
      <c r="Q195" s="45"/>
      <c r="R195" s="45"/>
      <c r="S195" s="45"/>
      <c r="T195" s="45"/>
      <c r="U195" s="45"/>
      <c r="V195" s="45"/>
      <c r="W195" s="45"/>
      <c r="X195" s="45"/>
      <c r="Y195" s="38"/>
      <c r="Z195" s="556"/>
      <c r="AA195" s="556"/>
      <c r="AB195" s="556"/>
      <c r="AC195" s="556"/>
      <c r="AD195" s="556"/>
      <c r="AE195" s="977"/>
      <c r="AF195" s="977"/>
      <c r="AG195" s="556"/>
      <c r="AH195" s="556"/>
      <c r="AI195" s="556"/>
      <c r="AJ195" s="556"/>
      <c r="AK195" s="556"/>
      <c r="AL195" s="556"/>
      <c r="AM195" s="556"/>
      <c r="AN195" s="556"/>
      <c r="AO195" s="556"/>
      <c r="AP195" s="556"/>
      <c r="AQ195" s="556"/>
      <c r="AR195" s="556"/>
      <c r="AS195" s="556"/>
      <c r="AT195" s="556"/>
      <c r="AU195" s="556"/>
      <c r="AV195" s="556"/>
      <c r="AW195" s="556"/>
      <c r="AX195" s="556"/>
      <c r="AY195" s="556"/>
      <c r="AZ195" s="556"/>
      <c r="BA195" s="556"/>
      <c r="BB195" s="556"/>
    </row>
    <row r="196" spans="1:54" s="374" customFormat="1" ht="15.6" hidden="1" x14ac:dyDescent="0.3">
      <c r="A196" s="1032" t="s">
        <v>847</v>
      </c>
      <c r="B196" s="732" t="str">
        <f>IF(E196="","",DAY(E196))</f>
        <v/>
      </c>
      <c r="C196" s="676" t="str">
        <f>CONCATENATE(C194+1,".")</f>
        <v>82.</v>
      </c>
      <c r="D196" s="654"/>
      <c r="E196" s="704" t="str">
        <f>(IF(E194="","",IF(G196="","",
IF($M$19=1,EDATE(E194,-1),
IF(AND($M$19=2,B194=1),EOMONTH(E194,-2)+16,
IF(AND($M$19=2,B194=16),EOMONTH(E194,-1)+1,
IF($M$19=3,E194-14,
IF($M$19=4,E194-7,
""))))))))</f>
        <v/>
      </c>
      <c r="F196" s="654" t="s">
        <v>240</v>
      </c>
      <c r="G196" s="704" t="str">
        <f>IF(E194="","",
IF($L$13=3,E194-1,
IF(AND($L$13=2,E194-1&gt;=$V$19,YEAR(E194-1)&gt;=($K$30-1)),E194-1,"")))</f>
        <v/>
      </c>
      <c r="H196" s="660"/>
      <c r="I196" s="654" t="s">
        <v>240</v>
      </c>
      <c r="J196" s="660"/>
      <c r="K196" s="969"/>
      <c r="L196" s="1547"/>
      <c r="M196" s="1548"/>
      <c r="N196" s="677"/>
      <c r="O196" s="655"/>
      <c r="P196" s="656"/>
      <c r="Q196" s="655"/>
      <c r="R196" s="655"/>
      <c r="S196" s="655"/>
      <c r="T196" s="655"/>
      <c r="U196" s="657"/>
      <c r="V196" s="655"/>
      <c r="W196" s="655"/>
      <c r="X196" s="655"/>
      <c r="Y196" s="657"/>
      <c r="Z196" s="1030"/>
      <c r="AA196" s="1030"/>
      <c r="AB196" s="1030"/>
      <c r="AC196" s="1030"/>
      <c r="AD196" s="1030"/>
      <c r="AE196" s="1031"/>
      <c r="AF196" s="1031"/>
      <c r="AG196" s="1030"/>
      <c r="AH196" s="1030"/>
      <c r="AI196" s="1030"/>
      <c r="AJ196" s="1030"/>
      <c r="AK196" s="1030"/>
      <c r="AL196" s="1030"/>
      <c r="AM196" s="1030"/>
      <c r="AN196" s="1030"/>
      <c r="AO196" s="1030"/>
      <c r="AP196" s="1030"/>
      <c r="AQ196" s="1030"/>
      <c r="AR196" s="1030"/>
      <c r="AS196" s="1030"/>
      <c r="AT196" s="1030"/>
      <c r="AU196" s="1030"/>
      <c r="AV196" s="1030"/>
      <c r="AW196" s="1030"/>
      <c r="AX196" s="1030"/>
      <c r="AY196" s="1030"/>
      <c r="AZ196" s="1030"/>
      <c r="BA196" s="1030"/>
      <c r="BB196" s="1030"/>
    </row>
    <row r="197" spans="1:54" ht="3" hidden="1" customHeight="1" x14ac:dyDescent="0.3">
      <c r="A197" s="779"/>
      <c r="B197" s="779"/>
      <c r="C197" s="679"/>
      <c r="D197" s="117"/>
      <c r="E197" s="671"/>
      <c r="F197" s="671"/>
      <c r="G197" s="671"/>
      <c r="H197" s="671"/>
      <c r="I197" s="671"/>
      <c r="J197" s="671"/>
      <c r="K197" s="969"/>
      <c r="L197" s="38"/>
      <c r="M197" s="38"/>
      <c r="N197" s="680"/>
      <c r="O197" s="45"/>
      <c r="P197" s="45"/>
      <c r="Q197" s="45"/>
      <c r="R197" s="45"/>
      <c r="S197" s="45"/>
      <c r="T197" s="45"/>
      <c r="U197" s="45"/>
      <c r="V197" s="45"/>
      <c r="W197" s="45"/>
      <c r="X197" s="45"/>
      <c r="Y197" s="38"/>
      <c r="Z197" s="556"/>
      <c r="AA197" s="556"/>
      <c r="AB197" s="556"/>
      <c r="AC197" s="556"/>
      <c r="AD197" s="556"/>
      <c r="AE197" s="977"/>
      <c r="AF197" s="977"/>
      <c r="AG197" s="556"/>
      <c r="AH197" s="556"/>
      <c r="AI197" s="556"/>
      <c r="AJ197" s="556"/>
      <c r="AK197" s="556"/>
      <c r="AL197" s="556"/>
      <c r="AM197" s="556"/>
      <c r="AN197" s="556"/>
      <c r="AO197" s="556"/>
      <c r="AP197" s="556"/>
      <c r="AQ197" s="556"/>
      <c r="AR197" s="556"/>
      <c r="AS197" s="556"/>
      <c r="AT197" s="556"/>
      <c r="AU197" s="556"/>
      <c r="AV197" s="556"/>
      <c r="AW197" s="556"/>
      <c r="AX197" s="556"/>
      <c r="AY197" s="556"/>
      <c r="AZ197" s="556"/>
      <c r="BA197" s="556"/>
      <c r="BB197" s="556"/>
    </row>
    <row r="198" spans="1:54" s="374" customFormat="1" ht="15.6" hidden="1" x14ac:dyDescent="0.3">
      <c r="A198" s="1032" t="s">
        <v>847</v>
      </c>
      <c r="B198" s="732" t="str">
        <f>IF(E198="","",DAY(E198))</f>
        <v/>
      </c>
      <c r="C198" s="676" t="str">
        <f>CONCATENATE(C196+1,".")</f>
        <v>83.</v>
      </c>
      <c r="D198" s="654"/>
      <c r="E198" s="704" t="str">
        <f>(IF(E196="","",IF(G198="","",
IF($M$19=1,EDATE(E196,-1),
IF(AND($M$19=2,B196=1),EOMONTH(E196,-2)+16,
IF(AND($M$19=2,B196=16),EOMONTH(E196,-1)+1,
IF($M$19=3,E196-14,
IF($M$19=4,E196-7,
""))))))))</f>
        <v/>
      </c>
      <c r="F198" s="654" t="s">
        <v>240</v>
      </c>
      <c r="G198" s="704" t="str">
        <f>IF(E196="","",
IF($L$13=3,E196-1,
IF(AND($L$13=2,E196-1&gt;=$V$19,YEAR(E196-1)&gt;=($K$30-1)),E196-1,"")))</f>
        <v/>
      </c>
      <c r="H198" s="660"/>
      <c r="I198" s="654" t="s">
        <v>240</v>
      </c>
      <c r="J198" s="660"/>
      <c r="K198" s="969"/>
      <c r="L198" s="1547"/>
      <c r="M198" s="1548"/>
      <c r="N198" s="677"/>
      <c r="O198" s="655"/>
      <c r="P198" s="656"/>
      <c r="Q198" s="655"/>
      <c r="R198" s="655"/>
      <c r="S198" s="655"/>
      <c r="T198" s="655"/>
      <c r="U198" s="657"/>
      <c r="V198" s="655"/>
      <c r="W198" s="655"/>
      <c r="X198" s="655"/>
      <c r="Y198" s="657"/>
      <c r="Z198" s="1030"/>
      <c r="AA198" s="1030"/>
      <c r="AB198" s="1030"/>
      <c r="AC198" s="1030"/>
      <c r="AD198" s="1030"/>
      <c r="AE198" s="1031"/>
      <c r="AF198" s="1031"/>
      <c r="AG198" s="1030"/>
      <c r="AH198" s="1030"/>
      <c r="AI198" s="1030"/>
      <c r="AJ198" s="1030"/>
      <c r="AK198" s="1030"/>
      <c r="AL198" s="1030"/>
      <c r="AM198" s="1030"/>
      <c r="AN198" s="1030"/>
      <c r="AO198" s="1030"/>
      <c r="AP198" s="1030"/>
      <c r="AQ198" s="1030"/>
      <c r="AR198" s="1030"/>
      <c r="AS198" s="1030"/>
      <c r="AT198" s="1030"/>
      <c r="AU198" s="1030"/>
      <c r="AV198" s="1030"/>
      <c r="AW198" s="1030"/>
      <c r="AX198" s="1030"/>
      <c r="AY198" s="1030"/>
      <c r="AZ198" s="1030"/>
      <c r="BA198" s="1030"/>
      <c r="BB198" s="1030"/>
    </row>
    <row r="199" spans="1:54" ht="3" hidden="1" customHeight="1" x14ac:dyDescent="0.3">
      <c r="A199" s="779"/>
      <c r="B199" s="779"/>
      <c r="C199" s="679"/>
      <c r="D199" s="144"/>
      <c r="E199" s="671"/>
      <c r="F199" s="671"/>
      <c r="G199" s="671"/>
      <c r="H199" s="671"/>
      <c r="I199" s="671"/>
      <c r="J199" s="671"/>
      <c r="K199" s="969"/>
      <c r="L199" s="38"/>
      <c r="M199" s="38"/>
      <c r="N199" s="680"/>
      <c r="O199" s="45"/>
      <c r="P199" s="45"/>
      <c r="Q199" s="45"/>
      <c r="R199" s="45"/>
      <c r="S199" s="45"/>
      <c r="T199" s="45"/>
      <c r="U199" s="45"/>
      <c r="V199" s="45"/>
      <c r="W199" s="45"/>
      <c r="X199" s="45"/>
      <c r="Y199" s="38"/>
      <c r="Z199" s="556"/>
      <c r="AA199" s="556"/>
      <c r="AB199" s="556"/>
      <c r="AC199" s="556"/>
      <c r="AD199" s="556"/>
      <c r="AE199" s="977"/>
      <c r="AF199" s="977"/>
      <c r="AG199" s="556"/>
      <c r="AH199" s="556"/>
      <c r="AI199" s="556"/>
      <c r="AJ199" s="556"/>
      <c r="AK199" s="556"/>
      <c r="AL199" s="556"/>
      <c r="AM199" s="556"/>
      <c r="AN199" s="556"/>
      <c r="AO199" s="556"/>
      <c r="AP199" s="556"/>
      <c r="AQ199" s="556"/>
      <c r="AR199" s="556"/>
      <c r="AS199" s="556"/>
      <c r="AT199" s="556"/>
      <c r="AU199" s="556"/>
      <c r="AV199" s="556"/>
      <c r="AW199" s="556"/>
      <c r="AX199" s="556"/>
      <c r="AY199" s="556"/>
      <c r="AZ199" s="556"/>
      <c r="BA199" s="556"/>
      <c r="BB199" s="556"/>
    </row>
    <row r="200" spans="1:54" s="374" customFormat="1" ht="15.6" hidden="1" x14ac:dyDescent="0.3">
      <c r="A200" s="1032" t="s">
        <v>847</v>
      </c>
      <c r="B200" s="732" t="str">
        <f>IF(E200="","",DAY(E200))</f>
        <v/>
      </c>
      <c r="C200" s="676" t="str">
        <f>CONCATENATE(C198+1,".")</f>
        <v>84.</v>
      </c>
      <c r="D200" s="654"/>
      <c r="E200" s="704" t="str">
        <f>(IF(E198="","",IF(G200="","",
IF($M$19=1,EDATE(E198,-1),
IF(AND($M$19=2,B198=1),EOMONTH(E198,-2)+16,
IF(AND($M$19=2,B198=16),EOMONTH(E198,-1)+1,
IF($M$19=3,E198-14,
IF($M$19=4,E198-7,
""))))))))</f>
        <v/>
      </c>
      <c r="F200" s="654" t="s">
        <v>240</v>
      </c>
      <c r="G200" s="704" t="str">
        <f>IF(E198="","",
IF($L$13=3,E198-1,
IF(AND($L$13=2,E198-1&gt;=$V$19,YEAR(E198-1)&gt;=($K$30-1)),E198-1,"")))</f>
        <v/>
      </c>
      <c r="H200" s="660"/>
      <c r="I200" s="654" t="s">
        <v>240</v>
      </c>
      <c r="J200" s="660"/>
      <c r="K200" s="969"/>
      <c r="L200" s="1547"/>
      <c r="M200" s="1548"/>
      <c r="N200" s="677"/>
      <c r="O200" s="655"/>
      <c r="P200" s="656"/>
      <c r="Q200" s="655"/>
      <c r="R200" s="655"/>
      <c r="S200" s="655"/>
      <c r="T200" s="655"/>
      <c r="U200" s="657"/>
      <c r="V200" s="655"/>
      <c r="W200" s="655"/>
      <c r="X200" s="655"/>
      <c r="Y200" s="657"/>
      <c r="Z200" s="1030"/>
      <c r="AA200" s="1030"/>
      <c r="AB200" s="1030"/>
      <c r="AC200" s="1030"/>
      <c r="AD200" s="1030"/>
      <c r="AE200" s="1031"/>
      <c r="AF200" s="1031"/>
      <c r="AG200" s="1030"/>
      <c r="AH200" s="1030"/>
      <c r="AI200" s="1030"/>
      <c r="AJ200" s="1030"/>
      <c r="AK200" s="1030"/>
      <c r="AL200" s="1030"/>
      <c r="AM200" s="1030"/>
      <c r="AN200" s="1030"/>
      <c r="AO200" s="1030"/>
      <c r="AP200" s="1030"/>
      <c r="AQ200" s="1030"/>
      <c r="AR200" s="1030"/>
      <c r="AS200" s="1030"/>
      <c r="AT200" s="1030"/>
      <c r="AU200" s="1030"/>
      <c r="AV200" s="1030"/>
      <c r="AW200" s="1030"/>
      <c r="AX200" s="1030"/>
      <c r="AY200" s="1030"/>
      <c r="AZ200" s="1030"/>
      <c r="BA200" s="1030"/>
      <c r="BB200" s="1030"/>
    </row>
    <row r="201" spans="1:54" ht="3" hidden="1" customHeight="1" x14ac:dyDescent="0.3">
      <c r="A201" s="779"/>
      <c r="B201" s="779"/>
      <c r="C201" s="679"/>
      <c r="D201" s="668"/>
      <c r="E201" s="669"/>
      <c r="F201" s="670"/>
      <c r="G201" s="669"/>
      <c r="H201" s="669"/>
      <c r="I201" s="670"/>
      <c r="J201" s="669"/>
      <c r="K201" s="969"/>
      <c r="L201" s="38"/>
      <c r="M201" s="38"/>
      <c r="N201" s="680"/>
      <c r="O201" s="45"/>
      <c r="P201" s="45"/>
      <c r="Q201" s="38"/>
      <c r="R201" s="45"/>
      <c r="S201" s="45"/>
      <c r="T201" s="45"/>
      <c r="U201" s="45"/>
      <c r="V201" s="45"/>
      <c r="W201" s="45"/>
      <c r="X201" s="45"/>
      <c r="Y201" s="38"/>
      <c r="Z201" s="556"/>
      <c r="AA201" s="556"/>
      <c r="AB201" s="556"/>
      <c r="AC201" s="556"/>
      <c r="AD201" s="556"/>
      <c r="AE201" s="977"/>
      <c r="AF201" s="977"/>
      <c r="AG201" s="556"/>
      <c r="AH201" s="556"/>
      <c r="AI201" s="556"/>
      <c r="AJ201" s="556"/>
      <c r="AK201" s="556"/>
      <c r="AL201" s="556"/>
      <c r="AM201" s="556"/>
      <c r="AN201" s="556"/>
      <c r="AO201" s="556"/>
      <c r="AP201" s="556"/>
      <c r="AQ201" s="556"/>
      <c r="AR201" s="556"/>
      <c r="AS201" s="556"/>
      <c r="AT201" s="556"/>
      <c r="AU201" s="556"/>
      <c r="AV201" s="556"/>
      <c r="AW201" s="556"/>
      <c r="AX201" s="556"/>
      <c r="AY201" s="556"/>
      <c r="AZ201" s="556"/>
      <c r="BA201" s="556"/>
      <c r="BB201" s="556"/>
    </row>
    <row r="202" spans="1:54" s="374" customFormat="1" ht="15.6" hidden="1" x14ac:dyDescent="0.3">
      <c r="A202" s="1032" t="s">
        <v>847</v>
      </c>
      <c r="B202" s="732" t="str">
        <f>IF(E202="","",DAY(E202))</f>
        <v/>
      </c>
      <c r="C202" s="676" t="str">
        <f>CONCATENATE(C200+1,".")</f>
        <v>85.</v>
      </c>
      <c r="D202" s="654"/>
      <c r="E202" s="704" t="str">
        <f>(IF(E200="","",IF(G202="","",
IF($M$19=1,EDATE(E200,-1),
IF(AND($M$19=2,B200=1),EOMONTH(E200,-2)+16,
IF(AND($M$19=2,B200=16),EOMONTH(E200,-1)+1,
IF($M$19=3,E200-14,
IF($M$19=4,E200-7,
""))))))))</f>
        <v/>
      </c>
      <c r="F202" s="654" t="s">
        <v>240</v>
      </c>
      <c r="G202" s="704" t="str">
        <f>IF(E200="","",
IF($L$13=3,E200-1,
IF(AND($L$13=2,E200-1&gt;=$V$19,YEAR(E200-1)&gt;=($K$30-1)),E200-1,"")))</f>
        <v/>
      </c>
      <c r="H202" s="660"/>
      <c r="I202" s="654" t="s">
        <v>240</v>
      </c>
      <c r="J202" s="660"/>
      <c r="K202" s="969"/>
      <c r="L202" s="1547"/>
      <c r="M202" s="1548"/>
      <c r="N202" s="677"/>
      <c r="O202" s="655"/>
      <c r="P202" s="656"/>
      <c r="Q202" s="655"/>
      <c r="R202" s="655"/>
      <c r="S202" s="655"/>
      <c r="T202" s="655"/>
      <c r="U202" s="657"/>
      <c r="V202" s="655"/>
      <c r="W202" s="655"/>
      <c r="X202" s="655"/>
      <c r="Y202" s="657"/>
      <c r="Z202" s="1030"/>
      <c r="AA202" s="1030"/>
      <c r="AB202" s="1030"/>
      <c r="AC202" s="1030"/>
      <c r="AD202" s="1030"/>
      <c r="AE202" s="1031"/>
      <c r="AF202" s="1031"/>
      <c r="AG202" s="1030"/>
      <c r="AH202" s="1030"/>
      <c r="AI202" s="1030"/>
      <c r="AJ202" s="1030"/>
      <c r="AK202" s="1030"/>
      <c r="AL202" s="1030"/>
      <c r="AM202" s="1030"/>
      <c r="AN202" s="1030"/>
      <c r="AO202" s="1030"/>
      <c r="AP202" s="1030"/>
      <c r="AQ202" s="1030"/>
      <c r="AR202" s="1030"/>
      <c r="AS202" s="1030"/>
      <c r="AT202" s="1030"/>
      <c r="AU202" s="1030"/>
      <c r="AV202" s="1030"/>
      <c r="AW202" s="1030"/>
      <c r="AX202" s="1030"/>
      <c r="AY202" s="1030"/>
      <c r="AZ202" s="1030"/>
      <c r="BA202" s="1030"/>
      <c r="BB202" s="1030"/>
    </row>
    <row r="203" spans="1:54" ht="3" hidden="1" customHeight="1" x14ac:dyDescent="0.3">
      <c r="A203" s="779"/>
      <c r="B203" s="779"/>
      <c r="C203" s="679"/>
      <c r="D203" s="668"/>
      <c r="E203" s="669"/>
      <c r="F203" s="670"/>
      <c r="G203" s="669"/>
      <c r="H203" s="669"/>
      <c r="I203" s="670"/>
      <c r="J203" s="669"/>
      <c r="K203" s="969"/>
      <c r="L203" s="38"/>
      <c r="M203" s="38"/>
      <c r="N203" s="680"/>
      <c r="O203" s="45"/>
      <c r="P203" s="45"/>
      <c r="Q203" s="38"/>
      <c r="R203" s="45"/>
      <c r="S203" s="45"/>
      <c r="T203" s="45"/>
      <c r="U203" s="45"/>
      <c r="V203" s="45"/>
      <c r="W203" s="45"/>
      <c r="X203" s="45"/>
      <c r="Y203" s="38"/>
      <c r="Z203" s="556"/>
      <c r="AA203" s="556"/>
      <c r="AB203" s="556"/>
      <c r="AC203" s="556"/>
      <c r="AD203" s="556"/>
      <c r="AE203" s="977"/>
      <c r="AF203" s="977"/>
      <c r="AG203" s="556"/>
      <c r="AH203" s="556"/>
      <c r="AI203" s="556"/>
      <c r="AJ203" s="556"/>
      <c r="AK203" s="556"/>
      <c r="AL203" s="556"/>
      <c r="AM203" s="556"/>
      <c r="AN203" s="556"/>
      <c r="AO203" s="556"/>
      <c r="AP203" s="556"/>
      <c r="AQ203" s="556"/>
      <c r="AR203" s="556"/>
      <c r="AS203" s="556"/>
      <c r="AT203" s="556"/>
      <c r="AU203" s="556"/>
      <c r="AV203" s="556"/>
      <c r="AW203" s="556"/>
      <c r="AX203" s="556"/>
      <c r="AY203" s="556"/>
      <c r="AZ203" s="556"/>
      <c r="BA203" s="556"/>
      <c r="BB203" s="556"/>
    </row>
    <row r="204" spans="1:54" s="374" customFormat="1" ht="15.6" hidden="1" x14ac:dyDescent="0.3">
      <c r="A204" s="1032" t="s">
        <v>847</v>
      </c>
      <c r="B204" s="732" t="str">
        <f>IF(E204="","",DAY(E204))</f>
        <v/>
      </c>
      <c r="C204" s="676" t="str">
        <f>CONCATENATE(C202+1,".")</f>
        <v>86.</v>
      </c>
      <c r="D204" s="654"/>
      <c r="E204" s="704" t="str">
        <f>(IF(E202="","",IF(G204="","",
IF($M$19=1,EDATE(E202,-1),
IF(AND($M$19=2,B202=1),EOMONTH(E202,-2)+16,
IF(AND($M$19=2,B202=16),EOMONTH(E202,-1)+1,
IF($M$19=3,E202-14,
IF($M$19=4,E202-7,
""))))))))</f>
        <v/>
      </c>
      <c r="F204" s="654" t="s">
        <v>240</v>
      </c>
      <c r="G204" s="704" t="str">
        <f>IF(E202="","",
IF($L$13=3,E202-1,
IF(AND($L$13=2,E202-1&gt;=$V$19,YEAR(E202-1)&gt;=($K$30-1)),E202-1,"")))</f>
        <v/>
      </c>
      <c r="H204" s="660"/>
      <c r="I204" s="654" t="s">
        <v>240</v>
      </c>
      <c r="J204" s="660"/>
      <c r="K204" s="969"/>
      <c r="L204" s="1547"/>
      <c r="M204" s="1548"/>
      <c r="N204" s="677"/>
      <c r="O204" s="655"/>
      <c r="P204" s="656"/>
      <c r="Q204" s="655"/>
      <c r="R204" s="655"/>
      <c r="S204" s="655"/>
      <c r="T204" s="655"/>
      <c r="U204" s="657"/>
      <c r="V204" s="655"/>
      <c r="W204" s="655"/>
      <c r="X204" s="655"/>
      <c r="Y204" s="657"/>
      <c r="Z204" s="1030"/>
      <c r="AA204" s="1030"/>
      <c r="AB204" s="1030"/>
      <c r="AC204" s="1030"/>
      <c r="AD204" s="1030"/>
      <c r="AE204" s="1031"/>
      <c r="AF204" s="1031"/>
      <c r="AG204" s="1030"/>
      <c r="AH204" s="1030"/>
      <c r="AI204" s="1030"/>
      <c r="AJ204" s="1030"/>
      <c r="AK204" s="1030"/>
      <c r="AL204" s="1030"/>
      <c r="AM204" s="1030"/>
      <c r="AN204" s="1030"/>
      <c r="AO204" s="1030"/>
      <c r="AP204" s="1030"/>
      <c r="AQ204" s="1030"/>
      <c r="AR204" s="1030"/>
      <c r="AS204" s="1030"/>
      <c r="AT204" s="1030"/>
      <c r="AU204" s="1030"/>
      <c r="AV204" s="1030"/>
      <c r="AW204" s="1030"/>
      <c r="AX204" s="1030"/>
      <c r="AY204" s="1030"/>
      <c r="AZ204" s="1030"/>
      <c r="BA204" s="1030"/>
      <c r="BB204" s="1030"/>
    </row>
    <row r="205" spans="1:54" ht="24.6" hidden="1" customHeight="1" x14ac:dyDescent="0.3">
      <c r="A205" s="779"/>
      <c r="B205" s="779"/>
      <c r="C205" s="1665" t="s">
        <v>1045</v>
      </c>
      <c r="D205" s="1666"/>
      <c r="E205" s="1666"/>
      <c r="F205" s="1666"/>
      <c r="G205" s="1666"/>
      <c r="H205" s="1666"/>
      <c r="I205" s="1666"/>
      <c r="J205" s="1666"/>
      <c r="K205" s="1666"/>
      <c r="L205" s="1666"/>
      <c r="M205" s="1666"/>
      <c r="N205" s="1667"/>
      <c r="O205" s="45"/>
      <c r="P205" s="45"/>
      <c r="Q205" s="38"/>
      <c r="R205" s="45"/>
      <c r="S205" s="45"/>
      <c r="T205" s="45"/>
      <c r="U205" s="45"/>
      <c r="V205" s="45"/>
      <c r="W205" s="45"/>
      <c r="X205" s="45"/>
      <c r="Y205" s="38"/>
      <c r="Z205" s="556"/>
      <c r="AA205" s="556"/>
      <c r="AB205" s="556"/>
      <c r="AC205" s="556"/>
      <c r="AD205" s="556"/>
      <c r="AE205" s="977"/>
      <c r="AF205" s="977"/>
      <c r="AG205" s="556"/>
      <c r="AH205" s="556"/>
      <c r="AI205" s="556"/>
      <c r="AJ205" s="556"/>
      <c r="AK205" s="556"/>
      <c r="AL205" s="556"/>
      <c r="AM205" s="556"/>
      <c r="AN205" s="556"/>
      <c r="AO205" s="556"/>
      <c r="AP205" s="556"/>
      <c r="AQ205" s="556"/>
      <c r="AR205" s="556"/>
      <c r="AS205" s="556"/>
      <c r="AT205" s="556"/>
      <c r="AU205" s="556"/>
      <c r="AV205" s="556"/>
      <c r="AW205" s="556"/>
      <c r="AX205" s="556"/>
      <c r="AY205" s="556"/>
      <c r="AZ205" s="556"/>
      <c r="BA205" s="556"/>
      <c r="BB205" s="556"/>
    </row>
    <row r="206" spans="1:54" ht="13.2" hidden="1" customHeight="1" x14ac:dyDescent="0.3">
      <c r="A206" s="779"/>
      <c r="B206" s="779"/>
      <c r="C206" s="949"/>
      <c r="D206" s="668"/>
      <c r="E206" s="669"/>
      <c r="F206" s="670"/>
      <c r="G206" s="669"/>
      <c r="H206" s="669"/>
      <c r="I206" s="670"/>
      <c r="J206" s="669"/>
      <c r="K206" s="38"/>
      <c r="L206" s="134"/>
      <c r="M206" s="134"/>
      <c r="N206" s="648"/>
      <c r="O206" s="45"/>
      <c r="P206" s="45"/>
      <c r="Q206" s="38"/>
      <c r="R206" s="45"/>
      <c r="S206" s="45"/>
      <c r="T206" s="45"/>
      <c r="U206" s="45"/>
      <c r="V206" s="45"/>
      <c r="W206" s="45"/>
      <c r="X206" s="45"/>
      <c r="Y206" s="38"/>
      <c r="Z206" s="556"/>
      <c r="AA206" s="556"/>
      <c r="AB206" s="556"/>
      <c r="AC206" s="556"/>
      <c r="AD206" s="556"/>
      <c r="AE206" s="977"/>
      <c r="AF206" s="977"/>
      <c r="AG206" s="556"/>
      <c r="AH206" s="556"/>
      <c r="AI206" s="556"/>
      <c r="AJ206" s="556"/>
      <c r="AK206" s="556"/>
      <c r="AL206" s="556"/>
      <c r="AM206" s="556"/>
      <c r="AN206" s="556"/>
      <c r="AO206" s="556"/>
      <c r="AP206" s="556"/>
      <c r="AQ206" s="556"/>
      <c r="AR206" s="556"/>
      <c r="AS206" s="556"/>
      <c r="AT206" s="556"/>
      <c r="AU206" s="556"/>
      <c r="AV206" s="556"/>
      <c r="AW206" s="556"/>
      <c r="AX206" s="556"/>
      <c r="AY206" s="556"/>
      <c r="AZ206" s="556"/>
      <c r="BA206" s="556"/>
      <c r="BB206" s="556"/>
    </row>
    <row r="207" spans="1:54" ht="23.4" hidden="1" customHeight="1" x14ac:dyDescent="0.3">
      <c r="A207" s="779"/>
      <c r="B207" s="779"/>
      <c r="C207" s="949"/>
      <c r="D207" s="668"/>
      <c r="E207" s="669"/>
      <c r="F207" s="670"/>
      <c r="G207" s="669"/>
      <c r="H207" s="669"/>
      <c r="I207" s="670"/>
      <c r="J207" s="669"/>
      <c r="K207" s="38"/>
      <c r="L207" s="134"/>
      <c r="M207" s="134"/>
      <c r="N207" s="648"/>
      <c r="O207" s="45"/>
      <c r="P207" s="45"/>
      <c r="Q207" s="38"/>
      <c r="R207" s="45"/>
      <c r="S207" s="45"/>
      <c r="T207" s="45"/>
      <c r="U207" s="45"/>
      <c r="V207" s="45"/>
      <c r="W207" s="45"/>
      <c r="X207" s="45"/>
      <c r="Y207" s="38"/>
      <c r="Z207" s="556"/>
      <c r="AA207" s="556"/>
      <c r="AB207" s="556"/>
      <c r="AC207" s="556"/>
      <c r="AD207" s="556"/>
      <c r="AE207" s="977"/>
      <c r="AF207" s="977"/>
      <c r="AG207" s="556"/>
      <c r="AH207" s="556"/>
      <c r="AI207" s="556"/>
      <c r="AJ207" s="556"/>
      <c r="AK207" s="556"/>
      <c r="AL207" s="556"/>
      <c r="AM207" s="556"/>
      <c r="AN207" s="556"/>
      <c r="AO207" s="556"/>
      <c r="AP207" s="556"/>
      <c r="AQ207" s="556"/>
      <c r="AR207" s="556"/>
      <c r="AS207" s="556"/>
      <c r="AT207" s="556"/>
      <c r="AU207" s="556"/>
      <c r="AV207" s="556"/>
      <c r="AW207" s="556"/>
      <c r="AX207" s="556"/>
      <c r="AY207" s="556"/>
      <c r="AZ207" s="556"/>
      <c r="BA207" s="556"/>
      <c r="BB207" s="556"/>
    </row>
    <row r="208" spans="1:54" ht="28.8" hidden="1" customHeight="1" x14ac:dyDescent="0.3">
      <c r="A208" s="779"/>
      <c r="B208" s="779"/>
      <c r="C208" s="1668" t="s">
        <v>1248</v>
      </c>
      <c r="D208" s="1669"/>
      <c r="E208" s="1669"/>
      <c r="F208" s="1669"/>
      <c r="G208" s="1669"/>
      <c r="H208" s="1669"/>
      <c r="I208" s="1669"/>
      <c r="J208" s="1669"/>
      <c r="K208" s="1669"/>
      <c r="L208" s="1669"/>
      <c r="M208" s="1669"/>
      <c r="N208" s="1670"/>
      <c r="O208" s="45"/>
      <c r="P208" s="45"/>
      <c r="Q208" s="38"/>
      <c r="R208" s="45"/>
      <c r="S208" s="45"/>
      <c r="T208" s="45"/>
      <c r="U208" s="45"/>
      <c r="V208" s="45"/>
      <c r="W208" s="45"/>
      <c r="X208" s="45"/>
      <c r="Y208" s="38"/>
      <c r="Z208" s="556"/>
      <c r="AA208" s="556"/>
      <c r="AB208" s="556"/>
      <c r="AC208" s="556"/>
      <c r="AD208" s="556"/>
      <c r="AE208" s="977"/>
      <c r="AF208" s="977"/>
      <c r="AG208" s="556"/>
      <c r="AH208" s="556"/>
      <c r="AI208" s="556"/>
      <c r="AJ208" s="556"/>
      <c r="AK208" s="556"/>
      <c r="AL208" s="556"/>
      <c r="AM208" s="556"/>
      <c r="AN208" s="556"/>
      <c r="AO208" s="556"/>
      <c r="AP208" s="556"/>
      <c r="AQ208" s="556"/>
      <c r="AR208" s="556"/>
      <c r="AS208" s="556"/>
      <c r="AT208" s="556"/>
      <c r="AU208" s="556"/>
      <c r="AV208" s="556"/>
      <c r="AW208" s="556"/>
      <c r="AX208" s="556"/>
      <c r="AY208" s="556"/>
      <c r="AZ208" s="556"/>
      <c r="BA208" s="556"/>
      <c r="BB208" s="556"/>
    </row>
    <row r="209" spans="1:54" s="374" customFormat="1" ht="15.6" hidden="1" x14ac:dyDescent="0.3">
      <c r="A209" s="1032" t="s">
        <v>847</v>
      </c>
      <c r="B209" s="732" t="str">
        <f>IF(E209="","",DAY(E209))</f>
        <v/>
      </c>
      <c r="C209" s="676" t="str">
        <f>CONCATENATE(C204+1,".")</f>
        <v>87.</v>
      </c>
      <c r="D209" s="654"/>
      <c r="E209" s="704" t="str">
        <f>(IF(E204="","",IF(G209="","",
IF($M$19=1,EDATE(E204,-1),
IF(AND($M$19=2,B204=1),EOMONTH(E204,-2)+16,
IF(AND($M$19=2,B204=16),EOMONTH(E204,-1)+1,
IF($M$19=3,E204-14,
IF($M$19=4,E204-7,
""))))))))</f>
        <v/>
      </c>
      <c r="F209" s="654" t="s">
        <v>240</v>
      </c>
      <c r="G209" s="704" t="str">
        <f>IF(E204="","",
IF($L$13=3,E204-1,
IF(AND($L$13=2,E204-1&gt;=$V$19,YEAR(E204-1)&gt;=($K$30-1)),E204-1,"")))</f>
        <v/>
      </c>
      <c r="H209" s="660"/>
      <c r="I209" s="654" t="s">
        <v>240</v>
      </c>
      <c r="J209" s="660"/>
      <c r="K209" s="969"/>
      <c r="L209" s="1547"/>
      <c r="M209" s="1548"/>
      <c r="N209" s="677"/>
      <c r="O209" s="655"/>
      <c r="P209" s="656"/>
      <c r="Q209" s="655"/>
      <c r="R209" s="655"/>
      <c r="S209" s="655"/>
      <c r="T209" s="655"/>
      <c r="U209" s="657"/>
      <c r="V209" s="655"/>
      <c r="W209" s="655"/>
      <c r="X209" s="655"/>
      <c r="Y209" s="657"/>
      <c r="Z209" s="1030"/>
      <c r="AA209" s="1030"/>
      <c r="AB209" s="1030"/>
      <c r="AC209" s="1030"/>
      <c r="AD209" s="1030"/>
      <c r="AE209" s="1031"/>
      <c r="AF209" s="1031"/>
      <c r="AG209" s="1030"/>
      <c r="AH209" s="1030"/>
      <c r="AI209" s="1030"/>
      <c r="AJ209" s="1030"/>
      <c r="AK209" s="1030"/>
      <c r="AL209" s="1030"/>
      <c r="AM209" s="1030"/>
      <c r="AN209" s="1030"/>
      <c r="AO209" s="1030"/>
      <c r="AP209" s="1030"/>
      <c r="AQ209" s="1030"/>
      <c r="AR209" s="1030"/>
      <c r="AS209" s="1030"/>
      <c r="AT209" s="1030"/>
      <c r="AU209" s="1030"/>
      <c r="AV209" s="1030"/>
      <c r="AW209" s="1030"/>
      <c r="AX209" s="1030"/>
      <c r="AY209" s="1030"/>
      <c r="AZ209" s="1030"/>
      <c r="BA209" s="1030"/>
      <c r="BB209" s="1030"/>
    </row>
    <row r="210" spans="1:54" ht="3" hidden="1" customHeight="1" x14ac:dyDescent="0.3">
      <c r="A210" s="779"/>
      <c r="B210" s="779"/>
      <c r="C210" s="679"/>
      <c r="D210" s="117"/>
      <c r="E210" s="671"/>
      <c r="F210" s="671"/>
      <c r="G210" s="671"/>
      <c r="H210" s="671"/>
      <c r="I210" s="671"/>
      <c r="J210" s="671"/>
      <c r="K210" s="969"/>
      <c r="L210" s="38"/>
      <c r="M210" s="38"/>
      <c r="N210" s="680"/>
      <c r="O210" s="45"/>
      <c r="P210" s="45"/>
      <c r="Q210" s="45"/>
      <c r="R210" s="45"/>
      <c r="S210" s="45"/>
      <c r="T210" s="45"/>
      <c r="U210" s="45"/>
      <c r="V210" s="45"/>
      <c r="W210" s="45"/>
      <c r="X210" s="45"/>
      <c r="Y210" s="38"/>
      <c r="Z210" s="556"/>
      <c r="AA210" s="556"/>
      <c r="AB210" s="556"/>
      <c r="AC210" s="556"/>
      <c r="AD210" s="556"/>
      <c r="AE210" s="977"/>
      <c r="AF210" s="977"/>
      <c r="AG210" s="556"/>
      <c r="AH210" s="556"/>
      <c r="AI210" s="556"/>
      <c r="AJ210" s="556"/>
      <c r="AK210" s="556"/>
      <c r="AL210" s="556"/>
      <c r="AM210" s="556"/>
      <c r="AN210" s="556"/>
      <c r="AO210" s="556"/>
      <c r="AP210" s="556"/>
      <c r="AQ210" s="556"/>
      <c r="AR210" s="556"/>
      <c r="AS210" s="556"/>
      <c r="AT210" s="556"/>
      <c r="AU210" s="556"/>
      <c r="AV210" s="556"/>
      <c r="AW210" s="556"/>
      <c r="AX210" s="556"/>
      <c r="AY210" s="556"/>
      <c r="AZ210" s="556"/>
      <c r="BA210" s="556"/>
      <c r="BB210" s="556"/>
    </row>
    <row r="211" spans="1:54" s="374" customFormat="1" ht="15.6" hidden="1" x14ac:dyDescent="0.3">
      <c r="A211" s="1032" t="s">
        <v>847</v>
      </c>
      <c r="B211" s="732" t="str">
        <f>IF(E211="","",DAY(E211))</f>
        <v/>
      </c>
      <c r="C211" s="676" t="str">
        <f>CONCATENATE(C209+1,".")</f>
        <v>88.</v>
      </c>
      <c r="D211" s="654"/>
      <c r="E211" s="704" t="str">
        <f>(IF(E209="","",IF(G211="","",
IF($M$19=1,EDATE(E209,-1),
IF(AND($M$19=2,B209=1),EOMONTH(E209,-2)+16,
IF(AND($M$19=2,B209=16),EOMONTH(E209,-1)+1,
IF($M$19=3,E209-14,
IF($M$19=4,E209-7,
""))))))))</f>
        <v/>
      </c>
      <c r="F211" s="654" t="s">
        <v>240</v>
      </c>
      <c r="G211" s="704" t="str">
        <f>IF(E209="","",
IF($L$13=3,E209-1,
IF(AND($L$13=2,E209-1&gt;=$V$19,YEAR(E209-1)&gt;=($K$30-1)),E209-1,"")))</f>
        <v/>
      </c>
      <c r="H211" s="660"/>
      <c r="I211" s="654" t="s">
        <v>240</v>
      </c>
      <c r="J211" s="660"/>
      <c r="K211" s="969"/>
      <c r="L211" s="1547"/>
      <c r="M211" s="1548"/>
      <c r="N211" s="677"/>
      <c r="O211" s="655"/>
      <c r="P211" s="656"/>
      <c r="Q211" s="655"/>
      <c r="R211" s="655"/>
      <c r="S211" s="655"/>
      <c r="T211" s="655"/>
      <c r="U211" s="657"/>
      <c r="V211" s="655"/>
      <c r="W211" s="655"/>
      <c r="X211" s="655"/>
      <c r="Y211" s="657"/>
      <c r="Z211" s="1030"/>
      <c r="AA211" s="1030"/>
      <c r="AB211" s="1030"/>
      <c r="AC211" s="1030"/>
      <c r="AD211" s="1030"/>
      <c r="AE211" s="1031"/>
      <c r="AF211" s="1031"/>
      <c r="AG211" s="1030"/>
      <c r="AH211" s="1030"/>
      <c r="AI211" s="1030"/>
      <c r="AJ211" s="1030"/>
      <c r="AK211" s="1030"/>
      <c r="AL211" s="1030"/>
      <c r="AM211" s="1030"/>
      <c r="AN211" s="1030"/>
      <c r="AO211" s="1030"/>
      <c r="AP211" s="1030"/>
      <c r="AQ211" s="1030"/>
      <c r="AR211" s="1030"/>
      <c r="AS211" s="1030"/>
      <c r="AT211" s="1030"/>
      <c r="AU211" s="1030"/>
      <c r="AV211" s="1030"/>
      <c r="AW211" s="1030"/>
      <c r="AX211" s="1030"/>
      <c r="AY211" s="1030"/>
      <c r="AZ211" s="1030"/>
      <c r="BA211" s="1030"/>
      <c r="BB211" s="1030"/>
    </row>
    <row r="212" spans="1:54" ht="3" hidden="1" customHeight="1" x14ac:dyDescent="0.3">
      <c r="A212" s="779"/>
      <c r="B212" s="779"/>
      <c r="C212" s="679"/>
      <c r="D212" s="144"/>
      <c r="E212" s="671"/>
      <c r="F212" s="671"/>
      <c r="G212" s="671"/>
      <c r="H212" s="671"/>
      <c r="I212" s="671"/>
      <c r="J212" s="671"/>
      <c r="K212" s="969"/>
      <c r="L212" s="38"/>
      <c r="M212" s="38"/>
      <c r="N212" s="680"/>
      <c r="O212" s="45"/>
      <c r="P212" s="45"/>
      <c r="Q212" s="45"/>
      <c r="R212" s="45"/>
      <c r="S212" s="45"/>
      <c r="T212" s="45"/>
      <c r="U212" s="45"/>
      <c r="V212" s="45"/>
      <c r="W212" s="45"/>
      <c r="X212" s="45"/>
      <c r="Y212" s="38"/>
      <c r="Z212" s="556"/>
      <c r="AA212" s="556"/>
      <c r="AB212" s="556"/>
      <c r="AC212" s="556"/>
      <c r="AD212" s="556"/>
      <c r="AE212" s="977"/>
      <c r="AF212" s="977"/>
      <c r="AG212" s="556"/>
      <c r="AH212" s="556"/>
      <c r="AI212" s="556"/>
      <c r="AJ212" s="556"/>
      <c r="AK212" s="556"/>
      <c r="AL212" s="556"/>
      <c r="AM212" s="556"/>
      <c r="AN212" s="556"/>
      <c r="AO212" s="556"/>
      <c r="AP212" s="556"/>
      <c r="AQ212" s="556"/>
      <c r="AR212" s="556"/>
      <c r="AS212" s="556"/>
      <c r="AT212" s="556"/>
      <c r="AU212" s="556"/>
      <c r="AV212" s="556"/>
      <c r="AW212" s="556"/>
      <c r="AX212" s="556"/>
      <c r="AY212" s="556"/>
      <c r="AZ212" s="556"/>
      <c r="BA212" s="556"/>
      <c r="BB212" s="556"/>
    </row>
    <row r="213" spans="1:54" s="374" customFormat="1" ht="15.6" hidden="1" x14ac:dyDescent="0.3">
      <c r="A213" s="1032" t="s">
        <v>847</v>
      </c>
      <c r="B213" s="732" t="str">
        <f>IF(E213="","",DAY(E213))</f>
        <v/>
      </c>
      <c r="C213" s="676" t="str">
        <f>CONCATENATE(C211+1,".")</f>
        <v>89.</v>
      </c>
      <c r="D213" s="654"/>
      <c r="E213" s="704" t="str">
        <f>(IF(E211="","",IF(G213="","",
IF($M$19=1,EDATE(E211,-1),
IF(AND($M$19=2,B211=1),EOMONTH(E211,-2)+16,
IF(AND($M$19=2,B211=16),EOMONTH(E211,-1)+1,
IF($M$19=3,E211-14,
IF($M$19=4,E211-7,
""))))))))</f>
        <v/>
      </c>
      <c r="F213" s="654" t="s">
        <v>240</v>
      </c>
      <c r="G213" s="704" t="str">
        <f>IF(E211="","",
IF($L$13=3,E211-1,
IF(AND($L$13=2,E211-1&gt;=$V$19,YEAR(E211-1)&gt;=($K$30-1)),E211-1,"")))</f>
        <v/>
      </c>
      <c r="H213" s="660"/>
      <c r="I213" s="654" t="s">
        <v>240</v>
      </c>
      <c r="J213" s="660"/>
      <c r="K213" s="969"/>
      <c r="L213" s="1547"/>
      <c r="M213" s="1548"/>
      <c r="N213" s="677"/>
      <c r="O213" s="655"/>
      <c r="P213" s="656"/>
      <c r="Q213" s="655"/>
      <c r="R213" s="655"/>
      <c r="S213" s="655"/>
      <c r="T213" s="655"/>
      <c r="U213" s="657"/>
      <c r="V213" s="655"/>
      <c r="W213" s="655"/>
      <c r="X213" s="655"/>
      <c r="Y213" s="657"/>
      <c r="Z213" s="1030"/>
      <c r="AA213" s="1030"/>
      <c r="AB213" s="1030"/>
      <c r="AC213" s="1030"/>
      <c r="AD213" s="1030"/>
      <c r="AE213" s="1031"/>
      <c r="AF213" s="1031"/>
      <c r="AG213" s="1030"/>
      <c r="AH213" s="1030"/>
      <c r="AI213" s="1030"/>
      <c r="AJ213" s="1030"/>
      <c r="AK213" s="1030"/>
      <c r="AL213" s="1030"/>
      <c r="AM213" s="1030"/>
      <c r="AN213" s="1030"/>
      <c r="AO213" s="1030"/>
      <c r="AP213" s="1030"/>
      <c r="AQ213" s="1030"/>
      <c r="AR213" s="1030"/>
      <c r="AS213" s="1030"/>
      <c r="AT213" s="1030"/>
      <c r="AU213" s="1030"/>
      <c r="AV213" s="1030"/>
      <c r="AW213" s="1030"/>
      <c r="AX213" s="1030"/>
      <c r="AY213" s="1030"/>
      <c r="AZ213" s="1030"/>
      <c r="BA213" s="1030"/>
      <c r="BB213" s="1030"/>
    </row>
    <row r="214" spans="1:54" ht="3" hidden="1" customHeight="1" x14ac:dyDescent="0.3">
      <c r="A214" s="779"/>
      <c r="B214" s="779"/>
      <c r="C214" s="679"/>
      <c r="D214" s="144"/>
      <c r="E214" s="671"/>
      <c r="F214" s="671"/>
      <c r="G214" s="671"/>
      <c r="H214" s="671"/>
      <c r="I214" s="671"/>
      <c r="J214" s="671"/>
      <c r="K214" s="969"/>
      <c r="L214" s="38"/>
      <c r="M214" s="38"/>
      <c r="N214" s="680"/>
      <c r="O214" s="45"/>
      <c r="P214" s="45"/>
      <c r="Q214" s="45"/>
      <c r="R214" s="45"/>
      <c r="S214" s="45"/>
      <c r="T214" s="45"/>
      <c r="U214" s="45"/>
      <c r="V214" s="45"/>
      <c r="W214" s="45"/>
      <c r="X214" s="45"/>
      <c r="Y214" s="38"/>
      <c r="Z214" s="556"/>
      <c r="AA214" s="556"/>
      <c r="AB214" s="556"/>
      <c r="AC214" s="556"/>
      <c r="AD214" s="556"/>
      <c r="AE214" s="977"/>
      <c r="AF214" s="977"/>
      <c r="AG214" s="556"/>
      <c r="AH214" s="556"/>
      <c r="AI214" s="556"/>
      <c r="AJ214" s="556"/>
      <c r="AK214" s="556"/>
      <c r="AL214" s="556"/>
      <c r="AM214" s="556"/>
      <c r="AN214" s="556"/>
      <c r="AO214" s="556"/>
      <c r="AP214" s="556"/>
      <c r="AQ214" s="556"/>
      <c r="AR214" s="556"/>
      <c r="AS214" s="556"/>
      <c r="AT214" s="556"/>
      <c r="AU214" s="556"/>
      <c r="AV214" s="556"/>
      <c r="AW214" s="556"/>
      <c r="AX214" s="556"/>
      <c r="AY214" s="556"/>
      <c r="AZ214" s="556"/>
      <c r="BA214" s="556"/>
      <c r="BB214" s="556"/>
    </row>
    <row r="215" spans="1:54" s="374" customFormat="1" ht="15.6" hidden="1" x14ac:dyDescent="0.3">
      <c r="A215" s="1032" t="s">
        <v>847</v>
      </c>
      <c r="B215" s="732" t="str">
        <f>IF(E215="","",DAY(E215))</f>
        <v/>
      </c>
      <c r="C215" s="676" t="str">
        <f>CONCATENATE(C213+1,".")</f>
        <v>90.</v>
      </c>
      <c r="D215" s="654"/>
      <c r="E215" s="704" t="str">
        <f>(IF(E213="","",IF(G215="","",
IF($M$19=1,EDATE(E213,-1),
IF(AND($M$19=2,B213=1),EOMONTH(E213,-2)+16,
IF(AND($M$19=2,B213=16),EOMONTH(E213,-1)+1,
IF($M$19=3,E213-14,
IF($M$19=4,E213-7,
""))))))))</f>
        <v/>
      </c>
      <c r="F215" s="654" t="s">
        <v>240</v>
      </c>
      <c r="G215" s="704" t="str">
        <f>IF(E213="","",
IF($L$13=3,E213-1,
IF(AND($L$13=2,E213-1&gt;=$V$19,YEAR(E213-1)&gt;=($K$30-1)),E213-1,"")))</f>
        <v/>
      </c>
      <c r="H215" s="660"/>
      <c r="I215" s="654" t="s">
        <v>240</v>
      </c>
      <c r="J215" s="660"/>
      <c r="K215" s="969"/>
      <c r="L215" s="1547"/>
      <c r="M215" s="1548"/>
      <c r="N215" s="677"/>
      <c r="O215" s="655"/>
      <c r="P215" s="656"/>
      <c r="Q215" s="655"/>
      <c r="R215" s="655"/>
      <c r="S215" s="655"/>
      <c r="T215" s="655"/>
      <c r="U215" s="657"/>
      <c r="V215" s="655"/>
      <c r="W215" s="655"/>
      <c r="X215" s="655"/>
      <c r="Y215" s="657"/>
      <c r="Z215" s="1030"/>
      <c r="AA215" s="1030"/>
      <c r="AB215" s="1030"/>
      <c r="AC215" s="1030"/>
      <c r="AD215" s="1030"/>
      <c r="AE215" s="1031"/>
      <c r="AF215" s="1031"/>
      <c r="AG215" s="1030"/>
      <c r="AH215" s="1030"/>
      <c r="AI215" s="1030"/>
      <c r="AJ215" s="1030"/>
      <c r="AK215" s="1030"/>
      <c r="AL215" s="1030"/>
      <c r="AM215" s="1030"/>
      <c r="AN215" s="1030"/>
      <c r="AO215" s="1030"/>
      <c r="AP215" s="1030"/>
      <c r="AQ215" s="1030"/>
      <c r="AR215" s="1030"/>
      <c r="AS215" s="1030"/>
      <c r="AT215" s="1030"/>
      <c r="AU215" s="1030"/>
      <c r="AV215" s="1030"/>
      <c r="AW215" s="1030"/>
      <c r="AX215" s="1030"/>
      <c r="AY215" s="1030"/>
      <c r="AZ215" s="1030"/>
      <c r="BA215" s="1030"/>
      <c r="BB215" s="1030"/>
    </row>
    <row r="216" spans="1:54" ht="3" hidden="1" customHeight="1" x14ac:dyDescent="0.3">
      <c r="A216" s="779"/>
      <c r="B216" s="779"/>
      <c r="C216" s="679"/>
      <c r="D216" s="668"/>
      <c r="E216" s="669"/>
      <c r="F216" s="670"/>
      <c r="G216" s="669"/>
      <c r="H216" s="669"/>
      <c r="I216" s="670"/>
      <c r="J216" s="669"/>
      <c r="K216" s="969"/>
      <c r="L216" s="134"/>
      <c r="M216" s="134"/>
      <c r="N216" s="680"/>
      <c r="O216" s="45"/>
      <c r="P216" s="45"/>
      <c r="Q216" s="38"/>
      <c r="R216" s="45"/>
      <c r="S216" s="45"/>
      <c r="T216" s="45"/>
      <c r="U216" s="45"/>
      <c r="V216" s="45"/>
      <c r="W216" s="45"/>
      <c r="X216" s="45"/>
      <c r="Y216" s="38"/>
      <c r="Z216" s="556"/>
      <c r="AA216" s="556"/>
      <c r="AB216" s="556"/>
      <c r="AC216" s="556"/>
      <c r="AD216" s="556"/>
      <c r="AE216" s="977"/>
      <c r="AF216" s="977"/>
      <c r="AG216" s="556"/>
      <c r="AH216" s="556"/>
      <c r="AI216" s="556"/>
      <c r="AJ216" s="556"/>
      <c r="AK216" s="556"/>
      <c r="AL216" s="556"/>
      <c r="AM216" s="556"/>
      <c r="AN216" s="556"/>
      <c r="AO216" s="556"/>
      <c r="AP216" s="556"/>
      <c r="AQ216" s="556"/>
      <c r="AR216" s="556"/>
      <c r="AS216" s="556"/>
      <c r="AT216" s="556"/>
      <c r="AU216" s="556"/>
      <c r="AV216" s="556"/>
      <c r="AW216" s="556"/>
      <c r="AX216" s="556"/>
      <c r="AY216" s="556"/>
      <c r="AZ216" s="556"/>
      <c r="BA216" s="556"/>
      <c r="BB216" s="556"/>
    </row>
    <row r="217" spans="1:54" s="374" customFormat="1" ht="15.6" hidden="1" x14ac:dyDescent="0.3">
      <c r="A217" s="1032" t="s">
        <v>847</v>
      </c>
      <c r="B217" s="732" t="str">
        <f>IF(E217="","",DAY(E217))</f>
        <v/>
      </c>
      <c r="C217" s="676" t="str">
        <f>CONCATENATE(C215+1,".")</f>
        <v>91.</v>
      </c>
      <c r="D217" s="654"/>
      <c r="E217" s="704" t="str">
        <f>(IF(E215="","",IF(G217="","",
IF($M$19=1,EDATE(E215,-1),
IF(AND($M$19=2,B215=1),EOMONTH(E215,-2)+16,
IF(AND($M$19=2,B215=16),EOMONTH(E215,-1)+1,
IF($M$19=3,E215-14,
IF($M$19=4,E215-7,
""))))))))</f>
        <v/>
      </c>
      <c r="F217" s="654" t="s">
        <v>240</v>
      </c>
      <c r="G217" s="704" t="str">
        <f>IF(E215="","",
IF($L$13=3,E215-1,
IF(AND($L$13=2,E215-1&gt;=$V$19,YEAR(E215-1)&gt;=($K$30-1)),E215-1,"")))</f>
        <v/>
      </c>
      <c r="H217" s="660"/>
      <c r="I217" s="654" t="s">
        <v>240</v>
      </c>
      <c r="J217" s="660"/>
      <c r="K217" s="969"/>
      <c r="L217" s="1547"/>
      <c r="M217" s="1548"/>
      <c r="N217" s="677"/>
      <c r="O217" s="655"/>
      <c r="P217" s="656"/>
      <c r="Q217" s="655"/>
      <c r="R217" s="655"/>
      <c r="S217" s="655"/>
      <c r="T217" s="655"/>
      <c r="U217" s="657"/>
      <c r="V217" s="655"/>
      <c r="W217" s="655"/>
      <c r="X217" s="655"/>
      <c r="Y217" s="657"/>
      <c r="Z217" s="1030"/>
      <c r="AA217" s="1030"/>
      <c r="AB217" s="1030"/>
      <c r="AC217" s="1030"/>
      <c r="AD217" s="1030"/>
      <c r="AE217" s="1031"/>
      <c r="AF217" s="1031"/>
      <c r="AG217" s="1030"/>
      <c r="AH217" s="1030"/>
      <c r="AI217" s="1030"/>
      <c r="AJ217" s="1030"/>
      <c r="AK217" s="1030"/>
      <c r="AL217" s="1030"/>
      <c r="AM217" s="1030"/>
      <c r="AN217" s="1030"/>
      <c r="AO217" s="1030"/>
      <c r="AP217" s="1030"/>
      <c r="AQ217" s="1030"/>
      <c r="AR217" s="1030"/>
      <c r="AS217" s="1030"/>
      <c r="AT217" s="1030"/>
      <c r="AU217" s="1030"/>
      <c r="AV217" s="1030"/>
      <c r="AW217" s="1030"/>
      <c r="AX217" s="1030"/>
      <c r="AY217" s="1030"/>
      <c r="AZ217" s="1030"/>
      <c r="BA217" s="1030"/>
      <c r="BB217" s="1030"/>
    </row>
    <row r="218" spans="1:54" ht="3" hidden="1" customHeight="1" x14ac:dyDescent="0.3">
      <c r="A218" s="779"/>
      <c r="B218" s="779"/>
      <c r="C218" s="679"/>
      <c r="D218" s="117"/>
      <c r="E218" s="671"/>
      <c r="F218" s="671"/>
      <c r="G218" s="671"/>
      <c r="H218" s="671"/>
      <c r="I218" s="671"/>
      <c r="J218" s="671"/>
      <c r="K218" s="969"/>
      <c r="L218" s="38"/>
      <c r="M218" s="38"/>
      <c r="N218" s="680"/>
      <c r="O218" s="45"/>
      <c r="P218" s="45"/>
      <c r="Q218" s="45"/>
      <c r="R218" s="45"/>
      <c r="S218" s="45"/>
      <c r="T218" s="45"/>
      <c r="U218" s="45"/>
      <c r="V218" s="45"/>
      <c r="W218" s="45"/>
      <c r="X218" s="45"/>
      <c r="Y218" s="38"/>
      <c r="Z218" s="556"/>
      <c r="AA218" s="556"/>
      <c r="AB218" s="556"/>
      <c r="AC218" s="556"/>
      <c r="AD218" s="556"/>
      <c r="AE218" s="977"/>
      <c r="AF218" s="977"/>
      <c r="AG218" s="556"/>
      <c r="AH218" s="556"/>
      <c r="AI218" s="556"/>
      <c r="AJ218" s="556"/>
      <c r="AK218" s="556"/>
      <c r="AL218" s="556"/>
      <c r="AM218" s="556"/>
      <c r="AN218" s="556"/>
      <c r="AO218" s="556"/>
      <c r="AP218" s="556"/>
      <c r="AQ218" s="556"/>
      <c r="AR218" s="556"/>
      <c r="AS218" s="556"/>
      <c r="AT218" s="556"/>
      <c r="AU218" s="556"/>
      <c r="AV218" s="556"/>
      <c r="AW218" s="556"/>
      <c r="AX218" s="556"/>
      <c r="AY218" s="556"/>
      <c r="AZ218" s="556"/>
      <c r="BA218" s="556"/>
      <c r="BB218" s="556"/>
    </row>
    <row r="219" spans="1:54" s="374" customFormat="1" ht="15.6" hidden="1" x14ac:dyDescent="0.3">
      <c r="A219" s="1032" t="s">
        <v>847</v>
      </c>
      <c r="B219" s="732" t="str">
        <f>IF(E219="","",DAY(E219))</f>
        <v/>
      </c>
      <c r="C219" s="676" t="str">
        <f>CONCATENATE(C217+1,".")</f>
        <v>92.</v>
      </c>
      <c r="D219" s="654"/>
      <c r="E219" s="704" t="str">
        <f>(IF(E217="","",IF(G219="","",
IF($M$19=1,EDATE(E217,-1),
IF(AND($M$19=2,B217=1),EOMONTH(E217,-2)+16,
IF(AND($M$19=2,B217=16),EOMONTH(E217,-1)+1,
IF($M$19=3,E217-14,
IF($M$19=4,E217-7,
""))))))))</f>
        <v/>
      </c>
      <c r="F219" s="654" t="s">
        <v>240</v>
      </c>
      <c r="G219" s="704" t="str">
        <f>IF(E217="","",
IF($L$13=3,E217-1,
IF(AND($L$13=2,E217-1&gt;=$V$19,YEAR(E217-1)&gt;=($K$30-1)),E217-1,"")))</f>
        <v/>
      </c>
      <c r="H219" s="660"/>
      <c r="I219" s="654" t="s">
        <v>240</v>
      </c>
      <c r="J219" s="660"/>
      <c r="K219" s="969"/>
      <c r="L219" s="1547"/>
      <c r="M219" s="1548"/>
      <c r="N219" s="677"/>
      <c r="O219" s="655"/>
      <c r="P219" s="656"/>
      <c r="Q219" s="655"/>
      <c r="R219" s="655"/>
      <c r="S219" s="655"/>
      <c r="T219" s="655"/>
      <c r="U219" s="657"/>
      <c r="V219" s="655"/>
      <c r="W219" s="655"/>
      <c r="X219" s="655"/>
      <c r="Y219" s="657"/>
      <c r="Z219" s="1030"/>
      <c r="AA219" s="1030"/>
      <c r="AB219" s="1030"/>
      <c r="AC219" s="1030"/>
      <c r="AD219" s="1030"/>
      <c r="AE219" s="1031"/>
      <c r="AF219" s="1031"/>
      <c r="AG219" s="1030"/>
      <c r="AH219" s="1030"/>
      <c r="AI219" s="1030"/>
      <c r="AJ219" s="1030"/>
      <c r="AK219" s="1030"/>
      <c r="AL219" s="1030"/>
      <c r="AM219" s="1030"/>
      <c r="AN219" s="1030"/>
      <c r="AO219" s="1030"/>
      <c r="AP219" s="1030"/>
      <c r="AQ219" s="1030"/>
      <c r="AR219" s="1030"/>
      <c r="AS219" s="1030"/>
      <c r="AT219" s="1030"/>
      <c r="AU219" s="1030"/>
      <c r="AV219" s="1030"/>
      <c r="AW219" s="1030"/>
      <c r="AX219" s="1030"/>
      <c r="AY219" s="1030"/>
      <c r="AZ219" s="1030"/>
      <c r="BA219" s="1030"/>
      <c r="BB219" s="1030"/>
    </row>
    <row r="220" spans="1:54" ht="3" hidden="1" customHeight="1" x14ac:dyDescent="0.3">
      <c r="A220" s="779"/>
      <c r="B220" s="779"/>
      <c r="C220" s="679"/>
      <c r="D220" s="144"/>
      <c r="E220" s="671"/>
      <c r="F220" s="671"/>
      <c r="G220" s="671"/>
      <c r="H220" s="671"/>
      <c r="I220" s="671"/>
      <c r="J220" s="671"/>
      <c r="K220" s="969"/>
      <c r="L220" s="38"/>
      <c r="M220" s="38"/>
      <c r="N220" s="680"/>
      <c r="O220" s="45"/>
      <c r="P220" s="45"/>
      <c r="Q220" s="45"/>
      <c r="R220" s="45"/>
      <c r="S220" s="45"/>
      <c r="T220" s="45"/>
      <c r="U220" s="45"/>
      <c r="V220" s="45"/>
      <c r="W220" s="45"/>
      <c r="X220" s="45"/>
      <c r="Y220" s="38"/>
      <c r="Z220" s="556"/>
      <c r="AA220" s="556"/>
      <c r="AB220" s="556"/>
      <c r="AC220" s="556"/>
      <c r="AD220" s="556"/>
      <c r="AE220" s="977"/>
      <c r="AF220" s="977"/>
      <c r="AG220" s="556"/>
      <c r="AH220" s="556"/>
      <c r="AI220" s="556"/>
      <c r="AJ220" s="556"/>
      <c r="AK220" s="556"/>
      <c r="AL220" s="556"/>
      <c r="AM220" s="556"/>
      <c r="AN220" s="556"/>
      <c r="AO220" s="556"/>
      <c r="AP220" s="556"/>
      <c r="AQ220" s="556"/>
      <c r="AR220" s="556"/>
      <c r="AS220" s="556"/>
      <c r="AT220" s="556"/>
      <c r="AU220" s="556"/>
      <c r="AV220" s="556"/>
      <c r="AW220" s="556"/>
      <c r="AX220" s="556"/>
      <c r="AY220" s="556"/>
      <c r="AZ220" s="556"/>
      <c r="BA220" s="556"/>
      <c r="BB220" s="556"/>
    </row>
    <row r="221" spans="1:54" s="374" customFormat="1" ht="15.6" hidden="1" x14ac:dyDescent="0.3">
      <c r="A221" s="1032" t="s">
        <v>847</v>
      </c>
      <c r="B221" s="732" t="str">
        <f>IF(E221="","",DAY(E221))</f>
        <v/>
      </c>
      <c r="C221" s="676" t="str">
        <f>CONCATENATE(C219+1,".")</f>
        <v>93.</v>
      </c>
      <c r="D221" s="654"/>
      <c r="E221" s="704" t="str">
        <f>(IF(E219="","",IF(G221="","",
IF($M$19=1,EDATE(E219,-1),
IF(AND($M$19=2,B219=1),EOMONTH(E219,-2)+16,
IF(AND($M$19=2,B219=16),EOMONTH(E219,-1)+1,
IF($M$19=3,E219-14,
IF($M$19=4,E219-7,
""))))))))</f>
        <v/>
      </c>
      <c r="F221" s="654" t="s">
        <v>240</v>
      </c>
      <c r="G221" s="704" t="str">
        <f>IF(E219="","",
IF($L$13=3,E219-1,
IF(AND($L$13=2,E219-1&gt;=$V$19,YEAR(E219-1)&gt;=($K$30-1)),E219-1,"")))</f>
        <v/>
      </c>
      <c r="H221" s="660"/>
      <c r="I221" s="654" t="s">
        <v>240</v>
      </c>
      <c r="J221" s="660"/>
      <c r="K221" s="969"/>
      <c r="L221" s="1547"/>
      <c r="M221" s="1548"/>
      <c r="N221" s="677"/>
      <c r="O221" s="655"/>
      <c r="P221" s="656"/>
      <c r="Q221" s="655"/>
      <c r="R221" s="655"/>
      <c r="S221" s="655"/>
      <c r="T221" s="655"/>
      <c r="U221" s="657"/>
      <c r="V221" s="655"/>
      <c r="W221" s="655"/>
      <c r="X221" s="655"/>
      <c r="Y221" s="657"/>
      <c r="Z221" s="1030"/>
      <c r="AA221" s="1030"/>
      <c r="AB221" s="1030"/>
      <c r="AC221" s="1030"/>
      <c r="AD221" s="1030"/>
      <c r="AE221" s="1031"/>
      <c r="AF221" s="1031"/>
      <c r="AG221" s="1030"/>
      <c r="AH221" s="1030"/>
      <c r="AI221" s="1030"/>
      <c r="AJ221" s="1030"/>
      <c r="AK221" s="1030"/>
      <c r="AL221" s="1030"/>
      <c r="AM221" s="1030"/>
      <c r="AN221" s="1030"/>
      <c r="AO221" s="1030"/>
      <c r="AP221" s="1030"/>
      <c r="AQ221" s="1030"/>
      <c r="AR221" s="1030"/>
      <c r="AS221" s="1030"/>
      <c r="AT221" s="1030"/>
      <c r="AU221" s="1030"/>
      <c r="AV221" s="1030"/>
      <c r="AW221" s="1030"/>
      <c r="AX221" s="1030"/>
      <c r="AY221" s="1030"/>
      <c r="AZ221" s="1030"/>
      <c r="BA221" s="1030"/>
      <c r="BB221" s="1030"/>
    </row>
    <row r="222" spans="1:54" ht="3" hidden="1" customHeight="1" x14ac:dyDescent="0.3">
      <c r="A222" s="779"/>
      <c r="B222" s="779"/>
      <c r="C222" s="679"/>
      <c r="D222" s="144"/>
      <c r="E222" s="671"/>
      <c r="F222" s="671"/>
      <c r="G222" s="671"/>
      <c r="H222" s="671"/>
      <c r="I222" s="671"/>
      <c r="J222" s="671"/>
      <c r="K222" s="969"/>
      <c r="L222" s="38"/>
      <c r="M222" s="38"/>
      <c r="N222" s="680"/>
      <c r="O222" s="45"/>
      <c r="P222" s="45"/>
      <c r="Q222" s="45"/>
      <c r="R222" s="45"/>
      <c r="S222" s="45"/>
      <c r="T222" s="45"/>
      <c r="U222" s="45"/>
      <c r="V222" s="45"/>
      <c r="W222" s="45"/>
      <c r="X222" s="45"/>
      <c r="Y222" s="38"/>
      <c r="Z222" s="556"/>
      <c r="AA222" s="556"/>
      <c r="AB222" s="556"/>
      <c r="AC222" s="556"/>
      <c r="AD222" s="556"/>
      <c r="AE222" s="977"/>
      <c r="AF222" s="977"/>
      <c r="AG222" s="556"/>
      <c r="AH222" s="556"/>
      <c r="AI222" s="556"/>
      <c r="AJ222" s="556"/>
      <c r="AK222" s="556"/>
      <c r="AL222" s="556"/>
      <c r="AM222" s="556"/>
      <c r="AN222" s="556"/>
      <c r="AO222" s="556"/>
      <c r="AP222" s="556"/>
      <c r="AQ222" s="556"/>
      <c r="AR222" s="556"/>
      <c r="AS222" s="556"/>
      <c r="AT222" s="556"/>
      <c r="AU222" s="556"/>
      <c r="AV222" s="556"/>
      <c r="AW222" s="556"/>
      <c r="AX222" s="556"/>
      <c r="AY222" s="556"/>
      <c r="AZ222" s="556"/>
      <c r="BA222" s="556"/>
      <c r="BB222" s="556"/>
    </row>
    <row r="223" spans="1:54" s="374" customFormat="1" ht="15.6" hidden="1" x14ac:dyDescent="0.3">
      <c r="A223" s="1032" t="s">
        <v>847</v>
      </c>
      <c r="B223" s="732" t="str">
        <f>IF(E223="","",DAY(E223))</f>
        <v/>
      </c>
      <c r="C223" s="676" t="str">
        <f>CONCATENATE(C221+1,".")</f>
        <v>94.</v>
      </c>
      <c r="D223" s="654"/>
      <c r="E223" s="704" t="str">
        <f>(IF(E221="","",IF(G223="","",
IF($M$19=1,EDATE(E221,-1),
IF(AND($M$19=2,B221=1),EOMONTH(E221,-2)+16,
IF(AND($M$19=2,B221=16),EOMONTH(E221,-1)+1,
IF($M$19=3,E221-14,
IF($M$19=4,E221-7,
""))))))))</f>
        <v/>
      </c>
      <c r="F223" s="654" t="s">
        <v>240</v>
      </c>
      <c r="G223" s="704" t="str">
        <f>IF(E221="","",
IF($L$13=3,E221-1,
IF(AND($L$13=2,E221-1&gt;=$V$19,YEAR(E221-1)&gt;=($K$30-1)),E221-1,"")))</f>
        <v/>
      </c>
      <c r="H223" s="660"/>
      <c r="I223" s="654" t="s">
        <v>240</v>
      </c>
      <c r="J223" s="660"/>
      <c r="K223" s="969"/>
      <c r="L223" s="1547"/>
      <c r="M223" s="1548"/>
      <c r="N223" s="677"/>
      <c r="O223" s="655"/>
      <c r="P223" s="656"/>
      <c r="Q223" s="655"/>
      <c r="R223" s="655"/>
      <c r="S223" s="655"/>
      <c r="T223" s="655"/>
      <c r="U223" s="657"/>
      <c r="V223" s="655"/>
      <c r="W223" s="655"/>
      <c r="X223" s="655"/>
      <c r="Y223" s="657"/>
      <c r="Z223" s="1030"/>
      <c r="AA223" s="1030"/>
      <c r="AB223" s="1030"/>
      <c r="AC223" s="1030"/>
      <c r="AD223" s="1030"/>
      <c r="AE223" s="1031"/>
      <c r="AF223" s="1031"/>
      <c r="AG223" s="1030"/>
      <c r="AH223" s="1030"/>
      <c r="AI223" s="1030"/>
      <c r="AJ223" s="1030"/>
      <c r="AK223" s="1030"/>
      <c r="AL223" s="1030"/>
      <c r="AM223" s="1030"/>
      <c r="AN223" s="1030"/>
      <c r="AO223" s="1030"/>
      <c r="AP223" s="1030"/>
      <c r="AQ223" s="1030"/>
      <c r="AR223" s="1030"/>
      <c r="AS223" s="1030"/>
      <c r="AT223" s="1030"/>
      <c r="AU223" s="1030"/>
      <c r="AV223" s="1030"/>
      <c r="AW223" s="1030"/>
      <c r="AX223" s="1030"/>
      <c r="AY223" s="1030"/>
      <c r="AZ223" s="1030"/>
      <c r="BA223" s="1030"/>
      <c r="BB223" s="1030"/>
    </row>
    <row r="224" spans="1:54" ht="3" hidden="1" customHeight="1" x14ac:dyDescent="0.3">
      <c r="A224" s="779"/>
      <c r="B224" s="779"/>
      <c r="C224" s="679"/>
      <c r="D224" s="668"/>
      <c r="E224" s="669"/>
      <c r="F224" s="670"/>
      <c r="G224" s="669"/>
      <c r="H224" s="669"/>
      <c r="I224" s="670"/>
      <c r="J224" s="669"/>
      <c r="K224" s="969"/>
      <c r="L224" s="38"/>
      <c r="M224" s="38"/>
      <c r="N224" s="680"/>
      <c r="O224" s="45"/>
      <c r="P224" s="45"/>
      <c r="Q224" s="38"/>
      <c r="R224" s="45"/>
      <c r="S224" s="45"/>
      <c r="T224" s="45"/>
      <c r="U224" s="45"/>
      <c r="V224" s="45"/>
      <c r="W224" s="45"/>
      <c r="X224" s="45"/>
      <c r="Y224" s="38"/>
      <c r="Z224" s="556"/>
      <c r="AA224" s="556"/>
      <c r="AB224" s="556"/>
      <c r="AC224" s="556"/>
      <c r="AD224" s="556"/>
      <c r="AE224" s="977"/>
      <c r="AF224" s="977"/>
      <c r="AG224" s="556"/>
      <c r="AH224" s="556"/>
      <c r="AI224" s="556"/>
      <c r="AJ224" s="556"/>
      <c r="AK224" s="556"/>
      <c r="AL224" s="556"/>
      <c r="AM224" s="556"/>
      <c r="AN224" s="556"/>
      <c r="AO224" s="556"/>
      <c r="AP224" s="556"/>
      <c r="AQ224" s="556"/>
      <c r="AR224" s="556"/>
      <c r="AS224" s="556"/>
      <c r="AT224" s="556"/>
      <c r="AU224" s="556"/>
      <c r="AV224" s="556"/>
      <c r="AW224" s="556"/>
      <c r="AX224" s="556"/>
      <c r="AY224" s="556"/>
      <c r="AZ224" s="556"/>
      <c r="BA224" s="556"/>
      <c r="BB224" s="556"/>
    </row>
    <row r="225" spans="1:54" s="374" customFormat="1" ht="15.6" hidden="1" x14ac:dyDescent="0.3">
      <c r="A225" s="1032" t="s">
        <v>847</v>
      </c>
      <c r="B225" s="732" t="str">
        <f>IF(E225="","",DAY(E225))</f>
        <v/>
      </c>
      <c r="C225" s="676" t="str">
        <f>CONCATENATE(C223+1,".")</f>
        <v>95.</v>
      </c>
      <c r="D225" s="654"/>
      <c r="E225" s="704" t="str">
        <f>(IF(E223="","",IF(G225="","",
IF($M$19=1,EDATE(E223,-1),
IF(AND($M$19=2,B223=1),EOMONTH(E223,-2)+16,
IF(AND($M$19=2,B223=16),EOMONTH(E223,-1)+1,
IF($M$19=3,E223-14,
IF($M$19=4,E223-7,
""))))))))</f>
        <v/>
      </c>
      <c r="F225" s="654" t="s">
        <v>240</v>
      </c>
      <c r="G225" s="704" t="str">
        <f>IF(E223="","",
IF($L$13=3,E223-1,
IF(AND($L$13=2,E223-1&gt;=$V$19,YEAR(E223-1)&gt;=($K$30-1)),E223-1,"")))</f>
        <v/>
      </c>
      <c r="H225" s="660"/>
      <c r="I225" s="654" t="s">
        <v>240</v>
      </c>
      <c r="J225" s="660"/>
      <c r="K225" s="969"/>
      <c r="L225" s="1547"/>
      <c r="M225" s="1548"/>
      <c r="N225" s="677"/>
      <c r="O225" s="655"/>
      <c r="P225" s="656"/>
      <c r="Q225" s="655"/>
      <c r="R225" s="655"/>
      <c r="S225" s="655"/>
      <c r="T225" s="655"/>
      <c r="U225" s="657"/>
      <c r="V225" s="655"/>
      <c r="W225" s="655"/>
      <c r="X225" s="655"/>
      <c r="Y225" s="657"/>
      <c r="Z225" s="1030"/>
      <c r="AA225" s="1030"/>
      <c r="AB225" s="1030"/>
      <c r="AC225" s="1030"/>
      <c r="AD225" s="1030"/>
      <c r="AE225" s="1031"/>
      <c r="AF225" s="1031"/>
      <c r="AG225" s="1030"/>
      <c r="AH225" s="1030"/>
      <c r="AI225" s="1030"/>
      <c r="AJ225" s="1030"/>
      <c r="AK225" s="1030"/>
      <c r="AL225" s="1030"/>
      <c r="AM225" s="1030"/>
      <c r="AN225" s="1030"/>
      <c r="AO225" s="1030"/>
      <c r="AP225" s="1030"/>
      <c r="AQ225" s="1030"/>
      <c r="AR225" s="1030"/>
      <c r="AS225" s="1030"/>
      <c r="AT225" s="1030"/>
      <c r="AU225" s="1030"/>
      <c r="AV225" s="1030"/>
      <c r="AW225" s="1030"/>
      <c r="AX225" s="1030"/>
      <c r="AY225" s="1030"/>
      <c r="AZ225" s="1030"/>
      <c r="BA225" s="1030"/>
      <c r="BB225" s="1030"/>
    </row>
    <row r="226" spans="1:54" ht="3" hidden="1" customHeight="1" x14ac:dyDescent="0.3">
      <c r="A226" s="779"/>
      <c r="B226" s="779"/>
      <c r="C226" s="679"/>
      <c r="D226" s="668"/>
      <c r="E226" s="669"/>
      <c r="F226" s="670"/>
      <c r="G226" s="669"/>
      <c r="H226" s="669"/>
      <c r="I226" s="670"/>
      <c r="J226" s="669"/>
      <c r="K226" s="969"/>
      <c r="L226" s="134"/>
      <c r="M226" s="134"/>
      <c r="N226" s="680"/>
      <c r="O226" s="45"/>
      <c r="P226" s="45"/>
      <c r="Q226" s="38"/>
      <c r="R226" s="45"/>
      <c r="S226" s="45"/>
      <c r="T226" s="45"/>
      <c r="U226" s="45"/>
      <c r="V226" s="45"/>
      <c r="W226" s="45"/>
      <c r="X226" s="45"/>
      <c r="Y226" s="38"/>
      <c r="Z226" s="556"/>
      <c r="AA226" s="556"/>
      <c r="AB226" s="556"/>
      <c r="AC226" s="556"/>
      <c r="AD226" s="556"/>
      <c r="AE226" s="977"/>
      <c r="AF226" s="977"/>
      <c r="AG226" s="556"/>
      <c r="AH226" s="556"/>
      <c r="AI226" s="556"/>
      <c r="AJ226" s="556"/>
      <c r="AK226" s="556"/>
      <c r="AL226" s="556"/>
      <c r="AM226" s="556"/>
      <c r="AN226" s="556"/>
      <c r="AO226" s="556"/>
      <c r="AP226" s="556"/>
      <c r="AQ226" s="556"/>
      <c r="AR226" s="556"/>
      <c r="AS226" s="556"/>
      <c r="AT226" s="556"/>
      <c r="AU226" s="556"/>
      <c r="AV226" s="556"/>
      <c r="AW226" s="556"/>
      <c r="AX226" s="556"/>
      <c r="AY226" s="556"/>
      <c r="AZ226" s="556"/>
      <c r="BA226" s="556"/>
      <c r="BB226" s="556"/>
    </row>
    <row r="227" spans="1:54" s="374" customFormat="1" ht="15.6" hidden="1" x14ac:dyDescent="0.3">
      <c r="A227" s="1032" t="s">
        <v>847</v>
      </c>
      <c r="B227" s="732" t="str">
        <f>IF(E227="","",DAY(E227))</f>
        <v/>
      </c>
      <c r="C227" s="676" t="str">
        <f>CONCATENATE(C225+1,".")</f>
        <v>96.</v>
      </c>
      <c r="D227" s="654"/>
      <c r="E227" s="704" t="str">
        <f>(IF(E225="","",IF(G227="","",
IF($M$19=1,EDATE(E225,-1),
IF(AND($M$19=2,B225=1),EOMONTH(E225,-2)+16,
IF(AND($M$19=2,B225=16),EOMONTH(E225,-1)+1,
IF($M$19=3,E225-14,
IF($M$19=4,E225-7,
""))))))))</f>
        <v/>
      </c>
      <c r="F227" s="654" t="s">
        <v>240</v>
      </c>
      <c r="G227" s="704" t="str">
        <f>IF(E225="","",
IF($L$13=3,E225-1,
IF(AND($L$13=2,E225-1&gt;=$V$19,YEAR(E225-1)&gt;=($K$30-1)),E225-1,"")))</f>
        <v/>
      </c>
      <c r="H227" s="660"/>
      <c r="I227" s="654" t="s">
        <v>240</v>
      </c>
      <c r="J227" s="660"/>
      <c r="K227" s="969"/>
      <c r="L227" s="1547"/>
      <c r="M227" s="1548"/>
      <c r="N227" s="677"/>
      <c r="O227" s="655"/>
      <c r="P227" s="656"/>
      <c r="Q227" s="655"/>
      <c r="R227" s="655"/>
      <c r="S227" s="655"/>
      <c r="T227" s="655"/>
      <c r="U227" s="657"/>
      <c r="V227" s="655"/>
      <c r="W227" s="655"/>
      <c r="X227" s="655"/>
      <c r="Y227" s="657"/>
      <c r="Z227" s="1030"/>
      <c r="AA227" s="1030"/>
      <c r="AB227" s="1030"/>
      <c r="AC227" s="1030"/>
      <c r="AD227" s="1030"/>
      <c r="AE227" s="1031"/>
      <c r="AF227" s="1031"/>
      <c r="AG227" s="1030"/>
      <c r="AH227" s="1030"/>
      <c r="AI227" s="1030"/>
      <c r="AJ227" s="1030"/>
      <c r="AK227" s="1030"/>
      <c r="AL227" s="1030"/>
      <c r="AM227" s="1030"/>
      <c r="AN227" s="1030"/>
      <c r="AO227" s="1030"/>
      <c r="AP227" s="1030"/>
      <c r="AQ227" s="1030"/>
      <c r="AR227" s="1030"/>
      <c r="AS227" s="1030"/>
      <c r="AT227" s="1030"/>
      <c r="AU227" s="1030"/>
      <c r="AV227" s="1030"/>
      <c r="AW227" s="1030"/>
      <c r="AX227" s="1030"/>
      <c r="AY227" s="1030"/>
      <c r="AZ227" s="1030"/>
      <c r="BA227" s="1030"/>
      <c r="BB227" s="1030"/>
    </row>
    <row r="228" spans="1:54" ht="3" hidden="1" customHeight="1" x14ac:dyDescent="0.3">
      <c r="A228" s="779"/>
      <c r="B228" s="779"/>
      <c r="C228" s="679"/>
      <c r="D228" s="117"/>
      <c r="E228" s="671"/>
      <c r="F228" s="671"/>
      <c r="G228" s="671"/>
      <c r="H228" s="671"/>
      <c r="I228" s="671"/>
      <c r="J228" s="671"/>
      <c r="K228" s="969"/>
      <c r="L228" s="38"/>
      <c r="M228" s="38"/>
      <c r="N228" s="680"/>
      <c r="O228" s="45"/>
      <c r="P228" s="45"/>
      <c r="Q228" s="45"/>
      <c r="R228" s="45"/>
      <c r="S228" s="45"/>
      <c r="T228" s="45"/>
      <c r="U228" s="45"/>
      <c r="V228" s="45"/>
      <c r="W228" s="45"/>
      <c r="X228" s="45"/>
      <c r="Y228" s="38"/>
      <c r="Z228" s="556"/>
      <c r="AA228" s="556"/>
      <c r="AB228" s="556"/>
      <c r="AC228" s="556"/>
      <c r="AD228" s="556"/>
      <c r="AE228" s="977"/>
      <c r="AF228" s="977"/>
      <c r="AG228" s="556"/>
      <c r="AH228" s="556"/>
      <c r="AI228" s="556"/>
      <c r="AJ228" s="556"/>
      <c r="AK228" s="556"/>
      <c r="AL228" s="556"/>
      <c r="AM228" s="556"/>
      <c r="AN228" s="556"/>
      <c r="AO228" s="556"/>
      <c r="AP228" s="556"/>
      <c r="AQ228" s="556"/>
      <c r="AR228" s="556"/>
      <c r="AS228" s="556"/>
      <c r="AT228" s="556"/>
      <c r="AU228" s="556"/>
      <c r="AV228" s="556"/>
      <c r="AW228" s="556"/>
      <c r="AX228" s="556"/>
      <c r="AY228" s="556"/>
      <c r="AZ228" s="556"/>
      <c r="BA228" s="556"/>
      <c r="BB228" s="556"/>
    </row>
    <row r="229" spans="1:54" s="374" customFormat="1" ht="15.6" hidden="1" x14ac:dyDescent="0.3">
      <c r="A229" s="1032" t="s">
        <v>847</v>
      </c>
      <c r="B229" s="732" t="str">
        <f>IF(E229="","",DAY(E229))</f>
        <v/>
      </c>
      <c r="C229" s="676" t="str">
        <f>CONCATENATE(C227+1,".")</f>
        <v>97.</v>
      </c>
      <c r="D229" s="654"/>
      <c r="E229" s="704" t="str">
        <f>(IF(E227="","",IF(G229="","",
IF($M$19=1,EDATE(E227,-1),
IF(AND($M$19=2,B227=1),EOMONTH(E227,-2)+16,
IF(AND($M$19=2,B227=16),EOMONTH(E227,-1)+1,
IF($M$19=3,E227-14,
IF($M$19=4,E227-7,
""))))))))</f>
        <v/>
      </c>
      <c r="F229" s="654" t="s">
        <v>240</v>
      </c>
      <c r="G229" s="704" t="str">
        <f>IF(E227="","",
IF($L$13=3,E227-1,
IF(AND($L$13=2,E227-1&gt;=$V$19,YEAR(E227-1)&gt;=($K$30-1)),E227-1,"")))</f>
        <v/>
      </c>
      <c r="H229" s="660"/>
      <c r="I229" s="654" t="s">
        <v>240</v>
      </c>
      <c r="J229" s="660"/>
      <c r="K229" s="969"/>
      <c r="L229" s="1547"/>
      <c r="M229" s="1548"/>
      <c r="N229" s="677"/>
      <c r="O229" s="655"/>
      <c r="P229" s="656"/>
      <c r="Q229" s="655"/>
      <c r="R229" s="655"/>
      <c r="S229" s="655"/>
      <c r="T229" s="655"/>
      <c r="U229" s="657"/>
      <c r="V229" s="655"/>
      <c r="W229" s="655"/>
      <c r="X229" s="655"/>
      <c r="Y229" s="657"/>
      <c r="Z229" s="1030"/>
      <c r="AA229" s="1030"/>
      <c r="AB229" s="1030"/>
      <c r="AC229" s="1030"/>
      <c r="AD229" s="1030"/>
      <c r="AE229" s="1031"/>
      <c r="AF229" s="1031"/>
      <c r="AG229" s="1030"/>
      <c r="AH229" s="1030"/>
      <c r="AI229" s="1030"/>
      <c r="AJ229" s="1030"/>
      <c r="AK229" s="1030"/>
      <c r="AL229" s="1030"/>
      <c r="AM229" s="1030"/>
      <c r="AN229" s="1030"/>
      <c r="AO229" s="1030"/>
      <c r="AP229" s="1030"/>
      <c r="AQ229" s="1030"/>
      <c r="AR229" s="1030"/>
      <c r="AS229" s="1030"/>
      <c r="AT229" s="1030"/>
      <c r="AU229" s="1030"/>
      <c r="AV229" s="1030"/>
      <c r="AW229" s="1030"/>
      <c r="AX229" s="1030"/>
      <c r="AY229" s="1030"/>
      <c r="AZ229" s="1030"/>
      <c r="BA229" s="1030"/>
      <c r="BB229" s="1030"/>
    </row>
    <row r="230" spans="1:54" ht="3" hidden="1" customHeight="1" x14ac:dyDescent="0.3">
      <c r="A230" s="779"/>
      <c r="B230" s="779"/>
      <c r="C230" s="679"/>
      <c r="D230" s="144"/>
      <c r="E230" s="671"/>
      <c r="F230" s="671"/>
      <c r="G230" s="671"/>
      <c r="H230" s="671"/>
      <c r="I230" s="671"/>
      <c r="J230" s="671"/>
      <c r="K230" s="969"/>
      <c r="L230" s="38"/>
      <c r="M230" s="38"/>
      <c r="N230" s="680"/>
      <c r="O230" s="45"/>
      <c r="P230" s="45"/>
      <c r="Q230" s="45"/>
      <c r="R230" s="45"/>
      <c r="S230" s="45"/>
      <c r="T230" s="45"/>
      <c r="U230" s="45"/>
      <c r="V230" s="45"/>
      <c r="W230" s="45"/>
      <c r="X230" s="45"/>
      <c r="Y230" s="38"/>
      <c r="Z230" s="556"/>
      <c r="AA230" s="556"/>
      <c r="AB230" s="556"/>
      <c r="AC230" s="556"/>
      <c r="AD230" s="556"/>
      <c r="AE230" s="977"/>
      <c r="AF230" s="977"/>
      <c r="AG230" s="556"/>
      <c r="AH230" s="556"/>
      <c r="AI230" s="556"/>
      <c r="AJ230" s="556"/>
      <c r="AK230" s="556"/>
      <c r="AL230" s="556"/>
      <c r="AM230" s="556"/>
      <c r="AN230" s="556"/>
      <c r="AO230" s="556"/>
      <c r="AP230" s="556"/>
      <c r="AQ230" s="556"/>
      <c r="AR230" s="556"/>
      <c r="AS230" s="556"/>
      <c r="AT230" s="556"/>
      <c r="AU230" s="556"/>
      <c r="AV230" s="556"/>
      <c r="AW230" s="556"/>
      <c r="AX230" s="556"/>
      <c r="AY230" s="556"/>
      <c r="AZ230" s="556"/>
      <c r="BA230" s="556"/>
      <c r="BB230" s="556"/>
    </row>
    <row r="231" spans="1:54" s="374" customFormat="1" ht="15.6" hidden="1" x14ac:dyDescent="0.3">
      <c r="A231" s="1032" t="s">
        <v>847</v>
      </c>
      <c r="B231" s="732" t="str">
        <f>IF(E231="","",DAY(E231))</f>
        <v/>
      </c>
      <c r="C231" s="676" t="str">
        <f>CONCATENATE(C229+1,".")</f>
        <v>98.</v>
      </c>
      <c r="D231" s="654"/>
      <c r="E231" s="704" t="str">
        <f>(IF(E229="","",IF(G231="","",
IF($M$19=1,EDATE(E229,-1),
IF(AND($M$19=2,B229=1),EOMONTH(E229,-2)+16,
IF(AND($M$19=2,B229=16),EOMONTH(E229,-1)+1,
IF($M$19=3,E229-14,
IF($M$19=4,E229-7,
""))))))))</f>
        <v/>
      </c>
      <c r="F231" s="654" t="s">
        <v>240</v>
      </c>
      <c r="G231" s="704" t="str">
        <f>IF(E229="","",
IF($L$13=3,E229-1,
IF(AND($L$13=2,E229-1&gt;=$V$19,YEAR(E229-1)&gt;=($K$30-1)),E229-1,"")))</f>
        <v/>
      </c>
      <c r="H231" s="660"/>
      <c r="I231" s="654" t="s">
        <v>240</v>
      </c>
      <c r="J231" s="660"/>
      <c r="K231" s="969"/>
      <c r="L231" s="1547"/>
      <c r="M231" s="1548"/>
      <c r="N231" s="677"/>
      <c r="O231" s="655"/>
      <c r="P231" s="656"/>
      <c r="Q231" s="655"/>
      <c r="R231" s="655"/>
      <c r="S231" s="655"/>
      <c r="T231" s="655"/>
      <c r="U231" s="657"/>
      <c r="V231" s="655"/>
      <c r="W231" s="655"/>
      <c r="X231" s="655"/>
      <c r="Y231" s="657"/>
      <c r="Z231" s="1030"/>
      <c r="AA231" s="1030"/>
      <c r="AB231" s="1030"/>
      <c r="AC231" s="1030"/>
      <c r="AD231" s="1030"/>
      <c r="AE231" s="1031"/>
      <c r="AF231" s="1031"/>
      <c r="AG231" s="1030"/>
      <c r="AH231" s="1030"/>
      <c r="AI231" s="1030"/>
      <c r="AJ231" s="1030"/>
      <c r="AK231" s="1030"/>
      <c r="AL231" s="1030"/>
      <c r="AM231" s="1030"/>
      <c r="AN231" s="1030"/>
      <c r="AO231" s="1030"/>
      <c r="AP231" s="1030"/>
      <c r="AQ231" s="1030"/>
      <c r="AR231" s="1030"/>
      <c r="AS231" s="1030"/>
      <c r="AT231" s="1030"/>
      <c r="AU231" s="1030"/>
      <c r="AV231" s="1030"/>
      <c r="AW231" s="1030"/>
      <c r="AX231" s="1030"/>
      <c r="AY231" s="1030"/>
      <c r="AZ231" s="1030"/>
      <c r="BA231" s="1030"/>
      <c r="BB231" s="1030"/>
    </row>
    <row r="232" spans="1:54" ht="3" hidden="1" customHeight="1" x14ac:dyDescent="0.3">
      <c r="A232" s="779"/>
      <c r="B232" s="779"/>
      <c r="C232" s="679"/>
      <c r="D232" s="144"/>
      <c r="E232" s="671"/>
      <c r="F232" s="671"/>
      <c r="G232" s="671"/>
      <c r="H232" s="671"/>
      <c r="I232" s="671"/>
      <c r="J232" s="671"/>
      <c r="K232" s="969"/>
      <c r="L232" s="38"/>
      <c r="M232" s="38"/>
      <c r="N232" s="680"/>
      <c r="O232" s="45"/>
      <c r="P232" s="45"/>
      <c r="Q232" s="45"/>
      <c r="R232" s="45"/>
      <c r="S232" s="45"/>
      <c r="T232" s="45"/>
      <c r="U232" s="45"/>
      <c r="V232" s="45"/>
      <c r="W232" s="45"/>
      <c r="X232" s="45"/>
      <c r="Y232" s="38"/>
      <c r="Z232" s="556"/>
      <c r="AA232" s="556"/>
      <c r="AB232" s="556"/>
      <c r="AC232" s="556"/>
      <c r="AD232" s="556"/>
      <c r="AE232" s="977"/>
      <c r="AF232" s="977"/>
      <c r="AG232" s="556"/>
      <c r="AH232" s="556"/>
      <c r="AI232" s="556"/>
      <c r="AJ232" s="556"/>
      <c r="AK232" s="556"/>
      <c r="AL232" s="556"/>
      <c r="AM232" s="556"/>
      <c r="AN232" s="556"/>
      <c r="AO232" s="556"/>
      <c r="AP232" s="556"/>
      <c r="AQ232" s="556"/>
      <c r="AR232" s="556"/>
      <c r="AS232" s="556"/>
      <c r="AT232" s="556"/>
      <c r="AU232" s="556"/>
      <c r="AV232" s="556"/>
      <c r="AW232" s="556"/>
      <c r="AX232" s="556"/>
      <c r="AY232" s="556"/>
      <c r="AZ232" s="556"/>
      <c r="BA232" s="556"/>
      <c r="BB232" s="556"/>
    </row>
    <row r="233" spans="1:54" s="374" customFormat="1" ht="15.6" hidden="1" x14ac:dyDescent="0.3">
      <c r="A233" s="1032" t="s">
        <v>847</v>
      </c>
      <c r="B233" s="732" t="str">
        <f>IF(E233="","",DAY(E233))</f>
        <v/>
      </c>
      <c r="C233" s="676" t="str">
        <f>CONCATENATE(C231+1,".")</f>
        <v>99.</v>
      </c>
      <c r="D233" s="654"/>
      <c r="E233" s="704" t="str">
        <f>(IF(E231="","",IF(G233="","",
IF($M$19=1,EDATE(E231,-1),
IF(AND($M$19=2,B231=1),EOMONTH(E231,-2)+16,
IF(AND($M$19=2,B231=16),EOMONTH(E231,-1)+1,
IF($M$19=3,E231-14,
IF($M$19=4,E231-7,
""))))))))</f>
        <v/>
      </c>
      <c r="F233" s="654" t="s">
        <v>240</v>
      </c>
      <c r="G233" s="704" t="str">
        <f>IF(E231="","",
IF($L$13=3,E231-1,
IF(AND($L$13=2,E231-1&gt;=$V$19,YEAR(E231-1)&gt;=($K$30-1)),E231-1,"")))</f>
        <v/>
      </c>
      <c r="H233" s="660"/>
      <c r="I233" s="654" t="s">
        <v>240</v>
      </c>
      <c r="J233" s="660"/>
      <c r="K233" s="969"/>
      <c r="L233" s="1547"/>
      <c r="M233" s="1548"/>
      <c r="N233" s="677"/>
      <c r="O233" s="655"/>
      <c r="P233" s="656"/>
      <c r="Q233" s="655"/>
      <c r="R233" s="655"/>
      <c r="S233" s="655"/>
      <c r="T233" s="655"/>
      <c r="U233" s="657"/>
      <c r="V233" s="655"/>
      <c r="W233" s="655"/>
      <c r="X233" s="655"/>
      <c r="Y233" s="657"/>
      <c r="Z233" s="1030"/>
      <c r="AA233" s="1030"/>
      <c r="AB233" s="1030"/>
      <c r="AC233" s="1030"/>
      <c r="AD233" s="1030"/>
      <c r="AE233" s="1031"/>
      <c r="AF233" s="1031"/>
      <c r="AG233" s="1030"/>
      <c r="AH233" s="1030"/>
      <c r="AI233" s="1030"/>
      <c r="AJ233" s="1030"/>
      <c r="AK233" s="1030"/>
      <c r="AL233" s="1030"/>
      <c r="AM233" s="1030"/>
      <c r="AN233" s="1030"/>
      <c r="AO233" s="1030"/>
      <c r="AP233" s="1030"/>
      <c r="AQ233" s="1030"/>
      <c r="AR233" s="1030"/>
      <c r="AS233" s="1030"/>
      <c r="AT233" s="1030"/>
      <c r="AU233" s="1030"/>
      <c r="AV233" s="1030"/>
      <c r="AW233" s="1030"/>
      <c r="AX233" s="1030"/>
      <c r="AY233" s="1030"/>
      <c r="AZ233" s="1030"/>
      <c r="BA233" s="1030"/>
      <c r="BB233" s="1030"/>
    </row>
    <row r="234" spans="1:54" ht="3" hidden="1" customHeight="1" x14ac:dyDescent="0.3">
      <c r="A234" s="779"/>
      <c r="B234" s="779"/>
      <c r="C234" s="679"/>
      <c r="D234" s="668"/>
      <c r="E234" s="669"/>
      <c r="F234" s="670"/>
      <c r="G234" s="669"/>
      <c r="H234" s="669"/>
      <c r="I234" s="670"/>
      <c r="J234" s="669"/>
      <c r="K234" s="969"/>
      <c r="L234" s="38"/>
      <c r="M234" s="38"/>
      <c r="N234" s="680"/>
      <c r="O234" s="45"/>
      <c r="P234" s="45"/>
      <c r="Q234" s="38"/>
      <c r="R234" s="45"/>
      <c r="S234" s="45"/>
      <c r="T234" s="45"/>
      <c r="U234" s="45"/>
      <c r="V234" s="45"/>
      <c r="W234" s="45"/>
      <c r="X234" s="45"/>
      <c r="Y234" s="38"/>
      <c r="Z234" s="556"/>
      <c r="AA234" s="556"/>
      <c r="AB234" s="556"/>
      <c r="AC234" s="556"/>
      <c r="AD234" s="556"/>
      <c r="AE234" s="977"/>
      <c r="AF234" s="977"/>
      <c r="AG234" s="556"/>
      <c r="AH234" s="556"/>
      <c r="AI234" s="556"/>
      <c r="AJ234" s="556"/>
      <c r="AK234" s="556"/>
      <c r="AL234" s="556"/>
      <c r="AM234" s="556"/>
      <c r="AN234" s="556"/>
      <c r="AO234" s="556"/>
      <c r="AP234" s="556"/>
      <c r="AQ234" s="556"/>
      <c r="AR234" s="556"/>
      <c r="AS234" s="556"/>
      <c r="AT234" s="556"/>
      <c r="AU234" s="556"/>
      <c r="AV234" s="556"/>
      <c r="AW234" s="556"/>
      <c r="AX234" s="556"/>
      <c r="AY234" s="556"/>
      <c r="AZ234" s="556"/>
      <c r="BA234" s="556"/>
      <c r="BB234" s="556"/>
    </row>
    <row r="235" spans="1:54" s="374" customFormat="1" ht="15.6" hidden="1" x14ac:dyDescent="0.3">
      <c r="A235" s="1032" t="s">
        <v>847</v>
      </c>
      <c r="B235" s="732" t="str">
        <f>IF(E235="","",DAY(E235))</f>
        <v/>
      </c>
      <c r="C235" s="676" t="str">
        <f>CONCATENATE(C233+1,".")</f>
        <v>100.</v>
      </c>
      <c r="D235" s="654"/>
      <c r="E235" s="704" t="str">
        <f>(IF(E233="","",IF(G235="","",
IF($M$19=1,EDATE(E233,-1),
IF(AND($M$19=2,B233=1),EOMONTH(E233,-2)+16,
IF(AND($M$19=2,B233=16),EOMONTH(E233,-1)+1,
IF($M$19=3,E233-14,
IF($M$19=4,E233-7,
""))))))))</f>
        <v/>
      </c>
      <c r="F235" s="654" t="s">
        <v>240</v>
      </c>
      <c r="G235" s="704" t="str">
        <f>IF(E233="","",
IF($L$13=3,E233-1,
IF(AND($L$13=2,E233-1&gt;=$V$19,YEAR(E233-1)&gt;=($K$30-1)),E233-1,"")))</f>
        <v/>
      </c>
      <c r="H235" s="660"/>
      <c r="I235" s="654" t="s">
        <v>240</v>
      </c>
      <c r="J235" s="660"/>
      <c r="K235" s="969"/>
      <c r="L235" s="1547"/>
      <c r="M235" s="1548"/>
      <c r="N235" s="677"/>
      <c r="O235" s="655"/>
      <c r="P235" s="656"/>
      <c r="Q235" s="655"/>
      <c r="R235" s="655"/>
      <c r="S235" s="655"/>
      <c r="T235" s="655"/>
      <c r="U235" s="657"/>
      <c r="V235" s="655"/>
      <c r="W235" s="655"/>
      <c r="X235" s="655"/>
      <c r="Y235" s="657"/>
      <c r="Z235" s="1030"/>
      <c r="AA235" s="1030"/>
      <c r="AB235" s="1030"/>
      <c r="AC235" s="1030"/>
      <c r="AD235" s="1030"/>
      <c r="AE235" s="1031"/>
      <c r="AF235" s="1031"/>
      <c r="AG235" s="1030"/>
      <c r="AH235" s="1030"/>
      <c r="AI235" s="1030"/>
      <c r="AJ235" s="1030"/>
      <c r="AK235" s="1030"/>
      <c r="AL235" s="1030"/>
      <c r="AM235" s="1030"/>
      <c r="AN235" s="1030"/>
      <c r="AO235" s="1030"/>
      <c r="AP235" s="1030"/>
      <c r="AQ235" s="1030"/>
      <c r="AR235" s="1030"/>
      <c r="AS235" s="1030"/>
      <c r="AT235" s="1030"/>
      <c r="AU235" s="1030"/>
      <c r="AV235" s="1030"/>
      <c r="AW235" s="1030"/>
      <c r="AX235" s="1030"/>
      <c r="AY235" s="1030"/>
      <c r="AZ235" s="1030"/>
      <c r="BA235" s="1030"/>
      <c r="BB235" s="1030"/>
    </row>
    <row r="236" spans="1:54" ht="3" hidden="1" customHeight="1" x14ac:dyDescent="0.3">
      <c r="A236" s="779"/>
      <c r="B236" s="779"/>
      <c r="C236" s="679"/>
      <c r="D236" s="117"/>
      <c r="E236" s="671"/>
      <c r="F236" s="671"/>
      <c r="G236" s="671"/>
      <c r="H236" s="671"/>
      <c r="I236" s="671"/>
      <c r="J236" s="671"/>
      <c r="K236" s="969"/>
      <c r="L236" s="38"/>
      <c r="M236" s="38"/>
      <c r="N236" s="680"/>
      <c r="O236" s="45"/>
      <c r="P236" s="45"/>
      <c r="Q236" s="45"/>
      <c r="R236" s="45"/>
      <c r="S236" s="45"/>
      <c r="T236" s="45"/>
      <c r="U236" s="45"/>
      <c r="V236" s="45"/>
      <c r="W236" s="45"/>
      <c r="X236" s="45"/>
      <c r="Y236" s="38"/>
      <c r="Z236" s="556"/>
      <c r="AA236" s="556"/>
      <c r="AB236" s="556"/>
      <c r="AC236" s="556"/>
      <c r="AD236" s="556"/>
      <c r="AE236" s="977"/>
      <c r="AF236" s="977"/>
      <c r="AG236" s="556"/>
      <c r="AH236" s="556"/>
      <c r="AI236" s="556"/>
      <c r="AJ236" s="556"/>
      <c r="AK236" s="556"/>
      <c r="AL236" s="556"/>
      <c r="AM236" s="556"/>
      <c r="AN236" s="556"/>
      <c r="AO236" s="556"/>
      <c r="AP236" s="556"/>
      <c r="AQ236" s="556"/>
      <c r="AR236" s="556"/>
      <c r="AS236" s="556"/>
      <c r="AT236" s="556"/>
      <c r="AU236" s="556"/>
      <c r="AV236" s="556"/>
      <c r="AW236" s="556"/>
      <c r="AX236" s="556"/>
      <c r="AY236" s="556"/>
      <c r="AZ236" s="556"/>
      <c r="BA236" s="556"/>
      <c r="BB236" s="556"/>
    </row>
    <row r="237" spans="1:54" s="374" customFormat="1" ht="15.6" hidden="1" x14ac:dyDescent="0.3">
      <c r="A237" s="1032" t="s">
        <v>847</v>
      </c>
      <c r="B237" s="732" t="str">
        <f>IF(E237="","",DAY(E237))</f>
        <v/>
      </c>
      <c r="C237" s="676" t="str">
        <f>CONCATENATE(C235+1,".")</f>
        <v>101.</v>
      </c>
      <c r="D237" s="654"/>
      <c r="E237" s="704" t="str">
        <f>(IF(E235="","",IF(G237="","",
IF($M$19=1,EDATE(E235,-1),
IF(AND($M$19=2,B235=1),EOMONTH(E235,-2)+16,
IF(AND($M$19=2,B235=16),EOMONTH(E235,-1)+1,
IF($M$19=3,E235-14,
IF($M$19=4,E235-7,
""))))))))</f>
        <v/>
      </c>
      <c r="F237" s="654" t="s">
        <v>240</v>
      </c>
      <c r="G237" s="704" t="str">
        <f>IF(E235="","",
IF($L$13=3,E235-1,
IF(AND($L$13=2,E235-1&gt;=$V$19,YEAR(E235-1)&gt;=($K$30-1)),E235-1,"")))</f>
        <v/>
      </c>
      <c r="H237" s="660"/>
      <c r="I237" s="654" t="s">
        <v>240</v>
      </c>
      <c r="J237" s="660"/>
      <c r="K237" s="969"/>
      <c r="L237" s="1547"/>
      <c r="M237" s="1548"/>
      <c r="N237" s="677"/>
      <c r="O237" s="655"/>
      <c r="P237" s="656"/>
      <c r="Q237" s="655"/>
      <c r="R237" s="655"/>
      <c r="S237" s="655"/>
      <c r="T237" s="655"/>
      <c r="U237" s="657"/>
      <c r="V237" s="655"/>
      <c r="W237" s="655"/>
      <c r="X237" s="655"/>
      <c r="Y237" s="657"/>
      <c r="Z237" s="1030"/>
      <c r="AA237" s="1030"/>
      <c r="AB237" s="1030"/>
      <c r="AC237" s="1030"/>
      <c r="AD237" s="1030"/>
      <c r="AE237" s="1031"/>
      <c r="AF237" s="1031"/>
      <c r="AG237" s="1030"/>
      <c r="AH237" s="1030"/>
      <c r="AI237" s="1030"/>
      <c r="AJ237" s="1030"/>
      <c r="AK237" s="1030"/>
      <c r="AL237" s="1030"/>
      <c r="AM237" s="1030"/>
      <c r="AN237" s="1030"/>
      <c r="AO237" s="1030"/>
      <c r="AP237" s="1030"/>
      <c r="AQ237" s="1030"/>
      <c r="AR237" s="1030"/>
      <c r="AS237" s="1030"/>
      <c r="AT237" s="1030"/>
      <c r="AU237" s="1030"/>
      <c r="AV237" s="1030"/>
      <c r="AW237" s="1030"/>
      <c r="AX237" s="1030"/>
      <c r="AY237" s="1030"/>
      <c r="AZ237" s="1030"/>
      <c r="BA237" s="1030"/>
      <c r="BB237" s="1030"/>
    </row>
    <row r="238" spans="1:54" ht="3" hidden="1" customHeight="1" x14ac:dyDescent="0.3">
      <c r="A238" s="779"/>
      <c r="B238" s="779"/>
      <c r="C238" s="679"/>
      <c r="D238" s="144"/>
      <c r="E238" s="671"/>
      <c r="F238" s="671"/>
      <c r="G238" s="671"/>
      <c r="H238" s="671"/>
      <c r="I238" s="671"/>
      <c r="J238" s="671"/>
      <c r="K238" s="969"/>
      <c r="L238" s="38"/>
      <c r="M238" s="38"/>
      <c r="N238" s="680"/>
      <c r="O238" s="45"/>
      <c r="P238" s="45"/>
      <c r="Q238" s="45"/>
      <c r="R238" s="45"/>
      <c r="S238" s="45"/>
      <c r="T238" s="45"/>
      <c r="U238" s="45"/>
      <c r="V238" s="45"/>
      <c r="W238" s="45"/>
      <c r="X238" s="45"/>
      <c r="Y238" s="38"/>
      <c r="Z238" s="556"/>
      <c r="AA238" s="556"/>
      <c r="AB238" s="556"/>
      <c r="AC238" s="556"/>
      <c r="AD238" s="556"/>
      <c r="AE238" s="977"/>
      <c r="AF238" s="977"/>
      <c r="AG238" s="556"/>
      <c r="AH238" s="556"/>
      <c r="AI238" s="556"/>
      <c r="AJ238" s="556"/>
      <c r="AK238" s="556"/>
      <c r="AL238" s="556"/>
      <c r="AM238" s="556"/>
      <c r="AN238" s="556"/>
      <c r="AO238" s="556"/>
      <c r="AP238" s="556"/>
      <c r="AQ238" s="556"/>
      <c r="AR238" s="556"/>
      <c r="AS238" s="556"/>
      <c r="AT238" s="556"/>
      <c r="AU238" s="556"/>
      <c r="AV238" s="556"/>
      <c r="AW238" s="556"/>
      <c r="AX238" s="556"/>
      <c r="AY238" s="556"/>
      <c r="AZ238" s="556"/>
      <c r="BA238" s="556"/>
      <c r="BB238" s="556"/>
    </row>
    <row r="239" spans="1:54" s="374" customFormat="1" ht="15.6" hidden="1" x14ac:dyDescent="0.3">
      <c r="A239" s="1032" t="s">
        <v>847</v>
      </c>
      <c r="B239" s="732" t="str">
        <f>IF(E239="","",DAY(E239))</f>
        <v/>
      </c>
      <c r="C239" s="676" t="str">
        <f>CONCATENATE(C237+1,".")</f>
        <v>102.</v>
      </c>
      <c r="D239" s="654"/>
      <c r="E239" s="704" t="str">
        <f>(IF(E237="","",IF(G239="","",
IF($M$19=1,EDATE(E237,-1),
IF(AND($M$19=2,B237=1),EOMONTH(E237,-2)+16,
IF(AND($M$19=2,B237=16),EOMONTH(E237,-1)+1,
IF($M$19=3,E237-14,
IF($M$19=4,E237-7,
""))))))))</f>
        <v/>
      </c>
      <c r="F239" s="654" t="s">
        <v>240</v>
      </c>
      <c r="G239" s="704" t="str">
        <f>IF(E237="","",
IF($L$13=3,E237-1,
IF(AND($L$13=2,E237-1&gt;=$V$19,YEAR(E237-1)&gt;=($K$30-1)),E237-1,"")))</f>
        <v/>
      </c>
      <c r="H239" s="660"/>
      <c r="I239" s="654" t="s">
        <v>240</v>
      </c>
      <c r="J239" s="660"/>
      <c r="K239" s="969"/>
      <c r="L239" s="1547"/>
      <c r="M239" s="1548"/>
      <c r="N239" s="677"/>
      <c r="O239" s="655"/>
      <c r="P239" s="656"/>
      <c r="Q239" s="655"/>
      <c r="R239" s="655"/>
      <c r="S239" s="655"/>
      <c r="T239" s="655"/>
      <c r="U239" s="657"/>
      <c r="V239" s="655"/>
      <c r="W239" s="655"/>
      <c r="X239" s="655"/>
      <c r="Y239" s="657"/>
      <c r="Z239" s="1030"/>
      <c r="AA239" s="1030"/>
      <c r="AB239" s="1030"/>
      <c r="AC239" s="1030"/>
      <c r="AD239" s="1030"/>
      <c r="AE239" s="1031"/>
      <c r="AF239" s="1031"/>
      <c r="AG239" s="1030"/>
      <c r="AH239" s="1030"/>
      <c r="AI239" s="1030"/>
      <c r="AJ239" s="1030"/>
      <c r="AK239" s="1030"/>
      <c r="AL239" s="1030"/>
      <c r="AM239" s="1030"/>
      <c r="AN239" s="1030"/>
      <c r="AO239" s="1030"/>
      <c r="AP239" s="1030"/>
      <c r="AQ239" s="1030"/>
      <c r="AR239" s="1030"/>
      <c r="AS239" s="1030"/>
      <c r="AT239" s="1030"/>
      <c r="AU239" s="1030"/>
      <c r="AV239" s="1030"/>
      <c r="AW239" s="1030"/>
      <c r="AX239" s="1030"/>
      <c r="AY239" s="1030"/>
      <c r="AZ239" s="1030"/>
      <c r="BA239" s="1030"/>
      <c r="BB239" s="1030"/>
    </row>
    <row r="240" spans="1:54" ht="3" hidden="1" customHeight="1" x14ac:dyDescent="0.3">
      <c r="A240" s="779"/>
      <c r="B240" s="779"/>
      <c r="C240" s="679"/>
      <c r="D240" s="668"/>
      <c r="E240" s="669"/>
      <c r="F240" s="670"/>
      <c r="G240" s="669"/>
      <c r="H240" s="669"/>
      <c r="I240" s="670"/>
      <c r="J240" s="669"/>
      <c r="K240" s="969"/>
      <c r="L240" s="38"/>
      <c r="M240" s="38"/>
      <c r="N240" s="680"/>
      <c r="O240" s="45"/>
      <c r="P240" s="45"/>
      <c r="Q240" s="38"/>
      <c r="R240" s="45"/>
      <c r="S240" s="45"/>
      <c r="T240" s="45"/>
      <c r="U240" s="45"/>
      <c r="V240" s="45"/>
      <c r="W240" s="45"/>
      <c r="X240" s="45"/>
      <c r="Y240" s="38"/>
      <c r="Z240" s="556"/>
      <c r="AA240" s="556"/>
      <c r="AB240" s="556"/>
      <c r="AC240" s="556"/>
      <c r="AD240" s="556"/>
      <c r="AE240" s="977"/>
      <c r="AF240" s="977"/>
      <c r="AG240" s="556"/>
      <c r="AH240" s="556"/>
      <c r="AI240" s="556"/>
      <c r="AJ240" s="556"/>
      <c r="AK240" s="556"/>
      <c r="AL240" s="556"/>
      <c r="AM240" s="556"/>
      <c r="AN240" s="556"/>
      <c r="AO240" s="556"/>
      <c r="AP240" s="556"/>
      <c r="AQ240" s="556"/>
      <c r="AR240" s="556"/>
      <c r="AS240" s="556"/>
      <c r="AT240" s="556"/>
      <c r="AU240" s="556"/>
      <c r="AV240" s="556"/>
      <c r="AW240" s="556"/>
      <c r="AX240" s="556"/>
      <c r="AY240" s="556"/>
      <c r="AZ240" s="556"/>
      <c r="BA240" s="556"/>
      <c r="BB240" s="556"/>
    </row>
    <row r="241" spans="1:54" s="374" customFormat="1" ht="15.6" hidden="1" x14ac:dyDescent="0.3">
      <c r="A241" s="1032" t="s">
        <v>847</v>
      </c>
      <c r="B241" s="732" t="str">
        <f>IF(E241="","",DAY(E241))</f>
        <v/>
      </c>
      <c r="C241" s="676" t="str">
        <f>CONCATENATE(C239+1,".")</f>
        <v>103.</v>
      </c>
      <c r="D241" s="654"/>
      <c r="E241" s="704" t="str">
        <f>(IF(E239="","",IF(G241="","",
IF($M$19=1,EDATE(E239,-1),
IF(AND($M$19=2,B239=1),EOMONTH(E239,-2)+16,
IF(AND($M$19=2,B239=16),EOMONTH(E239,-1)+1,
IF($M$19=3,E239-14,
IF($M$19=4,E239-7,
""))))))))</f>
        <v/>
      </c>
      <c r="F241" s="654" t="s">
        <v>240</v>
      </c>
      <c r="G241" s="704" t="str">
        <f>IF(E239="","",
IF($L$13=3,E239-1,
IF(AND($L$13=2,E239-1&gt;=$V$19,YEAR(E239-1)&gt;=($K$30-1)),E239-1,"")))</f>
        <v/>
      </c>
      <c r="H241" s="660"/>
      <c r="I241" s="654" t="s">
        <v>240</v>
      </c>
      <c r="J241" s="660"/>
      <c r="K241" s="969"/>
      <c r="L241" s="1547"/>
      <c r="M241" s="1548"/>
      <c r="N241" s="677"/>
      <c r="O241" s="655"/>
      <c r="P241" s="656"/>
      <c r="Q241" s="655"/>
      <c r="R241" s="655"/>
      <c r="S241" s="655"/>
      <c r="T241" s="655"/>
      <c r="U241" s="657"/>
      <c r="V241" s="655"/>
      <c r="W241" s="655"/>
      <c r="X241" s="655"/>
      <c r="Y241" s="657"/>
      <c r="Z241" s="1030"/>
      <c r="AA241" s="1030"/>
      <c r="AB241" s="1030"/>
      <c r="AC241" s="1030"/>
      <c r="AD241" s="1030"/>
      <c r="AE241" s="1031"/>
      <c r="AF241" s="1031"/>
      <c r="AG241" s="1030"/>
      <c r="AH241" s="1030"/>
      <c r="AI241" s="1030"/>
      <c r="AJ241" s="1030"/>
      <c r="AK241" s="1030"/>
      <c r="AL241" s="1030"/>
      <c r="AM241" s="1030"/>
      <c r="AN241" s="1030"/>
      <c r="AO241" s="1030"/>
      <c r="AP241" s="1030"/>
      <c r="AQ241" s="1030"/>
      <c r="AR241" s="1030"/>
      <c r="AS241" s="1030"/>
      <c r="AT241" s="1030"/>
      <c r="AU241" s="1030"/>
      <c r="AV241" s="1030"/>
      <c r="AW241" s="1030"/>
      <c r="AX241" s="1030"/>
      <c r="AY241" s="1030"/>
      <c r="AZ241" s="1030"/>
      <c r="BA241" s="1030"/>
      <c r="BB241" s="1030"/>
    </row>
    <row r="242" spans="1:54" ht="3" hidden="1" customHeight="1" x14ac:dyDescent="0.3">
      <c r="A242" s="779"/>
      <c r="B242" s="779"/>
      <c r="C242" s="679"/>
      <c r="D242" s="668"/>
      <c r="E242" s="669"/>
      <c r="F242" s="670"/>
      <c r="G242" s="669"/>
      <c r="H242" s="669"/>
      <c r="I242" s="670"/>
      <c r="J242" s="669"/>
      <c r="K242" s="969"/>
      <c r="L242" s="38"/>
      <c r="M242" s="38"/>
      <c r="N242" s="680"/>
      <c r="O242" s="45"/>
      <c r="P242" s="45"/>
      <c r="Q242" s="38"/>
      <c r="R242" s="45"/>
      <c r="S242" s="45"/>
      <c r="T242" s="45"/>
      <c r="U242" s="45"/>
      <c r="V242" s="45"/>
      <c r="W242" s="45"/>
      <c r="X242" s="45"/>
      <c r="Y242" s="38"/>
      <c r="Z242" s="556"/>
      <c r="AA242" s="556"/>
      <c r="AB242" s="556"/>
      <c r="AC242" s="556"/>
      <c r="AD242" s="556"/>
      <c r="AE242" s="977"/>
      <c r="AF242" s="977"/>
      <c r="AG242" s="556"/>
      <c r="AH242" s="556"/>
      <c r="AI242" s="556"/>
      <c r="AJ242" s="556"/>
      <c r="AK242" s="556"/>
      <c r="AL242" s="556"/>
      <c r="AM242" s="556"/>
      <c r="AN242" s="556"/>
      <c r="AO242" s="556"/>
      <c r="AP242" s="556"/>
      <c r="AQ242" s="556"/>
      <c r="AR242" s="556"/>
      <c r="AS242" s="556"/>
      <c r="AT242" s="556"/>
      <c r="AU242" s="556"/>
      <c r="AV242" s="556"/>
      <c r="AW242" s="556"/>
      <c r="AX242" s="556"/>
      <c r="AY242" s="556"/>
      <c r="AZ242" s="556"/>
      <c r="BA242" s="556"/>
      <c r="BB242" s="556"/>
    </row>
    <row r="243" spans="1:54" s="374" customFormat="1" ht="15.6" hidden="1" x14ac:dyDescent="0.3">
      <c r="A243" s="1032" t="s">
        <v>847</v>
      </c>
      <c r="B243" s="732" t="str">
        <f>IF(E243="","",DAY(E243))</f>
        <v/>
      </c>
      <c r="C243" s="676" t="str">
        <f>CONCATENATE(C241+1,".")</f>
        <v>104.</v>
      </c>
      <c r="D243" s="654"/>
      <c r="E243" s="704" t="str">
        <f>(IF(E241="","",IF(G243="","",
IF($M$19=1,EDATE(E241,-1),
IF(AND($M$19=2,B241=1),EOMONTH(E241,-2)+16,
IF(AND($M$19=2,B241=16),EOMONTH(E241,-1)+1,
IF($M$19=3,E241-14,
IF($M$19=4,E241-7,
""))))))))</f>
        <v/>
      </c>
      <c r="F243" s="654" t="s">
        <v>240</v>
      </c>
      <c r="G243" s="704" t="str">
        <f>IF(E241="","",
IF($L$13=3,E241-1,
IF(AND($L$13=2,E241-1&gt;=$V$19,YEAR(E241-1)&gt;=($K$30-1)),E241-1,"")))</f>
        <v/>
      </c>
      <c r="H243" s="660"/>
      <c r="I243" s="654" t="s">
        <v>240</v>
      </c>
      <c r="J243" s="660"/>
      <c r="K243" s="969"/>
      <c r="L243" s="1547"/>
      <c r="M243" s="1548"/>
      <c r="N243" s="677"/>
      <c r="O243" s="655"/>
      <c r="P243" s="656"/>
      <c r="Q243" s="655"/>
      <c r="R243" s="655"/>
      <c r="S243" s="655"/>
      <c r="T243" s="655"/>
      <c r="U243" s="657"/>
      <c r="V243" s="655"/>
      <c r="W243" s="655"/>
      <c r="X243" s="655"/>
      <c r="Y243" s="657"/>
      <c r="Z243" s="1030"/>
      <c r="AA243" s="1030"/>
      <c r="AB243" s="1030"/>
      <c r="AC243" s="1030"/>
      <c r="AD243" s="1030"/>
      <c r="AE243" s="1031"/>
      <c r="AF243" s="1031"/>
      <c r="AG243" s="1030"/>
      <c r="AH243" s="1030"/>
      <c r="AI243" s="1030"/>
      <c r="AJ243" s="1030"/>
      <c r="AK243" s="1030"/>
      <c r="AL243" s="1030"/>
      <c r="AM243" s="1030"/>
      <c r="AN243" s="1030"/>
      <c r="AO243" s="1030"/>
      <c r="AP243" s="1030"/>
      <c r="AQ243" s="1030"/>
      <c r="AR243" s="1030"/>
      <c r="AS243" s="1030"/>
      <c r="AT243" s="1030"/>
      <c r="AU243" s="1030"/>
      <c r="AV243" s="1030"/>
      <c r="AW243" s="1030"/>
      <c r="AX243" s="1030"/>
      <c r="AY243" s="1030"/>
      <c r="AZ243" s="1030"/>
      <c r="BA243" s="1030"/>
      <c r="BB243" s="1030"/>
    </row>
    <row r="244" spans="1:54" ht="3" hidden="1" customHeight="1" x14ac:dyDescent="0.3">
      <c r="A244" s="779"/>
      <c r="B244" s="779"/>
      <c r="C244" s="679"/>
      <c r="D244" s="144"/>
      <c r="E244" s="671"/>
      <c r="F244" s="671"/>
      <c r="G244" s="671"/>
      <c r="H244" s="671"/>
      <c r="I244" s="671"/>
      <c r="J244" s="671"/>
      <c r="K244" s="38"/>
      <c r="L244" s="38"/>
      <c r="M244" s="38"/>
      <c r="N244" s="680"/>
      <c r="O244" s="45"/>
      <c r="P244" s="45"/>
      <c r="Q244" s="45"/>
      <c r="R244" s="45"/>
      <c r="S244" s="45"/>
      <c r="T244" s="45"/>
      <c r="U244" s="45"/>
      <c r="V244" s="45"/>
      <c r="W244" s="45"/>
      <c r="X244" s="45"/>
      <c r="Y244" s="38"/>
      <c r="Z244" s="556"/>
      <c r="AA244" s="556"/>
      <c r="AB244" s="556"/>
      <c r="AC244" s="556"/>
      <c r="AD244" s="556"/>
      <c r="AE244" s="977"/>
      <c r="AF244" s="977"/>
      <c r="AG244" s="556"/>
      <c r="AH244" s="556"/>
      <c r="AI244" s="556"/>
      <c r="AJ244" s="556"/>
      <c r="AK244" s="556"/>
      <c r="AL244" s="556"/>
      <c r="AM244" s="556"/>
      <c r="AN244" s="556"/>
      <c r="AO244" s="556"/>
      <c r="AP244" s="556"/>
      <c r="AQ244" s="556"/>
      <c r="AR244" s="556"/>
      <c r="AS244" s="556"/>
      <c r="AT244" s="556"/>
      <c r="AU244" s="556"/>
      <c r="AV244" s="556"/>
      <c r="AW244" s="556"/>
      <c r="AX244" s="556"/>
      <c r="AY244" s="556"/>
      <c r="AZ244" s="556"/>
      <c r="BA244" s="556"/>
      <c r="BB244" s="556"/>
    </row>
    <row r="245" spans="1:54" s="421" customFormat="1" ht="9" customHeight="1" x14ac:dyDescent="0.3">
      <c r="A245" s="518"/>
      <c r="B245" s="518"/>
      <c r="C245" s="699"/>
      <c r="D245" s="700"/>
      <c r="E245" s="700"/>
      <c r="F245" s="700"/>
      <c r="G245" s="700"/>
      <c r="H245" s="1674"/>
      <c r="I245" s="1674"/>
      <c r="J245" s="1674"/>
      <c r="K245" s="1674"/>
      <c r="L245" s="701"/>
      <c r="M245" s="701"/>
      <c r="N245" s="702"/>
      <c r="O245" s="650"/>
      <c r="P245" s="649"/>
      <c r="Q245" s="650"/>
      <c r="R245" s="650"/>
      <c r="S245" s="650"/>
      <c r="T245" s="650"/>
      <c r="U245" s="649"/>
      <c r="V245" s="650"/>
      <c r="W245" s="650"/>
      <c r="X245" s="650"/>
      <c r="Y245" s="649"/>
      <c r="Z245" s="1028"/>
      <c r="AA245" s="1028"/>
      <c r="AB245" s="1028"/>
      <c r="AC245" s="1028"/>
      <c r="AD245" s="1028"/>
      <c r="AE245" s="1029"/>
      <c r="AF245" s="1029"/>
      <c r="AG245" s="1028"/>
      <c r="AH245" s="1028"/>
      <c r="AI245" s="1028"/>
      <c r="AJ245" s="1028"/>
      <c r="AK245" s="1028"/>
      <c r="AL245" s="1028"/>
      <c r="AM245" s="1028"/>
      <c r="AN245" s="1028"/>
      <c r="AO245" s="1028"/>
      <c r="AP245" s="1028"/>
      <c r="AQ245" s="1028"/>
      <c r="AR245" s="1028"/>
      <c r="AS245" s="1028"/>
      <c r="AT245" s="1028"/>
      <c r="AU245" s="1028"/>
      <c r="AV245" s="1028"/>
      <c r="AW245" s="1028"/>
      <c r="AX245" s="1028"/>
      <c r="AY245" s="1028"/>
      <c r="AZ245" s="1028"/>
      <c r="BA245" s="1028"/>
      <c r="BB245" s="1028"/>
    </row>
    <row r="246" spans="1:54" ht="15.6" customHeight="1" x14ac:dyDescent="0.3">
      <c r="A246" s="117"/>
      <c r="B246" s="779"/>
      <c r="C246" s="947" t="s">
        <v>1043</v>
      </c>
      <c r="D246" s="947"/>
      <c r="E246" s="947"/>
      <c r="F246" s="768"/>
      <c r="G246" s="769" t="str">
        <f>IF(AND(L13=2,AD401="TRUE"),AD400,
IF(AND(L13=2,AD401="False"),AD400,
IF(AND(L13=3,Y286=TRUE,M19=1),L30+L32+L34+L36+L38+L40+L42+L44+L46+L48+L50+L52,
IF(AND(L13=3,Y286=TRUE,M19=2),L30+L32+L34+L36+L38+L40+L42+L44+L46+L48+L50+L52+L54+L56+L58+L60+L62+L64+L66+L68+L70+L72+L74+L76,
IF(AND(L13=3,Y286=TRUE,M19=3),L30+L32+L34+L36+L38+L40+L42+L44+L46+L48+L50+L52+L54+L56+L58+L60+L62+L64+L66+L68+L70+L72+L74+L76+L78+L80,
IF(AND(L13=3,Y286=TRUE,M19=4),L30+L32+L34+L36+L38+L40+L42+L44+L46+L48+L50+L52+L54+L56+L58+L60+L62+L64+L66+L68+L70+L72+L74+L76+L78+L80+L82+L84+L86+L88+L90+L92+L94+L100+L102+L104+L106+L108+L110+L112+L114+L116+L118+L120+L122+L124+L126+L128+L130+L132+L134+L136,
""))))))</f>
        <v/>
      </c>
      <c r="I246" s="768"/>
      <c r="J246" s="1027" t="str">
        <f>IF(AND(L13=2,AS401="TRUE"),AS400,
IF(AND(L13=2,AS401="False"),AS400,
IF(AND(L13=3,Y286=TRUE,M19=1),L30+L32+L34+L36+L38+L40+L42+L44+L46+L48+L50+L52,
IF(AND(L13=3,Y286=TRUE,M19=2),L30+L32+L34+L36+L38+L40+L42+L44+L46+L48+L50+L52+L54+L56+L58+L60+L62+L64+L66+L68+L70+L72+L74+L76,
IF(AND(L13=3,Y286=TRUE,M19=3),L30+L32+L34+L36+L38+L40+L42+L44+L46+L48+L50+L52+L54+L56+L58+L60+L62+L64+L66+L68+L70+L72+L74+L76+L78+L80,
IF(AND(L13=3,Y286=TRUE,M19=4),L30+L32+L34+L36+L38+L40+L42+L44+L46+L48+L50+L52+L54+L56+L58+L60+L62+L64+L66+L68+L70+L72+L74+L76+L78+L80+L82+L84+L86+L88+L90+L92+L94+L100+L102+L104+L106+L108+L110+L112+L114+L116+L118+L120+L122+L124+L126+L128+L130+L132+L134+L136,
""))))))</f>
        <v/>
      </c>
      <c r="K246" s="651"/>
      <c r="L246" s="1671" t="str">
        <f>IF(AND(X285=FALSE,L13=2,AD401="TRUE"),AD400,
IF(AND(X285=TRUE,L13=2,AS401="TRUE"),AS400,
IF(AND(L13=3,N19=1,L30&lt;&gt;"",L32&lt;&gt;"",L34&lt;&gt;"",L36&lt;&gt;"",L38&lt;&gt;"",L40&lt;&gt;"",L42&lt;&gt;"",L44&lt;&gt;"",L46&lt;&gt;"",L48&lt;&gt;"",L50&lt;&gt;"",L52&lt;&gt;""),L30+L32+L34+L36+L38+L40+L42+L44+L46+L48+L50+L52,
IF(AND(L13=3,N19=2,L30&lt;&gt;"",L32&lt;&gt;"",L34&lt;&gt;"",L36&lt;&gt;"",L38&lt;&gt;"",L40&lt;&gt;"",L42&lt;&gt;"",L44&lt;&gt;"",L46&lt;&gt;"",L48&lt;&gt;"",L50&lt;&gt;"",L52&lt;&gt;"",L54&lt;&gt;"",L56&lt;&gt;"",L58&lt;&gt;"",L60&lt;&gt;"",L62&lt;&gt;"",L64&lt;&gt;"",L66&lt;&gt;"",L68&lt;&gt;"",L70&lt;&gt;"",L72&lt;&gt;"",L74&lt;&gt;"",L76&lt;&gt;""),L30+L32+L34+L36+L38+L40+L42+L44+L46+L48+L50+L52+L54+L56+L58+L60+L62+L64+L66+L68+L70+L72+L74+L76,
IF(AND(L13=3,N19=3,L30&lt;&gt;"",L32&lt;&gt;"",L34&lt;&gt;"",L36&lt;&gt;"",L38&lt;&gt;"",L40&lt;&gt;"",L42&lt;&gt;"",L44&lt;&gt;"",L46&lt;&gt;"",L48&lt;&gt;"",L50&lt;&gt;"",L52&lt;&gt;"",L54&lt;&gt;"",L56&lt;&gt;"",L58&lt;&gt;"",L60&lt;&gt;"",L62&lt;&gt;"",L64&lt;&gt;"",L66&lt;&gt;"",L68&lt;&gt;"",L70&lt;&gt;"",L72&lt;&gt;"",L74&lt;&gt;"",L76&lt;&gt;"",L78&lt;&gt;"",L80&lt;&gt;""),L30+L32+L34+L36+L38+L40+L42+L44+L46+L48+L50+L52+L54+L56+L58+L60+L62+L64+L66+L68+L70+L72+L74+L76+L78+L80,
IF(AND(L13=3,N19=4,L30&lt;&gt;"",L32&lt;&gt;"",L34&lt;&gt;"",L36&lt;&gt;"",L38&lt;&gt;"",L40&lt;&gt;"",L42&lt;&gt;"",L44&lt;&gt;"",L46&lt;&gt;"",L48&lt;&gt;"",L50&lt;&gt;"",L52&lt;&gt;"",L54&lt;&gt;"",L56&lt;&gt;"",L58&lt;&gt;"",L60&lt;&gt;"",L62&lt;&gt;"",L64&lt;&gt;"",L66&lt;&gt;"",L68&lt;&gt;"",L70&lt;&gt;"",L72&lt;&gt;"",L74&lt;&gt;"",L76&lt;&gt;"",L78&lt;&gt;"",L80&lt;&gt;"",L82&lt;&gt;"",L84&lt;&gt;"",L86&lt;&gt;"",L88&lt;&gt;"",L90&lt;&gt;"",L92&lt;&gt;"",L94&lt;&gt;"",L100&lt;&gt;"",L102&lt;&gt;"",L104&lt;&gt;"",L106&lt;&gt;"",L108&lt;&gt;"",L110&lt;&gt;"",L112&lt;&gt;"",L114&lt;&gt;"",L116&lt;&gt;"",L118&lt;&gt;"",L120&lt;&gt;"",L122&lt;&gt;"",L124&lt;&gt;"",L126&lt;&gt;"",L128&lt;&gt;"",L130&lt;&gt;"",L132&lt;&gt;"",L134&lt;&gt;"",L136&lt;&gt;""),L30+L32+L34+L36+L38+L40+L42+L44+L46+L48+L50+L52+L54+L56+L58+L60+L62+L64+L66+L68+L70+L72+L74+L76+L78+L80+L82+L84+L86+L88+L90+L92+L94+L100+L102+L104+L106+L108+L110+L112+L114+L116+L118+L120+L122+L124+L126+L128+L130+L132+L134+L136,
""))))))</f>
        <v/>
      </c>
      <c r="M246" s="1671"/>
      <c r="N246" s="651"/>
      <c r="O246" s="651"/>
      <c r="P246" s="117"/>
      <c r="Q246" s="651"/>
      <c r="R246" s="651"/>
      <c r="S246" s="651"/>
      <c r="U246" s="651"/>
      <c r="W246" s="651"/>
      <c r="X246" s="651"/>
      <c r="Y246" s="651"/>
      <c r="Z246" s="556"/>
      <c r="AA246" s="556"/>
      <c r="AB246" s="556"/>
      <c r="AC246" s="556"/>
      <c r="AD246" s="556"/>
      <c r="AE246" s="977"/>
      <c r="AF246" s="977"/>
      <c r="AG246" s="556"/>
      <c r="AH246" s="556"/>
      <c r="AI246" s="556"/>
      <c r="AJ246" s="556"/>
      <c r="AK246" s="556"/>
      <c r="AL246" s="556"/>
      <c r="AM246" s="556"/>
      <c r="AN246" s="556"/>
      <c r="AO246" s="556"/>
      <c r="AP246" s="556"/>
      <c r="AQ246" s="556"/>
      <c r="AR246" s="556"/>
      <c r="AS246" s="556"/>
      <c r="AT246" s="556"/>
      <c r="AU246" s="556"/>
      <c r="AV246" s="556"/>
      <c r="AW246" s="556"/>
      <c r="AX246" s="556"/>
      <c r="AY246" s="556"/>
      <c r="AZ246" s="556"/>
      <c r="BA246" s="556"/>
      <c r="BB246" s="556"/>
    </row>
    <row r="247" spans="1:54" ht="12" customHeight="1" x14ac:dyDescent="0.3">
      <c r="A247" s="117"/>
      <c r="B247" s="1462" t="str">
        <f>IF(AND(D19="",OR(E30&lt;&gt;"",L30&lt;&gt;"",AND(V15&lt;&gt;"",V15&gt;0))),"Pay Frequency Needed",
IF(AND(L13=3,L246=""),"Hours for all pay periods required, Enter '0' if none.",
IF(AND(L13=3,L246=""),"Hours for all pay periods required.","")))</f>
        <v/>
      </c>
      <c r="C247" s="1462"/>
      <c r="D247" s="1462"/>
      <c r="E247" s="1462"/>
      <c r="F247" s="1462"/>
      <c r="G247" s="1462"/>
      <c r="H247" s="1462"/>
      <c r="I247" s="1462"/>
      <c r="J247" s="1462"/>
      <c r="K247" s="1462"/>
      <c r="L247" s="1462"/>
      <c r="M247" s="1462"/>
      <c r="N247" s="1462"/>
      <c r="O247" s="1462"/>
      <c r="P247" s="45"/>
      <c r="Q247" s="45"/>
      <c r="R247" s="45"/>
      <c r="S247" s="45"/>
      <c r="T247" s="45"/>
      <c r="U247" s="45"/>
      <c r="V247" s="45"/>
      <c r="W247" s="45"/>
      <c r="X247" s="45"/>
      <c r="Y247" s="38"/>
      <c r="Z247" s="556"/>
      <c r="AA247" s="556"/>
      <c r="AB247" s="556"/>
      <c r="AC247" s="556"/>
      <c r="AD247" s="556"/>
      <c r="AE247" s="977"/>
      <c r="AF247" s="977"/>
      <c r="AG247" s="556"/>
      <c r="AH247" s="556"/>
      <c r="AI247" s="556"/>
      <c r="AJ247" s="556"/>
      <c r="AK247" s="556"/>
      <c r="AL247" s="556"/>
      <c r="AM247" s="556"/>
      <c r="AN247" s="556"/>
      <c r="AO247" s="556"/>
      <c r="AP247" s="556"/>
      <c r="AQ247" s="556"/>
      <c r="AR247" s="556"/>
      <c r="AS247" s="556"/>
      <c r="AT247" s="556"/>
      <c r="AU247" s="556"/>
      <c r="AV247" s="556"/>
      <c r="AW247" s="556"/>
      <c r="AX247" s="556"/>
      <c r="AY247" s="556"/>
      <c r="AZ247" s="556"/>
      <c r="BA247" s="556"/>
      <c r="BB247" s="556"/>
    </row>
    <row r="248" spans="1:54" ht="15.6" customHeight="1" x14ac:dyDescent="0.3">
      <c r="A248" s="117"/>
      <c r="B248" s="117"/>
      <c r="C248" s="45"/>
      <c r="D248" s="648"/>
      <c r="E248" s="648"/>
      <c r="F248" s="648"/>
      <c r="G248" s="648"/>
      <c r="H248" s="648"/>
      <c r="I248" s="648"/>
      <c r="J248" s="648"/>
      <c r="K248" s="648"/>
      <c r="L248" s="648"/>
      <c r="M248" s="648"/>
      <c r="N248" s="45"/>
      <c r="O248" s="45"/>
      <c r="P248" s="45"/>
      <c r="Q248" s="45"/>
      <c r="R248" s="45"/>
      <c r="S248" s="45"/>
      <c r="T248" s="45"/>
      <c r="U248" s="45"/>
      <c r="V248" s="45"/>
      <c r="W248" s="45"/>
      <c r="X248" s="45"/>
      <c r="Y248" s="38"/>
      <c r="Z248" s="556"/>
      <c r="AA248" s="556"/>
      <c r="AB248" s="556"/>
      <c r="AC248" s="556"/>
      <c r="AD248" s="556"/>
      <c r="AE248" s="977"/>
      <c r="AF248" s="977"/>
      <c r="AG248" s="556"/>
      <c r="AH248" s="556"/>
      <c r="AI248" s="556"/>
      <c r="AJ248" s="556"/>
      <c r="AK248" s="556"/>
      <c r="AL248" s="556"/>
      <c r="AM248" s="556"/>
      <c r="AN248" s="556"/>
      <c r="AO248" s="556"/>
      <c r="AP248" s="556"/>
      <c r="AQ248" s="556"/>
      <c r="AR248" s="556"/>
      <c r="AS248" s="556"/>
      <c r="AT248" s="556"/>
      <c r="AU248" s="556"/>
      <c r="AV248" s="556"/>
      <c r="AW248" s="556"/>
      <c r="AX248" s="556"/>
      <c r="AY248" s="556"/>
      <c r="AZ248" s="556"/>
      <c r="BA248" s="556"/>
      <c r="BB248" s="556"/>
    </row>
    <row r="249" spans="1:54" ht="15.6" customHeight="1" x14ac:dyDescent="0.3">
      <c r="A249" s="117"/>
      <c r="B249" s="117"/>
      <c r="C249" s="45"/>
      <c r="D249" s="648"/>
      <c r="E249" s="648"/>
      <c r="F249" s="648"/>
      <c r="G249" s="648"/>
      <c r="H249" s="648"/>
      <c r="I249" s="648"/>
      <c r="J249" s="648"/>
      <c r="K249" s="648"/>
      <c r="L249" s="648"/>
      <c r="M249" s="648"/>
      <c r="N249" s="45"/>
      <c r="O249" s="45"/>
      <c r="P249" s="45"/>
      <c r="Q249" s="45"/>
      <c r="R249" s="45"/>
      <c r="S249" s="45"/>
      <c r="T249" s="45"/>
      <c r="U249" s="45"/>
      <c r="V249" s="45"/>
      <c r="W249" s="45"/>
      <c r="X249" s="45"/>
      <c r="Y249" s="38"/>
      <c r="Z249" s="556"/>
      <c r="AA249" s="556"/>
      <c r="AB249" s="556"/>
      <c r="AC249" s="556"/>
      <c r="AD249" s="556"/>
      <c r="AE249" s="977"/>
      <c r="AF249" s="977"/>
      <c r="AG249" s="556"/>
      <c r="AH249" s="556"/>
      <c r="AI249" s="556"/>
      <c r="AJ249" s="556"/>
      <c r="AK249" s="556"/>
      <c r="AL249" s="556"/>
      <c r="AM249" s="556"/>
      <c r="AN249" s="556"/>
      <c r="AO249" s="556"/>
      <c r="AP249" s="556"/>
      <c r="AQ249" s="556"/>
      <c r="AR249" s="556"/>
      <c r="AS249" s="556"/>
      <c r="AT249" s="556"/>
      <c r="AU249" s="556"/>
      <c r="AV249" s="556"/>
      <c r="AW249" s="556"/>
      <c r="AX249" s="556"/>
      <c r="AY249" s="556"/>
      <c r="AZ249" s="556"/>
      <c r="BA249" s="556"/>
      <c r="BB249" s="556"/>
    </row>
    <row r="250" spans="1:54" ht="15.6" customHeight="1" x14ac:dyDescent="0.3">
      <c r="A250" s="117"/>
      <c r="B250" s="117"/>
      <c r="C250" s="45"/>
      <c r="D250" s="648"/>
      <c r="E250" s="648"/>
      <c r="F250" s="648"/>
      <c r="G250" s="648"/>
      <c r="H250" s="648"/>
      <c r="I250" s="648"/>
      <c r="J250" s="648"/>
      <c r="K250" s="648"/>
      <c r="L250" s="648"/>
      <c r="M250" s="648"/>
      <c r="N250" s="45"/>
      <c r="O250" s="45"/>
      <c r="P250" s="45"/>
      <c r="Q250" s="45"/>
      <c r="R250" s="45"/>
      <c r="S250" s="45"/>
      <c r="T250" s="45"/>
      <c r="U250" s="45"/>
      <c r="V250" s="45"/>
      <c r="W250" s="45"/>
      <c r="X250" s="45"/>
      <c r="Y250" s="38"/>
      <c r="Z250" s="556"/>
      <c r="AA250" s="556"/>
      <c r="AB250" s="556"/>
      <c r="AC250" s="556"/>
      <c r="AD250" s="556"/>
      <c r="AE250" s="977"/>
      <c r="AF250" s="977"/>
      <c r="AG250" s="556"/>
      <c r="AH250" s="556"/>
      <c r="AI250" s="556"/>
      <c r="AJ250" s="556"/>
      <c r="AK250" s="556"/>
      <c r="AL250" s="556"/>
      <c r="AM250" s="556"/>
      <c r="AN250" s="556"/>
      <c r="AO250" s="556"/>
      <c r="AP250" s="556"/>
      <c r="AQ250" s="556"/>
      <c r="AR250" s="556"/>
      <c r="AS250" s="556"/>
      <c r="AT250" s="556"/>
      <c r="AU250" s="556"/>
      <c r="AV250" s="556"/>
      <c r="AW250" s="556"/>
      <c r="AX250" s="556"/>
      <c r="AY250" s="556"/>
      <c r="AZ250" s="556"/>
      <c r="BA250" s="556"/>
      <c r="BB250" s="556"/>
    </row>
    <row r="251" spans="1:54" ht="15.6" customHeight="1" x14ac:dyDescent="0.3">
      <c r="A251" s="117"/>
      <c r="B251" s="117"/>
      <c r="C251" s="45"/>
      <c r="D251" s="648"/>
      <c r="E251" s="648"/>
      <c r="F251" s="648"/>
      <c r="G251" s="648"/>
      <c r="H251" s="648"/>
      <c r="I251" s="648"/>
      <c r="J251" s="648"/>
      <c r="K251" s="648"/>
      <c r="L251" s="648"/>
      <c r="M251" s="648"/>
      <c r="N251" s="45"/>
      <c r="O251" s="45"/>
      <c r="P251" s="45"/>
      <c r="Q251" s="45"/>
      <c r="R251" s="45"/>
      <c r="S251" s="45"/>
      <c r="T251" s="45"/>
      <c r="U251" s="45"/>
      <c r="V251" s="45"/>
      <c r="W251" s="45"/>
      <c r="X251" s="45"/>
      <c r="Y251" s="38"/>
      <c r="Z251" s="556"/>
      <c r="AA251" s="556"/>
      <c r="AB251" s="556"/>
      <c r="AC251" s="556"/>
      <c r="AD251" s="556"/>
      <c r="AE251" s="977"/>
      <c r="AF251" s="977"/>
      <c r="AG251" s="556"/>
      <c r="AH251" s="556"/>
      <c r="AI251" s="556"/>
      <c r="AJ251" s="556"/>
      <c r="AK251" s="556"/>
      <c r="AL251" s="556"/>
      <c r="AM251" s="556"/>
      <c r="AN251" s="556"/>
      <c r="AO251" s="556"/>
      <c r="AP251" s="556"/>
      <c r="AQ251" s="556"/>
      <c r="AR251" s="556"/>
      <c r="AS251" s="556"/>
      <c r="AT251" s="556"/>
      <c r="AU251" s="556"/>
      <c r="AV251" s="556"/>
      <c r="AW251" s="556"/>
      <c r="AX251" s="556"/>
      <c r="AY251" s="556"/>
      <c r="AZ251" s="556"/>
      <c r="BA251" s="556"/>
      <c r="BB251" s="556"/>
    </row>
    <row r="252" spans="1:54" ht="15.6" customHeight="1" x14ac:dyDescent="0.3">
      <c r="A252" s="117"/>
      <c r="B252" s="117"/>
      <c r="C252" s="45"/>
      <c r="D252" s="648"/>
      <c r="E252" s="648"/>
      <c r="F252" s="648"/>
      <c r="G252" s="648"/>
      <c r="H252" s="648"/>
      <c r="I252" s="648"/>
      <c r="J252" s="648"/>
      <c r="K252" s="648"/>
      <c r="L252" s="648"/>
      <c r="M252" s="648"/>
      <c r="N252" s="45"/>
      <c r="O252" s="45"/>
      <c r="P252" s="45"/>
      <c r="Q252" s="45"/>
      <c r="R252" s="45"/>
      <c r="S252" s="45"/>
      <c r="T252" s="45"/>
      <c r="U252" s="45"/>
      <c r="V252" s="45"/>
      <c r="W252" s="45"/>
      <c r="X252" s="45"/>
      <c r="Y252" s="38"/>
      <c r="Z252" s="556"/>
      <c r="AA252" s="556"/>
      <c r="AB252" s="556"/>
      <c r="AC252" s="556"/>
      <c r="AD252" s="556"/>
      <c r="AE252" s="977"/>
      <c r="AF252" s="977"/>
      <c r="AG252" s="556"/>
      <c r="AH252" s="556"/>
      <c r="AI252" s="556"/>
      <c r="AJ252" s="556"/>
      <c r="AK252" s="556"/>
      <c r="AL252" s="556"/>
      <c r="AM252" s="556"/>
      <c r="AN252" s="556"/>
      <c r="AO252" s="556"/>
      <c r="AP252" s="556"/>
      <c r="AQ252" s="556"/>
      <c r="AR252" s="556"/>
      <c r="AS252" s="556"/>
      <c r="AT252" s="556"/>
      <c r="AU252" s="556"/>
      <c r="AV252" s="556"/>
      <c r="AW252" s="556"/>
      <c r="AX252" s="556"/>
      <c r="AY252" s="556"/>
      <c r="AZ252" s="556"/>
      <c r="BA252" s="556"/>
      <c r="BB252" s="556"/>
    </row>
    <row r="253" spans="1:54" ht="15.6" customHeight="1" x14ac:dyDescent="0.3">
      <c r="A253" s="117"/>
      <c r="B253" s="117"/>
      <c r="C253" s="45"/>
      <c r="D253" s="648"/>
      <c r="E253" s="648"/>
      <c r="F253" s="648"/>
      <c r="G253" s="648"/>
      <c r="H253" s="648"/>
      <c r="I253" s="648"/>
      <c r="J253" s="648"/>
      <c r="K253" s="648"/>
      <c r="L253" s="648"/>
      <c r="M253" s="648"/>
      <c r="N253" s="45"/>
      <c r="O253" s="45"/>
      <c r="P253" s="45"/>
      <c r="Q253" s="45"/>
      <c r="R253" s="45"/>
      <c r="S253" s="45"/>
      <c r="T253" s="45"/>
      <c r="U253" s="45"/>
      <c r="V253" s="45"/>
      <c r="W253" s="45"/>
      <c r="X253" s="45"/>
      <c r="Y253" s="38"/>
      <c r="Z253" s="556"/>
      <c r="AA253" s="556"/>
      <c r="AB253" s="556"/>
      <c r="AC253" s="556"/>
      <c r="AD253" s="556"/>
      <c r="AE253" s="977"/>
      <c r="AF253" s="977"/>
      <c r="AG253" s="556"/>
      <c r="AH253" s="556"/>
      <c r="AI253" s="556"/>
      <c r="AJ253" s="556"/>
      <c r="AK253" s="556"/>
      <c r="AL253" s="556"/>
      <c r="AM253" s="556"/>
      <c r="AN253" s="556"/>
      <c r="AO253" s="556"/>
      <c r="AP253" s="556"/>
      <c r="AQ253" s="556"/>
      <c r="AR253" s="556"/>
      <c r="AS253" s="556"/>
      <c r="AT253" s="556"/>
      <c r="AU253" s="556"/>
      <c r="AV253" s="556"/>
      <c r="AW253" s="556"/>
      <c r="AX253" s="556"/>
      <c r="AY253" s="556"/>
      <c r="AZ253" s="556"/>
      <c r="BA253" s="556"/>
      <c r="BB253" s="556"/>
    </row>
    <row r="254" spans="1:54" ht="15.6" customHeight="1" x14ac:dyDescent="0.3">
      <c r="A254" s="117"/>
      <c r="B254" s="117"/>
      <c r="C254" s="45"/>
      <c r="D254" s="648"/>
      <c r="E254" s="648"/>
      <c r="F254" s="648"/>
      <c r="G254" s="648"/>
      <c r="H254" s="648"/>
      <c r="I254" s="648"/>
      <c r="J254" s="648"/>
      <c r="K254" s="648"/>
      <c r="L254" s="648"/>
      <c r="M254" s="648"/>
      <c r="N254" s="45"/>
      <c r="O254" s="45"/>
      <c r="P254" s="45"/>
      <c r="Q254" s="45"/>
      <c r="R254" s="45"/>
      <c r="S254" s="45"/>
      <c r="T254" s="45"/>
      <c r="U254" s="45"/>
      <c r="V254" s="45"/>
      <c r="W254" s="45"/>
      <c r="X254" s="45"/>
      <c r="Y254" s="38"/>
      <c r="Z254" s="556"/>
      <c r="AA254" s="556"/>
      <c r="AB254" s="556"/>
      <c r="AC254" s="556"/>
      <c r="AD254" s="556"/>
      <c r="AE254" s="977"/>
      <c r="AF254" s="977"/>
      <c r="AG254" s="556"/>
      <c r="AH254" s="556"/>
      <c r="AI254" s="556"/>
      <c r="AJ254" s="556"/>
      <c r="AK254" s="556"/>
      <c r="AL254" s="556"/>
      <c r="AM254" s="556"/>
      <c r="AN254" s="556"/>
      <c r="AO254" s="556"/>
      <c r="AP254" s="556"/>
      <c r="AQ254" s="556"/>
      <c r="AR254" s="556"/>
      <c r="AS254" s="556"/>
      <c r="AT254" s="556"/>
      <c r="AU254" s="556"/>
      <c r="AV254" s="556"/>
      <c r="AW254" s="556"/>
      <c r="AX254" s="556"/>
      <c r="AY254" s="556"/>
      <c r="AZ254" s="556"/>
      <c r="BA254" s="556"/>
      <c r="BB254" s="556"/>
    </row>
    <row r="255" spans="1:54" ht="15.6" customHeight="1" x14ac:dyDescent="0.3">
      <c r="A255" s="117"/>
      <c r="B255" s="117"/>
      <c r="C255" s="45"/>
      <c r="D255" s="648"/>
      <c r="E255" s="648"/>
      <c r="F255" s="648"/>
      <c r="G255" s="648"/>
      <c r="H255" s="648"/>
      <c r="I255" s="648"/>
      <c r="J255" s="648"/>
      <c r="K255" s="648"/>
      <c r="L255" s="648"/>
      <c r="M255" s="648"/>
      <c r="N255" s="45"/>
      <c r="O255" s="45"/>
      <c r="P255" s="45"/>
      <c r="Q255" s="45"/>
      <c r="R255" s="45"/>
      <c r="S255" s="45"/>
      <c r="T255" s="45"/>
      <c r="U255" s="45"/>
      <c r="V255" s="45"/>
      <c r="W255" s="45"/>
      <c r="X255" s="45"/>
      <c r="Y255" s="38"/>
      <c r="Z255" s="556"/>
      <c r="AA255" s="556"/>
      <c r="AB255" s="556"/>
      <c r="AC255" s="556"/>
      <c r="AD255" s="556"/>
      <c r="AE255" s="977"/>
      <c r="AF255" s="977"/>
      <c r="AG255" s="556"/>
      <c r="AH255" s="556"/>
      <c r="AI255" s="556"/>
      <c r="AJ255" s="556"/>
      <c r="AK255" s="556"/>
      <c r="AL255" s="556"/>
      <c r="AM255" s="556"/>
      <c r="AN255" s="556"/>
      <c r="AO255" s="556"/>
      <c r="AP255" s="556"/>
      <c r="AQ255" s="556"/>
      <c r="AR255" s="556"/>
      <c r="AS255" s="556"/>
      <c r="AT255" s="556"/>
      <c r="AU255" s="556"/>
      <c r="AV255" s="556"/>
      <c r="AW255" s="556"/>
      <c r="AX255" s="556"/>
      <c r="AY255" s="556"/>
      <c r="AZ255" s="556"/>
      <c r="BA255" s="556"/>
      <c r="BB255" s="556"/>
    </row>
    <row r="256" spans="1:54" ht="15.6" customHeight="1" x14ac:dyDescent="0.3">
      <c r="A256" s="117"/>
      <c r="B256" s="117"/>
      <c r="C256" s="45"/>
      <c r="D256" s="648"/>
      <c r="E256" s="648"/>
      <c r="F256" s="648"/>
      <c r="G256" s="648"/>
      <c r="H256" s="648"/>
      <c r="I256" s="648"/>
      <c r="J256" s="648"/>
      <c r="K256" s="648"/>
      <c r="L256" s="648"/>
      <c r="M256" s="648"/>
      <c r="N256" s="45"/>
      <c r="O256" s="45"/>
      <c r="P256" s="45"/>
      <c r="Q256" s="45"/>
      <c r="R256" s="45"/>
      <c r="S256" s="45"/>
      <c r="T256" s="45"/>
      <c r="U256" s="45"/>
      <c r="V256" s="45"/>
      <c r="W256" s="45"/>
      <c r="X256" s="45"/>
      <c r="Y256" s="38"/>
      <c r="Z256" s="556"/>
      <c r="AA256" s="556"/>
      <c r="AB256" s="556"/>
      <c r="AC256" s="556"/>
      <c r="AD256" s="556"/>
      <c r="AE256" s="977"/>
      <c r="AF256" s="977"/>
      <c r="AG256" s="556"/>
      <c r="AH256" s="556"/>
      <c r="AI256" s="556"/>
      <c r="AJ256" s="556"/>
      <c r="AK256" s="556"/>
      <c r="AL256" s="556"/>
      <c r="AM256" s="556"/>
      <c r="AN256" s="556"/>
      <c r="AO256" s="556"/>
      <c r="AP256" s="556"/>
      <c r="AQ256" s="556"/>
      <c r="AR256" s="556"/>
      <c r="AS256" s="556"/>
      <c r="AT256" s="556"/>
      <c r="AU256" s="556"/>
      <c r="AV256" s="556"/>
      <c r="AW256" s="556"/>
      <c r="AX256" s="556"/>
      <c r="AY256" s="556"/>
      <c r="AZ256" s="556"/>
      <c r="BA256" s="556"/>
      <c r="BB256" s="556"/>
    </row>
    <row r="257" spans="1:54" ht="13.2" customHeight="1" x14ac:dyDescent="0.3">
      <c r="A257" s="117"/>
      <c r="B257" s="117"/>
      <c r="C257" s="45"/>
      <c r="D257" s="648"/>
      <c r="E257" s="648"/>
      <c r="F257" s="648"/>
      <c r="G257" s="648"/>
      <c r="H257" s="648"/>
      <c r="I257" s="648"/>
      <c r="J257" s="648"/>
      <c r="K257" s="648"/>
      <c r="L257" s="648"/>
      <c r="M257" s="648"/>
      <c r="N257" s="45"/>
      <c r="O257" s="45"/>
      <c r="P257" s="45"/>
      <c r="Q257" s="45"/>
      <c r="R257" s="45"/>
      <c r="S257" s="45"/>
      <c r="T257" s="45"/>
      <c r="U257" s="45"/>
      <c r="V257" s="45"/>
      <c r="W257" s="45"/>
      <c r="X257" s="45"/>
      <c r="Y257" s="38"/>
      <c r="Z257" s="556"/>
      <c r="AA257" s="556"/>
      <c r="AB257" s="556"/>
      <c r="AC257" s="556"/>
      <c r="AD257" s="556"/>
      <c r="AE257" s="977"/>
      <c r="AF257" s="977"/>
      <c r="AG257" s="556"/>
      <c r="AH257" s="556"/>
      <c r="AI257" s="556"/>
      <c r="AJ257" s="556"/>
      <c r="AK257" s="556"/>
      <c r="AL257" s="556"/>
      <c r="AM257" s="556"/>
      <c r="AN257" s="556"/>
      <c r="AO257" s="556"/>
      <c r="AP257" s="556"/>
      <c r="AQ257" s="556"/>
      <c r="AR257" s="556"/>
      <c r="AS257" s="556"/>
      <c r="AT257" s="556"/>
      <c r="AU257" s="556"/>
      <c r="AV257" s="556"/>
      <c r="AW257" s="556"/>
      <c r="AX257" s="556"/>
      <c r="AY257" s="556"/>
      <c r="AZ257" s="556"/>
      <c r="BA257" s="556"/>
      <c r="BB257" s="556"/>
    </row>
    <row r="258" spans="1:54" ht="12.6" customHeight="1" x14ac:dyDescent="0.3">
      <c r="A258" s="117"/>
      <c r="B258" s="117"/>
      <c r="C258" s="45"/>
      <c r="D258" s="648"/>
      <c r="E258" s="648"/>
      <c r="F258" s="648"/>
      <c r="G258" s="648"/>
      <c r="H258" s="648"/>
      <c r="I258" s="648"/>
      <c r="J258" s="648"/>
      <c r="K258" s="648"/>
      <c r="L258" s="648"/>
      <c r="M258" s="648"/>
      <c r="N258" s="45"/>
      <c r="O258" s="45"/>
      <c r="P258" s="45"/>
      <c r="Q258" s="45"/>
      <c r="R258" s="45"/>
      <c r="S258" s="45"/>
      <c r="T258" s="45"/>
      <c r="U258" s="45"/>
      <c r="V258" s="45"/>
      <c r="W258" s="45"/>
      <c r="X258" s="45"/>
      <c r="Y258" s="38"/>
      <c r="Z258" s="556"/>
      <c r="AA258" s="556"/>
      <c r="AB258" s="556"/>
      <c r="AC258" s="556"/>
      <c r="AD258" s="556"/>
      <c r="AE258" s="977"/>
      <c r="AF258" s="977"/>
      <c r="AG258" s="556"/>
      <c r="AH258" s="556"/>
      <c r="AI258" s="556"/>
      <c r="AJ258" s="556"/>
      <c r="AK258" s="556"/>
      <c r="AL258" s="556"/>
      <c r="AM258" s="556"/>
      <c r="AN258" s="556"/>
      <c r="AO258" s="556"/>
      <c r="AP258" s="556"/>
      <c r="AQ258" s="556"/>
      <c r="AR258" s="556"/>
      <c r="AS258" s="556"/>
      <c r="AT258" s="556"/>
      <c r="AU258" s="556"/>
      <c r="AV258" s="556"/>
      <c r="AW258" s="556"/>
      <c r="AX258" s="556"/>
      <c r="AY258" s="556"/>
      <c r="AZ258" s="556"/>
      <c r="BA258" s="556"/>
      <c r="BB258" s="556"/>
    </row>
    <row r="259" spans="1:54" ht="15.6" customHeight="1" x14ac:dyDescent="0.3">
      <c r="A259" s="117"/>
      <c r="B259" s="117"/>
      <c r="C259" s="45"/>
      <c r="D259" s="648"/>
      <c r="E259" s="648"/>
      <c r="F259" s="648"/>
      <c r="G259" s="648"/>
      <c r="H259" s="648"/>
      <c r="I259" s="648"/>
      <c r="J259" s="648"/>
      <c r="K259" s="648"/>
      <c r="L259" s="648"/>
      <c r="M259" s="648"/>
      <c r="N259" s="45"/>
      <c r="O259" s="45"/>
      <c r="P259" s="45"/>
      <c r="Q259" s="45"/>
      <c r="R259" s="45"/>
      <c r="S259" s="45"/>
      <c r="T259" s="45"/>
      <c r="U259" s="45"/>
      <c r="V259" s="45"/>
      <c r="W259" s="45"/>
      <c r="X259" s="45"/>
      <c r="Y259" s="38"/>
      <c r="Z259" s="556"/>
      <c r="AA259" s="556"/>
      <c r="AB259" s="556"/>
      <c r="AC259" s="556"/>
      <c r="AD259" s="556"/>
      <c r="AE259" s="977"/>
      <c r="AF259" s="977"/>
      <c r="AG259" s="556"/>
      <c r="AH259" s="556"/>
      <c r="AI259" s="556"/>
      <c r="AJ259" s="556"/>
      <c r="AK259" s="556"/>
      <c r="AL259" s="556"/>
      <c r="AM259" s="556"/>
      <c r="AN259" s="556"/>
      <c r="AO259" s="556"/>
      <c r="AP259" s="556"/>
      <c r="AQ259" s="556"/>
      <c r="AR259" s="556"/>
      <c r="AS259" s="556"/>
      <c r="AT259" s="556"/>
      <c r="AU259" s="556"/>
      <c r="AV259" s="556"/>
      <c r="AW259" s="556"/>
      <c r="AX259" s="556"/>
      <c r="AY259" s="556"/>
      <c r="AZ259" s="556"/>
      <c r="BA259" s="556"/>
      <c r="BB259" s="556"/>
    </row>
    <row r="260" spans="1:54" ht="15.6" customHeight="1" x14ac:dyDescent="0.3">
      <c r="A260" s="117"/>
      <c r="B260" s="117"/>
      <c r="C260" s="45"/>
      <c r="D260" s="648"/>
      <c r="E260" s="648"/>
      <c r="F260" s="648"/>
      <c r="G260" s="648"/>
      <c r="H260" s="648"/>
      <c r="I260" s="648"/>
      <c r="J260" s="648"/>
      <c r="K260" s="648"/>
      <c r="L260" s="648"/>
      <c r="M260" s="648"/>
      <c r="N260" s="45"/>
      <c r="O260" s="45"/>
      <c r="P260" s="45"/>
      <c r="Q260" s="45"/>
      <c r="R260" s="45"/>
      <c r="S260" s="45"/>
      <c r="T260" s="45"/>
      <c r="U260" s="45"/>
      <c r="V260" s="45"/>
      <c r="W260" s="45"/>
      <c r="X260" s="45"/>
      <c r="Y260" s="38"/>
      <c r="Z260" s="556"/>
      <c r="AA260" s="556"/>
      <c r="AB260" s="556"/>
      <c r="AC260" s="556"/>
      <c r="AD260" s="556"/>
      <c r="AE260" s="977"/>
      <c r="AF260" s="977"/>
      <c r="AG260" s="556"/>
      <c r="AH260" s="556"/>
      <c r="AI260" s="556"/>
      <c r="AJ260" s="556"/>
      <c r="AK260" s="556"/>
      <c r="AL260" s="556"/>
      <c r="AM260" s="556"/>
      <c r="AN260" s="556"/>
      <c r="AO260" s="556"/>
      <c r="AP260" s="556"/>
      <c r="AQ260" s="556"/>
      <c r="AR260" s="556"/>
      <c r="AS260" s="556"/>
      <c r="AT260" s="556"/>
      <c r="AU260" s="556"/>
      <c r="AV260" s="556"/>
      <c r="AW260" s="556"/>
      <c r="AX260" s="556"/>
      <c r="AY260" s="556"/>
      <c r="AZ260" s="556"/>
      <c r="BA260" s="556"/>
      <c r="BB260" s="556"/>
    </row>
    <row r="261" spans="1:54" ht="15.6" customHeight="1" x14ac:dyDescent="0.3">
      <c r="A261" s="117"/>
      <c r="B261" s="117"/>
      <c r="C261" s="45"/>
      <c r="D261" s="648"/>
      <c r="E261" s="648"/>
      <c r="F261" s="648"/>
      <c r="G261" s="648"/>
      <c r="H261" s="648"/>
      <c r="I261" s="648"/>
      <c r="J261" s="648"/>
      <c r="K261" s="648"/>
      <c r="L261" s="648"/>
      <c r="M261" s="648"/>
      <c r="N261" s="45"/>
      <c r="O261" s="45"/>
      <c r="P261" s="45"/>
      <c r="Q261" s="45"/>
      <c r="R261" s="45"/>
      <c r="S261" s="45"/>
      <c r="T261" s="45"/>
      <c r="U261" s="45"/>
      <c r="V261" s="45"/>
      <c r="W261" s="45"/>
      <c r="X261" s="45"/>
      <c r="Y261" s="38"/>
      <c r="Z261" s="556"/>
      <c r="AA261" s="556"/>
      <c r="AB261" s="556"/>
      <c r="AC261" s="556"/>
      <c r="AD261" s="556"/>
      <c r="AE261" s="977"/>
      <c r="AF261" s="977"/>
      <c r="AG261" s="556"/>
      <c r="AH261" s="556"/>
      <c r="AI261" s="556"/>
      <c r="AJ261" s="556"/>
      <c r="AK261" s="556"/>
      <c r="AL261" s="556"/>
      <c r="AM261" s="556"/>
      <c r="AN261" s="556"/>
      <c r="AO261" s="556"/>
      <c r="AP261" s="556"/>
      <c r="AQ261" s="556"/>
      <c r="AR261" s="556"/>
      <c r="AS261" s="556"/>
      <c r="AT261" s="556"/>
      <c r="AU261" s="556"/>
      <c r="AV261" s="556"/>
      <c r="AW261" s="556"/>
      <c r="AX261" s="556"/>
      <c r="AY261" s="556"/>
      <c r="AZ261" s="556"/>
      <c r="BA261" s="556"/>
      <c r="BB261" s="556"/>
    </row>
    <row r="262" spans="1:54" ht="15.6" customHeight="1" x14ac:dyDescent="0.3">
      <c r="A262" s="117"/>
      <c r="B262" s="117"/>
      <c r="C262" s="45"/>
      <c r="D262" s="648"/>
      <c r="E262" s="648"/>
      <c r="F262" s="648"/>
      <c r="G262" s="648"/>
      <c r="H262" s="648"/>
      <c r="I262" s="648"/>
      <c r="J262" s="648"/>
      <c r="K262" s="648"/>
      <c r="L262" s="648"/>
      <c r="M262" s="648"/>
      <c r="N262" s="45"/>
      <c r="O262" s="45"/>
      <c r="P262" s="45"/>
      <c r="Q262" s="45"/>
      <c r="R262" s="45"/>
      <c r="S262" s="45"/>
      <c r="T262" s="45"/>
      <c r="U262" s="45"/>
      <c r="V262" s="45"/>
      <c r="W262" s="45"/>
      <c r="X262" s="45"/>
      <c r="Y262" s="38"/>
      <c r="Z262" s="556"/>
      <c r="AA262" s="556"/>
      <c r="AB262" s="556"/>
      <c r="AC262" s="556"/>
      <c r="AD262" s="556"/>
      <c r="AE262" s="977"/>
      <c r="AF262" s="977"/>
      <c r="AG262" s="556"/>
      <c r="AH262" s="556"/>
      <c r="AI262" s="556"/>
      <c r="AJ262" s="556"/>
      <c r="AK262" s="556"/>
      <c r="AL262" s="556"/>
      <c r="AM262" s="556"/>
      <c r="AN262" s="556"/>
      <c r="AO262" s="556"/>
      <c r="AP262" s="556"/>
      <c r="AQ262" s="556"/>
      <c r="AR262" s="556"/>
      <c r="AS262" s="556"/>
      <c r="AT262" s="556"/>
      <c r="AU262" s="556"/>
      <c r="AV262" s="556"/>
      <c r="AW262" s="556"/>
      <c r="AX262" s="556"/>
      <c r="AY262" s="556"/>
      <c r="AZ262" s="556"/>
      <c r="BA262" s="556"/>
      <c r="BB262" s="556"/>
    </row>
    <row r="263" spans="1:54" ht="15.6" customHeight="1" x14ac:dyDescent="0.3">
      <c r="A263" s="117"/>
      <c r="B263" s="117"/>
      <c r="C263" s="45"/>
      <c r="D263" s="648"/>
      <c r="E263" s="648"/>
      <c r="F263" s="648"/>
      <c r="G263" s="648"/>
      <c r="H263" s="648"/>
      <c r="I263" s="648"/>
      <c r="J263" s="648"/>
      <c r="K263" s="648"/>
      <c r="L263" s="648"/>
      <c r="M263" s="648"/>
      <c r="N263" s="45"/>
      <c r="O263" s="45"/>
      <c r="P263" s="45"/>
      <c r="Q263" s="45"/>
      <c r="R263" s="45"/>
      <c r="S263" s="45"/>
      <c r="T263" s="45"/>
      <c r="U263" s="45"/>
      <c r="V263" s="45"/>
      <c r="W263" s="45"/>
      <c r="X263" s="45"/>
      <c r="Y263" s="38"/>
      <c r="Z263" s="556"/>
      <c r="AA263" s="556"/>
      <c r="AB263" s="556"/>
      <c r="AC263" s="556"/>
      <c r="AD263" s="556"/>
      <c r="AE263" s="977"/>
      <c r="AF263" s="977"/>
      <c r="AG263" s="556"/>
      <c r="AH263" s="556"/>
      <c r="AI263" s="556"/>
      <c r="AJ263" s="556"/>
      <c r="AK263" s="556"/>
      <c r="AL263" s="556"/>
      <c r="AM263" s="556"/>
      <c r="AN263" s="556"/>
      <c r="AO263" s="556"/>
      <c r="AP263" s="556"/>
      <c r="AQ263" s="556"/>
      <c r="AR263" s="556"/>
      <c r="AS263" s="556"/>
      <c r="AT263" s="556"/>
      <c r="AU263" s="556"/>
      <c r="AV263" s="556"/>
      <c r="AW263" s="556"/>
      <c r="AX263" s="556"/>
      <c r="AY263" s="556"/>
      <c r="AZ263" s="556"/>
      <c r="BA263" s="556"/>
      <c r="BB263" s="556"/>
    </row>
    <row r="264" spans="1:54" ht="15.6" customHeight="1" x14ac:dyDescent="0.3">
      <c r="A264" s="117"/>
      <c r="B264" s="117"/>
      <c r="C264" s="45"/>
      <c r="D264" s="648"/>
      <c r="E264" s="648"/>
      <c r="F264" s="648"/>
      <c r="G264" s="648"/>
      <c r="H264" s="648"/>
      <c r="I264" s="648"/>
      <c r="J264" s="648"/>
      <c r="K264" s="648"/>
      <c r="L264" s="648"/>
      <c r="M264" s="648"/>
      <c r="N264" s="45"/>
      <c r="O264" s="45"/>
      <c r="P264" s="45"/>
      <c r="Q264" s="45"/>
      <c r="R264" s="45"/>
      <c r="S264" s="45"/>
      <c r="T264" s="45"/>
      <c r="U264" s="45"/>
      <c r="V264" s="45"/>
      <c r="W264" s="45"/>
      <c r="X264" s="45"/>
      <c r="Y264" s="38"/>
      <c r="Z264" s="556"/>
      <c r="AA264" s="556"/>
      <c r="AB264" s="556"/>
      <c r="AC264" s="556"/>
      <c r="AD264" s="556"/>
      <c r="AE264" s="977"/>
      <c r="AF264" s="977"/>
      <c r="AG264" s="556"/>
      <c r="AH264" s="556"/>
      <c r="AI264" s="556"/>
      <c r="AJ264" s="556"/>
      <c r="AK264" s="556"/>
      <c r="AL264" s="556"/>
      <c r="AM264" s="556"/>
      <c r="AN264" s="556"/>
      <c r="AO264" s="556"/>
      <c r="AP264" s="556"/>
      <c r="AQ264" s="556"/>
      <c r="AR264" s="556"/>
      <c r="AS264" s="556"/>
      <c r="AT264" s="556"/>
      <c r="AU264" s="556"/>
      <c r="AV264" s="556"/>
      <c r="AW264" s="556"/>
      <c r="AX264" s="556"/>
      <c r="AY264" s="556"/>
      <c r="AZ264" s="556"/>
      <c r="BA264" s="556"/>
      <c r="BB264" s="556"/>
    </row>
    <row r="265" spans="1:54" ht="15.6" hidden="1" customHeight="1" x14ac:dyDescent="0.3">
      <c r="A265" s="117"/>
      <c r="B265" s="117"/>
      <c r="C265" s="45"/>
      <c r="D265" s="648"/>
      <c r="E265" s="648"/>
      <c r="F265" s="648"/>
      <c r="G265" s="648"/>
      <c r="H265" s="648"/>
      <c r="I265" s="648"/>
      <c r="J265" s="648"/>
      <c r="K265" s="648"/>
      <c r="L265" s="648"/>
      <c r="M265" s="648"/>
      <c r="N265" s="45"/>
      <c r="O265" s="45"/>
      <c r="P265" s="45"/>
      <c r="Q265" s="45"/>
      <c r="R265" s="45"/>
      <c r="S265" s="45"/>
      <c r="T265" s="45"/>
      <c r="U265" s="45"/>
      <c r="V265" s="45"/>
      <c r="W265" s="45"/>
      <c r="X265" s="45"/>
      <c r="Y265" s="38"/>
      <c r="Z265" s="556"/>
      <c r="AA265" s="556"/>
      <c r="AB265" s="556"/>
      <c r="AC265" s="556"/>
      <c r="AD265" s="556"/>
      <c r="AE265" s="977"/>
      <c r="AF265" s="977"/>
      <c r="AG265" s="556"/>
      <c r="AH265" s="556"/>
      <c r="AI265" s="556"/>
      <c r="AJ265" s="556"/>
      <c r="AK265" s="556"/>
      <c r="AL265" s="556"/>
      <c r="AM265" s="556"/>
      <c r="AN265" s="556"/>
      <c r="AO265" s="556"/>
      <c r="AP265" s="556"/>
      <c r="AQ265" s="556"/>
      <c r="AR265" s="556"/>
      <c r="AS265" s="556"/>
      <c r="AT265" s="556"/>
      <c r="AU265" s="556"/>
      <c r="AV265" s="556"/>
      <c r="AW265" s="556"/>
      <c r="AX265" s="556"/>
      <c r="AY265" s="556"/>
      <c r="AZ265" s="556"/>
      <c r="BA265" s="556"/>
      <c r="BB265" s="556"/>
    </row>
    <row r="266" spans="1:54" ht="15.6" hidden="1" customHeight="1" x14ac:dyDescent="0.3">
      <c r="A266" s="117"/>
      <c r="B266" s="117"/>
      <c r="C266" s="45"/>
      <c r="D266" s="648"/>
      <c r="E266" s="648"/>
      <c r="F266" s="648"/>
      <c r="G266" s="648"/>
      <c r="H266" s="648"/>
      <c r="I266" s="648"/>
      <c r="J266" s="648"/>
      <c r="K266" s="648"/>
      <c r="L266" s="648"/>
      <c r="M266" s="648"/>
      <c r="N266" s="45"/>
      <c r="O266" s="45"/>
      <c r="P266" s="45"/>
      <c r="Q266" s="45"/>
      <c r="R266" s="45"/>
      <c r="S266" s="45"/>
      <c r="T266" s="45"/>
      <c r="U266" s="45"/>
      <c r="V266" s="45"/>
      <c r="W266" s="45"/>
      <c r="X266" s="45"/>
      <c r="Y266" s="38"/>
      <c r="Z266" s="556"/>
      <c r="AA266" s="556"/>
      <c r="AB266" s="556"/>
      <c r="AC266" s="556"/>
      <c r="AD266" s="556"/>
      <c r="AE266" s="977"/>
      <c r="AF266" s="977"/>
      <c r="AG266" s="556"/>
      <c r="AH266" s="556"/>
      <c r="AI266" s="556"/>
      <c r="AJ266" s="556"/>
      <c r="AK266" s="556"/>
      <c r="AL266" s="556"/>
      <c r="AM266" s="556"/>
      <c r="AN266" s="556"/>
      <c r="AO266" s="556"/>
      <c r="AP266" s="556"/>
      <c r="AQ266" s="556"/>
      <c r="AR266" s="556"/>
      <c r="AS266" s="556"/>
      <c r="AT266" s="556"/>
      <c r="AU266" s="556"/>
      <c r="AV266" s="556"/>
      <c r="AW266" s="556"/>
      <c r="AX266" s="556"/>
      <c r="AY266" s="556"/>
      <c r="AZ266" s="556"/>
      <c r="BA266" s="556"/>
      <c r="BB266" s="556"/>
    </row>
    <row r="267" spans="1:54" ht="15.6" hidden="1" customHeight="1" x14ac:dyDescent="0.3">
      <c r="A267" s="117"/>
      <c r="B267" s="117"/>
      <c r="C267" s="45"/>
      <c r="D267" s="648"/>
      <c r="E267" s="648"/>
      <c r="F267" s="648"/>
      <c r="G267" s="648"/>
      <c r="H267" s="648"/>
      <c r="I267" s="648"/>
      <c r="J267" s="648"/>
      <c r="K267" s="648"/>
      <c r="L267" s="648"/>
      <c r="M267" s="648"/>
      <c r="N267" s="45"/>
      <c r="O267" s="45"/>
      <c r="P267" s="45"/>
      <c r="Q267" s="45"/>
      <c r="R267" s="45"/>
      <c r="S267" s="45"/>
      <c r="T267" s="45"/>
      <c r="U267" s="45"/>
      <c r="V267" s="45"/>
      <c r="W267" s="45"/>
      <c r="X267" s="45"/>
      <c r="Y267" s="38"/>
      <c r="Z267" s="556"/>
      <c r="AA267" s="556"/>
      <c r="AB267" s="556"/>
      <c r="AC267" s="556"/>
      <c r="AD267" s="556"/>
      <c r="AE267" s="977"/>
      <c r="AF267" s="977"/>
      <c r="AG267" s="556"/>
      <c r="AH267" s="556"/>
      <c r="AI267" s="556"/>
      <c r="AJ267" s="556"/>
      <c r="AK267" s="556"/>
      <c r="AL267" s="556"/>
      <c r="AM267" s="556"/>
      <c r="AN267" s="556"/>
      <c r="AO267" s="556"/>
      <c r="AP267" s="556"/>
      <c r="AQ267" s="556"/>
      <c r="AR267" s="556"/>
      <c r="AS267" s="556"/>
      <c r="AT267" s="556"/>
      <c r="AU267" s="556"/>
      <c r="AV267" s="556"/>
      <c r="AW267" s="556"/>
      <c r="AX267" s="556"/>
      <c r="AY267" s="556"/>
      <c r="AZ267" s="556"/>
      <c r="BA267" s="556"/>
      <c r="BB267" s="556"/>
    </row>
    <row r="268" spans="1:54" ht="15.6" hidden="1" customHeight="1" x14ac:dyDescent="0.3">
      <c r="A268" s="117"/>
      <c r="B268" s="117"/>
      <c r="C268" s="45"/>
      <c r="D268" s="648"/>
      <c r="E268" s="648"/>
      <c r="F268" s="648"/>
      <c r="G268" s="648"/>
      <c r="H268" s="648"/>
      <c r="I268" s="648"/>
      <c r="J268" s="648"/>
      <c r="K268" s="648"/>
      <c r="L268" s="648"/>
      <c r="M268" s="648"/>
      <c r="N268" s="45"/>
      <c r="O268" s="45"/>
      <c r="P268" s="45"/>
      <c r="Q268" s="45"/>
      <c r="R268" s="45"/>
      <c r="S268" s="45"/>
      <c r="T268" s="45"/>
      <c r="U268" s="45"/>
      <c r="V268" s="45"/>
      <c r="W268" s="45"/>
      <c r="X268" s="45"/>
      <c r="Y268" s="38"/>
      <c r="Z268" s="556"/>
      <c r="AA268" s="556"/>
      <c r="AB268" s="556"/>
      <c r="AC268" s="556"/>
      <c r="AD268" s="556"/>
      <c r="AE268" s="977"/>
      <c r="AF268" s="977"/>
      <c r="AG268" s="556"/>
      <c r="AH268" s="556"/>
      <c r="AI268" s="556"/>
      <c r="AJ268" s="556"/>
      <c r="AK268" s="556"/>
      <c r="AL268" s="556"/>
      <c r="AM268" s="556"/>
      <c r="AN268" s="556"/>
      <c r="AO268" s="556"/>
      <c r="AP268" s="556"/>
      <c r="AQ268" s="556"/>
      <c r="AR268" s="556"/>
      <c r="AS268" s="556"/>
      <c r="AT268" s="556"/>
      <c r="AU268" s="556"/>
      <c r="AV268" s="556"/>
      <c r="AW268" s="556"/>
      <c r="AX268" s="556"/>
      <c r="AY268" s="556"/>
      <c r="AZ268" s="556"/>
      <c r="BA268" s="556"/>
      <c r="BB268" s="556"/>
    </row>
    <row r="269" spans="1:54" ht="15.6" hidden="1" customHeight="1" x14ac:dyDescent="0.3">
      <c r="A269" s="117"/>
      <c r="B269" s="117"/>
      <c r="C269" s="45"/>
      <c r="D269" s="648"/>
      <c r="E269" s="648"/>
      <c r="F269" s="648"/>
      <c r="G269" s="648"/>
      <c r="H269" s="648"/>
      <c r="I269" s="648"/>
      <c r="J269" s="648"/>
      <c r="K269" s="648"/>
      <c r="L269" s="648"/>
      <c r="M269" s="648"/>
      <c r="N269" s="45"/>
      <c r="O269" s="45"/>
      <c r="P269" s="45"/>
      <c r="Q269" s="45"/>
      <c r="R269" s="45"/>
      <c r="S269" s="45"/>
      <c r="T269" s="45"/>
      <c r="U269" s="45"/>
      <c r="V269" s="45"/>
      <c r="W269" s="45"/>
      <c r="X269" s="45"/>
      <c r="Y269" s="38"/>
      <c r="Z269" s="556"/>
      <c r="AA269" s="556"/>
      <c r="AB269" s="556"/>
      <c r="AC269" s="556"/>
      <c r="AD269" s="556"/>
      <c r="AE269" s="977"/>
      <c r="AF269" s="977"/>
      <c r="AG269" s="556"/>
      <c r="AH269" s="556"/>
      <c r="AI269" s="556"/>
      <c r="AJ269" s="556"/>
      <c r="AK269" s="556"/>
      <c r="AL269" s="556"/>
      <c r="AM269" s="556"/>
      <c r="AN269" s="556"/>
      <c r="AO269" s="556"/>
      <c r="AP269" s="556"/>
      <c r="AQ269" s="556"/>
      <c r="AR269" s="556"/>
      <c r="AS269" s="556"/>
      <c r="AT269" s="556"/>
      <c r="AU269" s="556"/>
      <c r="AV269" s="556"/>
      <c r="AW269" s="556"/>
      <c r="AX269" s="556"/>
      <c r="AY269" s="556"/>
      <c r="AZ269" s="556"/>
      <c r="BA269" s="556"/>
      <c r="BB269" s="556"/>
    </row>
    <row r="270" spans="1:54" ht="15.6" hidden="1" customHeight="1" x14ac:dyDescent="0.3">
      <c r="A270" s="117"/>
      <c r="B270" s="117"/>
      <c r="C270" s="45"/>
      <c r="D270" s="648"/>
      <c r="E270" s="648"/>
      <c r="F270" s="648"/>
      <c r="G270" s="648"/>
      <c r="H270" s="648"/>
      <c r="I270" s="648"/>
      <c r="J270" s="648"/>
      <c r="K270" s="648"/>
      <c r="L270" s="648"/>
      <c r="M270" s="648"/>
      <c r="N270" s="45"/>
      <c r="O270" s="45"/>
      <c r="P270" s="45"/>
      <c r="Q270" s="45"/>
      <c r="R270" s="45"/>
      <c r="S270" s="45"/>
      <c r="T270" s="45"/>
      <c r="U270" s="45"/>
      <c r="V270" s="45"/>
      <c r="W270" s="45"/>
      <c r="X270" s="45"/>
      <c r="Y270" s="38"/>
      <c r="Z270" s="556"/>
      <c r="AA270" s="556"/>
      <c r="AB270" s="556"/>
      <c r="AC270" s="556"/>
      <c r="AD270" s="556"/>
      <c r="AE270" s="977"/>
      <c r="AF270" s="977"/>
      <c r="AG270" s="556"/>
      <c r="AH270" s="556"/>
      <c r="AI270" s="556"/>
      <c r="AJ270" s="556"/>
      <c r="AK270" s="556"/>
      <c r="AL270" s="556"/>
      <c r="AM270" s="556"/>
      <c r="AN270" s="556"/>
      <c r="AO270" s="556"/>
      <c r="AP270" s="556"/>
      <c r="AQ270" s="556"/>
      <c r="AR270" s="556"/>
      <c r="AS270" s="556"/>
      <c r="AT270" s="556"/>
      <c r="AU270" s="556"/>
      <c r="AV270" s="556"/>
      <c r="AW270" s="556"/>
      <c r="AX270" s="556"/>
      <c r="AY270" s="556"/>
      <c r="AZ270" s="556"/>
      <c r="BA270" s="556"/>
      <c r="BB270" s="556"/>
    </row>
    <row r="271" spans="1:54" ht="15.6" hidden="1" customHeight="1" x14ac:dyDescent="0.3">
      <c r="A271" s="117"/>
      <c r="B271" s="117"/>
      <c r="C271" s="45"/>
      <c r="D271" s="648"/>
      <c r="E271" s="648"/>
      <c r="F271" s="648"/>
      <c r="G271" s="648"/>
      <c r="H271" s="648"/>
      <c r="I271" s="648"/>
      <c r="J271" s="648"/>
      <c r="K271" s="648"/>
      <c r="L271" s="648"/>
      <c r="M271" s="648"/>
      <c r="N271" s="45"/>
      <c r="O271" s="45"/>
      <c r="P271" s="45"/>
      <c r="Q271" s="45"/>
      <c r="R271" s="45"/>
      <c r="S271" s="45"/>
      <c r="T271" s="45"/>
      <c r="U271" s="45"/>
      <c r="V271" s="45"/>
      <c r="W271" s="45"/>
      <c r="X271" s="45"/>
      <c r="Y271" s="38"/>
      <c r="Z271" s="556"/>
      <c r="AA271" s="556"/>
      <c r="AB271" s="556"/>
      <c r="AC271" s="556"/>
      <c r="AD271" s="556"/>
      <c r="AE271" s="977"/>
      <c r="AF271" s="977"/>
      <c r="AG271" s="556"/>
      <c r="AH271" s="556"/>
      <c r="AI271" s="556"/>
      <c r="AJ271" s="556"/>
      <c r="AK271" s="556"/>
      <c r="AL271" s="556"/>
      <c r="AM271" s="556"/>
      <c r="AN271" s="556"/>
      <c r="AO271" s="556"/>
      <c r="AP271" s="556"/>
      <c r="AQ271" s="556"/>
      <c r="AR271" s="556"/>
      <c r="AS271" s="556"/>
      <c r="AT271" s="556"/>
      <c r="AU271" s="556"/>
      <c r="AV271" s="556"/>
      <c r="AW271" s="556"/>
      <c r="AX271" s="556"/>
      <c r="AY271" s="556"/>
      <c r="AZ271" s="556"/>
      <c r="BA271" s="556"/>
      <c r="BB271" s="556"/>
    </row>
    <row r="272" spans="1:54" ht="15.6" hidden="1" customHeight="1" x14ac:dyDescent="0.3">
      <c r="A272" s="117"/>
      <c r="B272" s="117"/>
      <c r="C272" s="45"/>
      <c r="D272" s="648"/>
      <c r="E272" s="648"/>
      <c r="F272" s="648"/>
      <c r="G272" s="648"/>
      <c r="H272" s="648"/>
      <c r="I272" s="648"/>
      <c r="J272" s="648"/>
      <c r="K272" s="648"/>
      <c r="L272" s="648"/>
      <c r="M272" s="648"/>
      <c r="N272" s="45"/>
      <c r="O272" s="45"/>
      <c r="P272" s="45"/>
      <c r="Q272" s="45"/>
      <c r="R272" s="45"/>
      <c r="S272" s="45"/>
      <c r="T272" s="45"/>
      <c r="U272" s="45"/>
      <c r="V272" s="45"/>
      <c r="W272" s="45"/>
      <c r="X272" s="45"/>
      <c r="Y272" s="38"/>
      <c r="Z272" s="556"/>
      <c r="AA272" s="556"/>
      <c r="AB272" s="556"/>
      <c r="AC272" s="556"/>
      <c r="AD272" s="556"/>
      <c r="AE272" s="977"/>
      <c r="AF272" s="977"/>
      <c r="AG272" s="556"/>
      <c r="AH272" s="556"/>
      <c r="AI272" s="556"/>
      <c r="AJ272" s="556"/>
      <c r="AK272" s="556"/>
      <c r="AL272" s="556"/>
      <c r="AM272" s="556"/>
      <c r="AN272" s="556"/>
      <c r="AO272" s="556"/>
      <c r="AP272" s="556"/>
      <c r="AQ272" s="556"/>
      <c r="AR272" s="556"/>
      <c r="AS272" s="556"/>
      <c r="AT272" s="556"/>
      <c r="AU272" s="556"/>
      <c r="AV272" s="556"/>
      <c r="AW272" s="556"/>
      <c r="AX272" s="556"/>
      <c r="AY272" s="556"/>
      <c r="AZ272" s="556"/>
      <c r="BA272" s="556"/>
      <c r="BB272" s="556"/>
    </row>
    <row r="273" spans="1:54" ht="15.6" hidden="1" customHeight="1" x14ac:dyDescent="0.3">
      <c r="A273" s="117"/>
      <c r="B273" s="117"/>
      <c r="C273" s="45"/>
      <c r="D273" s="648"/>
      <c r="E273" s="648"/>
      <c r="F273" s="648"/>
      <c r="G273" s="648"/>
      <c r="H273" s="648"/>
      <c r="I273" s="648"/>
      <c r="J273" s="648"/>
      <c r="K273" s="648"/>
      <c r="L273" s="648"/>
      <c r="M273" s="648"/>
      <c r="N273" s="45"/>
      <c r="O273" s="45"/>
      <c r="P273" s="45"/>
      <c r="Q273" s="45"/>
      <c r="R273" s="45"/>
      <c r="S273" s="45"/>
      <c r="T273" s="45"/>
      <c r="U273" s="45"/>
      <c r="V273" s="45"/>
      <c r="W273" s="45"/>
      <c r="X273" s="45"/>
      <c r="Y273" s="38"/>
      <c r="Z273" s="556"/>
      <c r="AA273" s="556"/>
      <c r="AB273" s="556"/>
      <c r="AC273" s="556"/>
      <c r="AD273" s="556"/>
      <c r="AE273" s="977"/>
      <c r="AF273" s="977"/>
      <c r="AG273" s="556"/>
      <c r="AH273" s="556"/>
      <c r="AI273" s="556"/>
      <c r="AJ273" s="556"/>
      <c r="AK273" s="556"/>
      <c r="AL273" s="556"/>
      <c r="AM273" s="556"/>
      <c r="AN273" s="556"/>
      <c r="AO273" s="556"/>
      <c r="AP273" s="556"/>
      <c r="AQ273" s="556"/>
      <c r="AR273" s="556"/>
      <c r="AS273" s="556"/>
      <c r="AT273" s="556"/>
      <c r="AU273" s="556"/>
      <c r="AV273" s="556"/>
      <c r="AW273" s="556"/>
      <c r="AX273" s="556"/>
      <c r="AY273" s="556"/>
      <c r="AZ273" s="556"/>
      <c r="BA273" s="556"/>
      <c r="BB273" s="556"/>
    </row>
    <row r="274" spans="1:54" ht="15.6" hidden="1" customHeight="1" x14ac:dyDescent="0.3">
      <c r="A274" s="117"/>
      <c r="B274" s="117"/>
      <c r="C274" s="45"/>
      <c r="D274" s="648"/>
      <c r="E274" s="648"/>
      <c r="F274" s="648"/>
      <c r="G274" s="648"/>
      <c r="H274" s="648"/>
      <c r="I274" s="648"/>
      <c r="J274" s="648"/>
      <c r="K274" s="648"/>
      <c r="L274" s="648"/>
      <c r="M274" s="648"/>
      <c r="N274" s="45"/>
      <c r="O274" s="45"/>
      <c r="P274" s="45"/>
      <c r="Q274" s="45"/>
      <c r="R274" s="45"/>
      <c r="S274" s="45"/>
      <c r="T274" s="45"/>
      <c r="U274" s="45"/>
      <c r="V274" s="45"/>
      <c r="W274" s="45"/>
      <c r="X274" s="45"/>
      <c r="Y274" s="38"/>
      <c r="Z274" s="556"/>
      <c r="AA274" s="556"/>
      <c r="AB274" s="556"/>
      <c r="AC274" s="556"/>
      <c r="AD274" s="556"/>
      <c r="AE274" s="977"/>
      <c r="AF274" s="977"/>
      <c r="AG274" s="556"/>
      <c r="AH274" s="556"/>
      <c r="AI274" s="556"/>
      <c r="AJ274" s="556"/>
      <c r="AK274" s="556"/>
      <c r="AL274" s="556"/>
      <c r="AM274" s="556"/>
      <c r="AN274" s="556"/>
      <c r="AO274" s="556"/>
      <c r="AP274" s="556"/>
      <c r="AQ274" s="556"/>
      <c r="AR274" s="556"/>
      <c r="AS274" s="556"/>
      <c r="AT274" s="556"/>
      <c r="AU274" s="556"/>
      <c r="AV274" s="556"/>
      <c r="AW274" s="556"/>
      <c r="AX274" s="556"/>
      <c r="AY274" s="556"/>
      <c r="AZ274" s="556"/>
      <c r="BA274" s="556"/>
      <c r="BB274" s="556"/>
    </row>
    <row r="275" spans="1:54" ht="15.6" hidden="1" customHeight="1" x14ac:dyDescent="0.3">
      <c r="A275" s="117"/>
      <c r="B275" s="117"/>
      <c r="C275" s="45"/>
      <c r="D275" s="648"/>
      <c r="E275" s="648"/>
      <c r="F275" s="648"/>
      <c r="G275" s="648"/>
      <c r="H275" s="648"/>
      <c r="I275" s="648"/>
      <c r="J275" s="648"/>
      <c r="K275" s="648"/>
      <c r="L275" s="648"/>
      <c r="M275" s="648"/>
      <c r="N275" s="45"/>
      <c r="O275" s="45"/>
      <c r="P275" s="45"/>
      <c r="Q275" s="45"/>
      <c r="R275" s="45"/>
      <c r="S275" s="45"/>
      <c r="T275" s="45"/>
      <c r="U275" s="45"/>
      <c r="V275" s="45"/>
      <c r="W275" s="45"/>
      <c r="X275" s="45"/>
      <c r="Y275" s="38"/>
      <c r="Z275" s="556"/>
      <c r="AA275" s="556"/>
      <c r="AB275" s="556"/>
      <c r="AC275" s="556"/>
      <c r="AD275" s="556"/>
      <c r="AE275" s="977"/>
      <c r="AF275" s="977"/>
      <c r="AG275" s="556"/>
      <c r="AH275" s="556"/>
      <c r="AI275" s="556"/>
      <c r="AJ275" s="556"/>
      <c r="AK275" s="556"/>
      <c r="AL275" s="556"/>
      <c r="AM275" s="556"/>
      <c r="AN275" s="556"/>
      <c r="AO275" s="556"/>
      <c r="AP275" s="556"/>
      <c r="AQ275" s="556"/>
      <c r="AR275" s="556"/>
      <c r="AS275" s="556"/>
      <c r="AT275" s="556"/>
      <c r="AU275" s="556"/>
      <c r="AV275" s="556"/>
      <c r="AW275" s="556"/>
      <c r="AX275" s="556"/>
      <c r="AY275" s="556"/>
      <c r="AZ275" s="556"/>
      <c r="BA275" s="556"/>
      <c r="BB275" s="556"/>
    </row>
    <row r="276" spans="1:54" ht="14.4" hidden="1" customHeight="1" x14ac:dyDescent="0.3">
      <c r="A276" s="117"/>
      <c r="B276" s="117"/>
      <c r="C276" s="45"/>
      <c r="D276" s="645"/>
      <c r="E276" s="645"/>
      <c r="F276" s="645"/>
      <c r="G276" s="652"/>
      <c r="H276" s="645"/>
      <c r="I276" s="645"/>
      <c r="J276" s="652"/>
      <c r="K276" s="652"/>
      <c r="L276" s="652"/>
      <c r="M276" s="652"/>
      <c r="N276" s="652"/>
      <c r="O276" s="652"/>
      <c r="P276" s="652"/>
      <c r="Q276" s="652"/>
      <c r="R276" s="45"/>
      <c r="S276" s="45"/>
      <c r="T276" s="45"/>
      <c r="U276" s="45"/>
      <c r="V276" s="45"/>
      <c r="W276" s="45"/>
      <c r="X276" s="45"/>
      <c r="Y276" s="38"/>
      <c r="Z276" s="556"/>
      <c r="AA276" s="556"/>
      <c r="AB276" s="556"/>
      <c r="AC276" s="556"/>
      <c r="AD276" s="556"/>
      <c r="AE276" s="977"/>
      <c r="AF276" s="977"/>
      <c r="AG276" s="556"/>
      <c r="AH276" s="556"/>
      <c r="AI276" s="556"/>
      <c r="AJ276" s="556"/>
      <c r="AK276" s="556"/>
      <c r="AL276" s="556"/>
      <c r="AM276" s="556"/>
      <c r="AN276" s="556"/>
      <c r="AO276" s="556"/>
      <c r="AP276" s="556"/>
      <c r="AQ276" s="556"/>
      <c r="AR276" s="556"/>
      <c r="AS276" s="556"/>
      <c r="AT276" s="556"/>
      <c r="AU276" s="556"/>
      <c r="AV276" s="556"/>
      <c r="AW276" s="556"/>
      <c r="AX276" s="556"/>
      <c r="AY276" s="556"/>
      <c r="AZ276" s="556"/>
      <c r="BA276" s="556"/>
      <c r="BB276" s="556"/>
    </row>
    <row r="277" spans="1:54" ht="15.6" hidden="1" customHeight="1" x14ac:dyDescent="0.3">
      <c r="A277" s="117"/>
      <c r="B277" s="117"/>
      <c r="C277" s="45"/>
      <c r="D277" s="645"/>
      <c r="E277" s="645"/>
      <c r="F277" s="645"/>
      <c r="G277" s="652"/>
      <c r="H277" s="645"/>
      <c r="I277" s="645"/>
      <c r="J277" s="652"/>
      <c r="K277" s="652"/>
      <c r="L277" s="652"/>
      <c r="M277" s="652"/>
      <c r="N277" s="652"/>
      <c r="O277" s="652"/>
      <c r="P277" s="652"/>
      <c r="Q277" s="652"/>
      <c r="R277" s="45"/>
      <c r="S277" s="45"/>
      <c r="T277" s="45"/>
      <c r="U277" s="45"/>
      <c r="V277" s="45"/>
      <c r="W277" s="45"/>
      <c r="X277" s="45"/>
      <c r="Y277" s="38"/>
      <c r="Z277" s="556"/>
      <c r="AA277" s="556"/>
      <c r="AB277" s="556"/>
      <c r="AC277" s="556"/>
      <c r="AD277" s="556"/>
      <c r="AE277" s="977"/>
      <c r="AF277" s="977"/>
      <c r="AG277" s="556"/>
      <c r="AH277" s="556"/>
      <c r="AI277" s="556"/>
      <c r="AJ277" s="556"/>
      <c r="AK277" s="556"/>
      <c r="AL277" s="556"/>
      <c r="AM277" s="556"/>
      <c r="AN277" s="556"/>
      <c r="AO277" s="556"/>
      <c r="AP277" s="556"/>
      <c r="AQ277" s="556"/>
      <c r="AR277" s="556"/>
      <c r="AS277" s="556"/>
      <c r="AT277" s="556"/>
      <c r="AU277" s="556"/>
      <c r="AV277" s="556"/>
      <c r="AW277" s="556"/>
      <c r="AX277" s="556"/>
      <c r="AY277" s="556"/>
      <c r="AZ277" s="556"/>
      <c r="BA277" s="556"/>
      <c r="BB277" s="556"/>
    </row>
    <row r="278" spans="1:54" ht="15.6" hidden="1" x14ac:dyDescent="0.3">
      <c r="A278" s="117"/>
      <c r="B278" s="117"/>
      <c r="C278" s="45"/>
      <c r="D278" s="645"/>
      <c r="E278" s="645"/>
      <c r="F278" s="645"/>
      <c r="G278" s="652"/>
      <c r="H278" s="645"/>
      <c r="I278" s="645"/>
      <c r="J278" s="652"/>
      <c r="K278" s="652"/>
      <c r="L278" s="652"/>
      <c r="M278" s="652"/>
      <c r="N278" s="652"/>
      <c r="O278" s="652"/>
      <c r="P278" s="652"/>
      <c r="Q278" s="652"/>
      <c r="R278" s="45"/>
      <c r="S278" s="45"/>
      <c r="T278" s="45"/>
      <c r="U278" s="45"/>
      <c r="V278" s="45"/>
      <c r="W278" s="45"/>
      <c r="X278" s="45"/>
      <c r="Y278" s="38"/>
      <c r="Z278" s="556"/>
      <c r="AA278" s="556"/>
      <c r="AB278" s="556"/>
      <c r="AC278" s="556"/>
      <c r="AD278" s="556"/>
      <c r="AE278" s="977"/>
      <c r="AF278" s="977"/>
      <c r="AG278" s="556"/>
      <c r="AH278" s="556"/>
      <c r="AI278" s="556"/>
      <c r="AJ278" s="556"/>
      <c r="AK278" s="556"/>
      <c r="AL278" s="556"/>
      <c r="AM278" s="556"/>
      <c r="AN278" s="556"/>
      <c r="AO278" s="556"/>
      <c r="AP278" s="556"/>
      <c r="AQ278" s="556"/>
      <c r="AR278" s="556"/>
      <c r="AS278" s="556"/>
      <c r="AT278" s="556"/>
      <c r="AU278" s="556"/>
      <c r="AV278" s="556"/>
      <c r="AW278" s="556"/>
      <c r="AX278" s="556"/>
      <c r="AY278" s="556"/>
      <c r="AZ278" s="556"/>
      <c r="BA278" s="556"/>
      <c r="BB278" s="556"/>
    </row>
    <row r="279" spans="1:54" ht="56.4" hidden="1" customHeight="1" x14ac:dyDescent="0.3">
      <c r="A279" s="117"/>
      <c r="B279" s="117"/>
      <c r="C279" s="45"/>
      <c r="D279" s="645"/>
      <c r="E279" s="645"/>
      <c r="F279" s="645"/>
      <c r="G279" s="645"/>
      <c r="H279" s="645"/>
      <c r="I279" s="645"/>
      <c r="J279" s="645"/>
      <c r="K279" s="645"/>
      <c r="L279" s="645"/>
      <c r="M279" s="645"/>
      <c r="N279" s="45"/>
      <c r="O279" s="45"/>
      <c r="P279" s="45"/>
      <c r="Q279" s="45"/>
      <c r="R279" s="45"/>
      <c r="S279" s="45"/>
      <c r="T279" s="45"/>
      <c r="U279" s="45"/>
      <c r="V279" s="45"/>
      <c r="W279" s="45"/>
      <c r="X279" s="45"/>
      <c r="Y279" s="38"/>
      <c r="Z279" s="556"/>
      <c r="AA279" s="556"/>
      <c r="AB279" s="556"/>
      <c r="AC279" s="556"/>
      <c r="AD279" s="556"/>
      <c r="AE279" s="977"/>
      <c r="AF279" s="977"/>
      <c r="AG279" s="556"/>
      <c r="AH279" s="556"/>
      <c r="AI279" s="556"/>
      <c r="AJ279" s="556"/>
      <c r="AK279" s="556"/>
      <c r="AL279" s="556"/>
      <c r="AM279" s="556"/>
      <c r="AN279" s="556"/>
      <c r="AO279" s="556"/>
      <c r="AP279" s="556"/>
      <c r="AQ279" s="556"/>
      <c r="AR279" s="556"/>
      <c r="AS279" s="556"/>
      <c r="AT279" s="556"/>
      <c r="AU279" s="556"/>
      <c r="AV279" s="556"/>
      <c r="AW279" s="556"/>
      <c r="AX279" s="556"/>
      <c r="AY279" s="556"/>
      <c r="AZ279" s="556"/>
      <c r="BA279" s="556"/>
      <c r="BB279" s="556"/>
    </row>
    <row r="280" spans="1:54" ht="69.599999999999994" hidden="1" customHeight="1" x14ac:dyDescent="0.3">
      <c r="A280" s="117"/>
      <c r="B280" s="117"/>
      <c r="C280" s="45"/>
      <c r="D280" s="645"/>
      <c r="E280" s="645"/>
      <c r="F280" s="645"/>
      <c r="G280" s="38"/>
      <c r="H280" s="645"/>
      <c r="I280" s="645"/>
      <c r="J280" s="38"/>
      <c r="K280" s="38"/>
      <c r="L280" s="645"/>
      <c r="M280" s="645"/>
      <c r="N280" s="45"/>
      <c r="O280" s="45"/>
      <c r="P280" s="45"/>
      <c r="Q280" s="45"/>
      <c r="R280" s="45"/>
      <c r="S280" s="45"/>
      <c r="T280" s="45"/>
      <c r="U280" s="45"/>
      <c r="V280" s="45"/>
      <c r="W280" s="45"/>
      <c r="X280" s="45"/>
      <c r="Y280" s="38"/>
      <c r="Z280" s="556"/>
      <c r="AA280" s="556"/>
      <c r="AB280" s="556"/>
      <c r="AC280" s="556"/>
      <c r="AD280" s="556"/>
      <c r="AE280" s="977"/>
      <c r="AF280" s="977"/>
      <c r="AG280" s="556"/>
      <c r="AH280" s="556"/>
      <c r="AI280" s="556"/>
      <c r="AJ280" s="556"/>
      <c r="AK280" s="556"/>
      <c r="AL280" s="556"/>
      <c r="AM280" s="556"/>
      <c r="AN280" s="556"/>
      <c r="AO280" s="556"/>
      <c r="AP280" s="556"/>
      <c r="AQ280" s="556"/>
      <c r="AR280" s="556"/>
      <c r="AS280" s="556"/>
      <c r="AT280" s="556"/>
      <c r="AU280" s="556"/>
      <c r="AV280" s="556"/>
      <c r="AW280" s="556"/>
      <c r="AX280" s="556"/>
      <c r="AY280" s="556"/>
      <c r="AZ280" s="556"/>
      <c r="BA280" s="556"/>
      <c r="BB280" s="556"/>
    </row>
    <row r="281" spans="1:54" ht="15" customHeight="1" x14ac:dyDescent="0.3">
      <c r="A281" s="1672" t="s">
        <v>1076</v>
      </c>
      <c r="B281" s="1672"/>
      <c r="C281" s="1672"/>
      <c r="D281" s="1672"/>
      <c r="E281" s="1672"/>
      <c r="F281" s="1672"/>
      <c r="G281" s="1672"/>
      <c r="H281" s="1672"/>
      <c r="I281" s="1672"/>
      <c r="J281" s="1672"/>
      <c r="K281" s="1672"/>
      <c r="L281" s="1672"/>
      <c r="M281" s="653"/>
      <c r="N281" s="653"/>
      <c r="O281" s="653"/>
      <c r="P281" s="653"/>
      <c r="Q281" s="653"/>
      <c r="R281" s="653"/>
      <c r="S281" s="653"/>
      <c r="T281" s="653"/>
      <c r="U281" s="653"/>
      <c r="V281" s="653"/>
      <c r="W281" s="653"/>
      <c r="X281" s="653"/>
      <c r="Y281" s="38"/>
      <c r="Z281" s="556"/>
      <c r="AA281" s="556"/>
      <c r="AB281" s="556"/>
      <c r="AC281" s="556"/>
      <c r="AD281" s="556"/>
      <c r="AE281" s="977"/>
      <c r="AF281" s="977"/>
      <c r="AG281" s="556"/>
      <c r="AH281" s="556"/>
      <c r="AI281" s="556"/>
      <c r="AJ281" s="556"/>
      <c r="AK281" s="556"/>
      <c r="AL281" s="556"/>
      <c r="AM281" s="556"/>
      <c r="AN281" s="556"/>
      <c r="AO281" s="556"/>
      <c r="AP281" s="556"/>
      <c r="AQ281" s="556"/>
      <c r="AR281" s="556"/>
      <c r="AS281" s="556"/>
      <c r="AT281" s="556"/>
      <c r="AU281" s="556"/>
      <c r="AV281" s="556"/>
      <c r="AW281" s="556"/>
      <c r="AX281" s="556"/>
      <c r="AY281" s="556"/>
      <c r="AZ281" s="556"/>
      <c r="BA281" s="556"/>
      <c r="BB281" s="556"/>
    </row>
    <row r="282" spans="1:54" ht="15.75" customHeight="1" x14ac:dyDescent="0.3">
      <c r="A282" s="1673"/>
      <c r="B282" s="1673"/>
      <c r="C282" s="1673"/>
      <c r="D282" s="1673"/>
      <c r="E282" s="1673"/>
      <c r="F282" s="1673"/>
      <c r="G282" s="1673"/>
      <c r="H282" s="1673"/>
      <c r="I282" s="1673"/>
      <c r="J282" s="1673"/>
      <c r="K282" s="1673"/>
      <c r="L282" s="1673"/>
      <c r="M282" s="1673"/>
      <c r="N282" s="1673"/>
      <c r="O282" s="1673"/>
      <c r="P282" s="1673"/>
      <c r="Q282" s="1673"/>
      <c r="R282" s="1673"/>
      <c r="S282" s="1673"/>
      <c r="T282" s="1673"/>
      <c r="U282" s="1673"/>
      <c r="V282" s="1673"/>
      <c r="W282" s="1673"/>
      <c r="X282" s="1673"/>
      <c r="Y282" s="1673"/>
      <c r="Z282" s="556"/>
      <c r="AA282" s="556"/>
      <c r="AB282" s="556"/>
      <c r="AC282" s="556"/>
      <c r="AD282" s="556"/>
      <c r="AE282" s="977"/>
      <c r="AF282" s="977"/>
      <c r="AG282" s="556"/>
      <c r="AH282" s="556"/>
      <c r="AI282" s="556"/>
      <c r="AJ282" s="556"/>
      <c r="AK282" s="556"/>
      <c r="AL282" s="556"/>
      <c r="AM282" s="556"/>
      <c r="AN282" s="556"/>
      <c r="AO282" s="556"/>
      <c r="AP282" s="556"/>
      <c r="AQ282" s="556"/>
      <c r="AR282" s="556"/>
      <c r="AS282" s="556"/>
      <c r="AT282" s="556"/>
      <c r="AU282" s="556"/>
      <c r="AV282" s="556"/>
      <c r="AW282" s="556"/>
      <c r="AX282" s="556"/>
      <c r="AY282" s="556"/>
      <c r="AZ282" s="556"/>
      <c r="BA282" s="556"/>
      <c r="BB282" s="556"/>
    </row>
    <row r="283" spans="1:54" x14ac:dyDescent="0.3">
      <c r="A283" s="1673"/>
      <c r="B283" s="1673"/>
      <c r="C283" s="1673"/>
      <c r="D283" s="1673"/>
      <c r="E283" s="1673"/>
      <c r="F283" s="1673"/>
      <c r="G283" s="1673"/>
      <c r="H283" s="1673"/>
      <c r="I283" s="1673"/>
      <c r="J283" s="1673"/>
      <c r="K283" s="1673"/>
      <c r="L283" s="1673"/>
      <c r="M283" s="1673"/>
      <c r="N283" s="1673"/>
      <c r="O283" s="1673"/>
      <c r="P283" s="1673"/>
      <c r="Q283" s="1673"/>
      <c r="R283" s="1673"/>
      <c r="S283" s="1673"/>
      <c r="T283" s="1673"/>
      <c r="U283" s="1673"/>
      <c r="V283" s="1673"/>
      <c r="W283" s="1673"/>
      <c r="X283" s="1673"/>
      <c r="Y283" s="1673"/>
      <c r="Z283" s="556"/>
      <c r="AA283" s="556"/>
      <c r="AB283" s="556"/>
      <c r="AC283" s="556"/>
      <c r="AD283" s="556"/>
      <c r="AE283" s="977"/>
      <c r="AF283" s="977"/>
      <c r="AG283" s="556"/>
      <c r="AH283" s="556"/>
      <c r="AI283" s="556"/>
      <c r="AJ283" s="556"/>
      <c r="AK283" s="556"/>
      <c r="AL283" s="556"/>
      <c r="AM283" s="556"/>
      <c r="AN283" s="556"/>
      <c r="AO283" s="556"/>
      <c r="AP283" s="556"/>
      <c r="AQ283" s="556"/>
      <c r="AR283" s="556"/>
      <c r="AS283" s="556"/>
      <c r="AT283" s="556"/>
      <c r="AU283" s="556"/>
      <c r="AV283" s="556"/>
      <c r="AW283" s="556"/>
      <c r="AX283" s="556"/>
      <c r="AY283" s="556"/>
      <c r="AZ283" s="556"/>
      <c r="BA283" s="556"/>
      <c r="BB283" s="556"/>
    </row>
    <row r="284" spans="1:54" hidden="1" x14ac:dyDescent="0.3">
      <c r="A284" s="967"/>
      <c r="B284" s="968"/>
      <c r="C284" s="544"/>
      <c r="D284" s="544"/>
      <c r="E284" s="544"/>
      <c r="F284" s="544"/>
      <c r="G284" s="544"/>
      <c r="H284" s="544"/>
      <c r="I284" s="544"/>
      <c r="J284" s="544"/>
      <c r="K284" s="544"/>
      <c r="L284" s="544"/>
      <c r="M284" s="544"/>
      <c r="N284" s="544"/>
      <c r="O284" s="544"/>
      <c r="P284" s="544"/>
      <c r="Q284" s="544"/>
      <c r="R284" s="544"/>
      <c r="S284" s="544"/>
      <c r="T284" s="544"/>
      <c r="U284" s="544"/>
      <c r="V284" s="731"/>
      <c r="W284" s="731"/>
      <c r="X284" s="715" t="b">
        <v>0</v>
      </c>
      <c r="Y284" s="731"/>
      <c r="Z284" s="556"/>
      <c r="AA284" s="556"/>
      <c r="AB284" s="556"/>
      <c r="AC284" s="556"/>
      <c r="AD284" s="556"/>
      <c r="AE284" s="977"/>
      <c r="AF284" s="977"/>
      <c r="AG284" s="556"/>
      <c r="AH284" s="556"/>
      <c r="AI284" s="556"/>
      <c r="AJ284" s="556"/>
      <c r="AK284" s="556"/>
      <c r="AL284" s="556"/>
      <c r="AM284" s="556"/>
      <c r="AN284" s="556"/>
      <c r="AO284" s="556"/>
      <c r="AP284" s="556"/>
      <c r="AQ284" s="556"/>
      <c r="AR284" s="556"/>
      <c r="AS284" s="556"/>
      <c r="AT284" s="556"/>
      <c r="AU284" s="556"/>
      <c r="AV284" s="556"/>
      <c r="AW284" s="556"/>
      <c r="AX284" s="556"/>
      <c r="AY284" s="556"/>
      <c r="AZ284" s="556"/>
      <c r="BA284" s="556"/>
      <c r="BB284" s="556"/>
    </row>
    <row r="285" spans="1:54" hidden="1" x14ac:dyDescent="0.3">
      <c r="A285" s="967"/>
      <c r="B285" s="967"/>
      <c r="C285" s="544"/>
      <c r="D285" s="544"/>
      <c r="E285" s="544"/>
      <c r="F285" s="544"/>
      <c r="G285" s="544"/>
      <c r="H285" s="544"/>
      <c r="I285" s="544"/>
      <c r="J285" s="544"/>
      <c r="K285" s="544"/>
      <c r="L285" s="544"/>
      <c r="M285" s="544"/>
      <c r="N285" s="544"/>
      <c r="O285" s="544"/>
      <c r="P285" s="544"/>
      <c r="Q285" s="544"/>
      <c r="R285" s="544"/>
      <c r="S285" s="544"/>
      <c r="T285" s="544" t="str">
        <f>IF(AND(C10="Loan Type does not match I&amp;D worksheet",X285&lt;&gt;TRUE),"E","")</f>
        <v/>
      </c>
      <c r="U285" s="544"/>
      <c r="V285" s="715"/>
      <c r="W285" s="731"/>
      <c r="X285" s="715" t="b">
        <v>0</v>
      </c>
      <c r="Y285" s="731"/>
      <c r="Z285" s="556"/>
      <c r="AA285" s="556"/>
      <c r="AB285" s="556"/>
      <c r="AC285" s="556"/>
      <c r="AD285" s="556"/>
      <c r="AE285" s="977"/>
      <c r="AF285" s="977"/>
      <c r="AG285" s="556"/>
      <c r="AH285" s="556"/>
      <c r="AI285" s="556"/>
      <c r="AJ285" s="556"/>
      <c r="AK285" s="556"/>
      <c r="AL285" s="556"/>
      <c r="AM285" s="556"/>
      <c r="AN285" s="556"/>
      <c r="AO285" s="556"/>
      <c r="AP285" s="556"/>
      <c r="AQ285" s="556"/>
      <c r="AR285" s="556"/>
      <c r="AS285" s="556"/>
      <c r="AT285" s="556"/>
      <c r="AU285" s="556"/>
      <c r="AV285" s="556"/>
      <c r="AW285" s="556"/>
      <c r="AX285" s="556"/>
      <c r="AY285" s="556"/>
      <c r="AZ285" s="556"/>
      <c r="BA285" s="556"/>
      <c r="BB285" s="556"/>
    </row>
    <row r="286" spans="1:54" hidden="1" x14ac:dyDescent="0.3">
      <c r="A286" s="967"/>
      <c r="B286" s="967"/>
      <c r="C286" s="544"/>
      <c r="D286" s="544"/>
      <c r="E286" s="544"/>
      <c r="F286" s="544"/>
      <c r="G286" s="544"/>
      <c r="H286" s="544"/>
      <c r="I286" s="544"/>
      <c r="J286" s="544"/>
      <c r="K286" s="544"/>
      <c r="L286" s="544"/>
      <c r="M286" s="544"/>
      <c r="N286" s="544"/>
      <c r="O286" s="544"/>
      <c r="P286" s="544"/>
      <c r="Q286" s="544"/>
      <c r="R286" s="544"/>
      <c r="S286" s="544"/>
      <c r="T286" s="544"/>
      <c r="U286" s="544"/>
      <c r="V286" s="731"/>
      <c r="W286" s="731"/>
      <c r="X286" s="715" t="b">
        <v>0</v>
      </c>
      <c r="Y286" s="715" t="b">
        <v>0</v>
      </c>
      <c r="Z286" s="556"/>
      <c r="AA286" s="556"/>
      <c r="AB286" s="556"/>
      <c r="AC286" s="556"/>
      <c r="AD286" s="556"/>
      <c r="AE286" s="977"/>
      <c r="AF286" s="977"/>
      <c r="AG286" s="556"/>
      <c r="AH286" s="556"/>
      <c r="AI286" s="556"/>
      <c r="AJ286" s="556"/>
      <c r="AK286" s="556"/>
      <c r="AL286" s="556"/>
      <c r="AM286" s="556"/>
      <c r="AN286" s="556"/>
      <c r="AO286" s="556"/>
      <c r="AP286" s="556"/>
      <c r="AQ286" s="556"/>
      <c r="AR286" s="556"/>
      <c r="AS286" s="556"/>
      <c r="AT286" s="556"/>
      <c r="AU286" s="556"/>
      <c r="AV286" s="556"/>
      <c r="AW286" s="556"/>
      <c r="AX286" s="556"/>
      <c r="AY286" s="556"/>
      <c r="AZ286" s="556"/>
      <c r="BA286" s="556"/>
      <c r="BB286" s="556"/>
    </row>
    <row r="287" spans="1:54" ht="14.4" hidden="1" customHeight="1" x14ac:dyDescent="0.3">
      <c r="A287" s="967"/>
      <c r="B287" s="967"/>
      <c r="C287" s="544"/>
      <c r="D287" s="544"/>
      <c r="E287" s="544"/>
      <c r="F287" s="544"/>
      <c r="G287" s="544"/>
      <c r="H287" s="544"/>
      <c r="I287" s="544"/>
      <c r="J287" s="544"/>
      <c r="K287" s="544"/>
      <c r="L287" s="544"/>
      <c r="M287" s="544"/>
      <c r="N287" s="544"/>
      <c r="O287" s="544"/>
      <c r="P287" s="544"/>
      <c r="Q287" s="544"/>
      <c r="R287" s="818"/>
      <c r="S287" s="818"/>
      <c r="T287" s="818"/>
      <c r="U287" s="544"/>
      <c r="V287" s="544"/>
      <c r="W287" s="544"/>
      <c r="X287" s="544"/>
      <c r="Y287" s="544"/>
      <c r="Z287" s="556"/>
      <c r="AA287" s="556"/>
      <c r="AB287" s="556"/>
      <c r="AC287" s="556"/>
      <c r="AD287" s="556"/>
      <c r="AE287" s="977"/>
      <c r="AF287" s="977"/>
      <c r="AG287" s="556"/>
      <c r="AH287" s="556"/>
      <c r="AI287" s="556"/>
      <c r="AJ287" s="556"/>
      <c r="AK287" s="556"/>
      <c r="AL287" s="556"/>
      <c r="AM287" s="556"/>
      <c r="AN287" s="556"/>
      <c r="AO287" s="556"/>
      <c r="AP287" s="556"/>
      <c r="AQ287" s="556"/>
      <c r="AR287" s="556"/>
      <c r="AS287" s="556"/>
      <c r="AT287" s="556"/>
      <c r="AU287" s="556"/>
      <c r="AV287" s="556"/>
      <c r="AW287" s="556"/>
      <c r="AX287" s="556"/>
      <c r="AY287" s="556"/>
      <c r="AZ287" s="556"/>
      <c r="BA287" s="556"/>
      <c r="BB287" s="556"/>
    </row>
    <row r="288" spans="1:54" x14ac:dyDescent="0.3">
      <c r="A288" s="1509"/>
      <c r="B288" s="1509"/>
      <c r="Z288" s="556"/>
      <c r="AA288" s="556"/>
      <c r="AB288" s="556"/>
      <c r="AC288" s="556"/>
      <c r="AD288" s="556"/>
      <c r="AE288" s="977"/>
      <c r="AF288" s="977"/>
      <c r="AG288" s="556"/>
      <c r="AH288" s="556"/>
      <c r="AI288" s="556"/>
      <c r="AJ288" s="556"/>
      <c r="AK288" s="556"/>
      <c r="AL288" s="556"/>
      <c r="AM288" s="556"/>
      <c r="AN288" s="556"/>
      <c r="AO288" s="556"/>
      <c r="AP288" s="556"/>
      <c r="AQ288" s="556"/>
      <c r="AR288" s="556"/>
      <c r="AS288" s="556"/>
      <c r="AT288" s="556"/>
      <c r="AU288" s="556"/>
      <c r="AV288" s="556"/>
      <c r="AW288" s="556"/>
      <c r="AX288" s="556"/>
      <c r="AY288" s="556"/>
      <c r="AZ288" s="556"/>
      <c r="BA288" s="556"/>
      <c r="BB288" s="556"/>
    </row>
    <row r="289" spans="1:54" x14ac:dyDescent="0.3">
      <c r="Z289" s="556"/>
      <c r="AA289" s="556"/>
      <c r="AB289" s="556"/>
      <c r="AC289" s="556"/>
      <c r="AD289" s="556"/>
      <c r="AE289" s="977"/>
      <c r="AF289" s="977"/>
      <c r="AG289" s="556"/>
      <c r="AH289" s="556"/>
      <c r="AI289" s="556"/>
      <c r="AJ289" s="556"/>
      <c r="AK289" s="556"/>
      <c r="AL289" s="556"/>
      <c r="AM289" s="556"/>
      <c r="AN289" s="556"/>
      <c r="AO289" s="556"/>
      <c r="AP289" s="556"/>
      <c r="AQ289" s="556"/>
      <c r="AR289" s="556"/>
      <c r="AS289" s="556"/>
      <c r="AT289" s="556"/>
      <c r="AU289" s="556"/>
      <c r="AV289" s="556"/>
      <c r="AW289" s="556"/>
      <c r="AX289" s="556"/>
      <c r="AY289" s="556"/>
      <c r="AZ289" s="556"/>
      <c r="BA289" s="556"/>
      <c r="BB289" s="556"/>
    </row>
    <row r="290" spans="1:54" x14ac:dyDescent="0.3">
      <c r="Z290" s="556"/>
      <c r="AA290" s="556"/>
      <c r="AB290" s="556"/>
      <c r="AC290" s="556"/>
      <c r="AD290" s="556"/>
      <c r="AE290" s="977"/>
      <c r="AF290" s="977"/>
      <c r="AG290" s="556"/>
      <c r="AH290" s="556"/>
      <c r="AI290" s="556"/>
      <c r="AJ290" s="556"/>
      <c r="AK290" s="556"/>
      <c r="AL290" s="556"/>
      <c r="AM290" s="556"/>
      <c r="AN290" s="556"/>
      <c r="AO290" s="556"/>
      <c r="AP290" s="556"/>
      <c r="AQ290" s="556"/>
      <c r="AR290" s="556"/>
      <c r="AS290" s="556"/>
      <c r="AT290" s="556"/>
      <c r="AU290" s="556"/>
      <c r="AV290" s="556"/>
      <c r="AW290" s="556"/>
      <c r="AX290" s="556"/>
      <c r="AY290" s="556"/>
      <c r="AZ290" s="556"/>
      <c r="BA290" s="556"/>
      <c r="BB290" s="556"/>
    </row>
    <row r="291" spans="1:54" x14ac:dyDescent="0.3">
      <c r="A291" s="1522" t="str">
        <f ca="1">REPLACE(CELL("filename",A291),1,FIND("]",CELL("filename",A291)),"")</f>
        <v>Variable with Increase</v>
      </c>
      <c r="B291" s="1522"/>
      <c r="C291" s="1522"/>
      <c r="D291" s="1522"/>
      <c r="E291" s="1522"/>
      <c r="U291" s="1235" t="str">
        <f>Version</f>
        <v>Version 2026.1</v>
      </c>
      <c r="V291" s="1235"/>
      <c r="W291" s="1235"/>
      <c r="X291" s="1235"/>
      <c r="Y291" s="1235"/>
      <c r="Z291" s="556"/>
      <c r="AA291" s="556"/>
      <c r="AB291" s="1679" t="s">
        <v>1265</v>
      </c>
      <c r="AC291" s="1680"/>
      <c r="AD291" s="1680"/>
      <c r="AE291" s="1680"/>
      <c r="AF291" s="1680"/>
      <c r="AG291" s="1680"/>
      <c r="AH291" s="1680"/>
      <c r="AI291" s="1680"/>
      <c r="AJ291" s="1680"/>
      <c r="AK291" s="1680"/>
      <c r="AL291" s="1680"/>
      <c r="AM291" s="1681"/>
      <c r="AN291" s="556"/>
      <c r="AO291" s="556"/>
      <c r="AP291" s="556"/>
      <c r="AQ291" s="1685" t="s">
        <v>1266</v>
      </c>
      <c r="AR291" s="1686"/>
      <c r="AS291" s="1686"/>
      <c r="AT291" s="1686"/>
      <c r="AU291" s="1686"/>
      <c r="AV291" s="1686"/>
      <c r="AW291" s="1686"/>
      <c r="AX291" s="1686"/>
      <c r="AY291" s="1686"/>
      <c r="AZ291" s="1686"/>
      <c r="BA291" s="1686"/>
      <c r="BB291" s="1687"/>
    </row>
    <row r="292" spans="1:54" ht="69.599999999999994" customHeight="1" x14ac:dyDescent="0.3">
      <c r="Z292" s="556"/>
      <c r="AA292" s="556"/>
      <c r="AB292" s="1682"/>
      <c r="AC292" s="1683"/>
      <c r="AD292" s="1683"/>
      <c r="AE292" s="1683"/>
      <c r="AF292" s="1683"/>
      <c r="AG292" s="1683"/>
      <c r="AH292" s="1683"/>
      <c r="AI292" s="1683"/>
      <c r="AJ292" s="1683"/>
      <c r="AK292" s="1683"/>
      <c r="AL292" s="1683"/>
      <c r="AM292" s="1684"/>
      <c r="AN292" s="556"/>
      <c r="AO292" s="556"/>
      <c r="AP292" s="556"/>
      <c r="AQ292" s="1688"/>
      <c r="AR292" s="1689"/>
      <c r="AS292" s="1689"/>
      <c r="AT292" s="1689"/>
      <c r="AU292" s="1689"/>
      <c r="AV292" s="1689"/>
      <c r="AW292" s="1689"/>
      <c r="AX292" s="1689"/>
      <c r="AY292" s="1689"/>
      <c r="AZ292" s="1689"/>
      <c r="BA292" s="1689"/>
      <c r="BB292" s="1690"/>
    </row>
    <row r="293" spans="1:54" x14ac:dyDescent="0.3">
      <c r="Z293" s="556"/>
      <c r="AA293" s="556"/>
      <c r="AB293" s="1568" t="s">
        <v>1254</v>
      </c>
      <c r="AC293" s="1567"/>
      <c r="AD293" s="1567"/>
      <c r="AE293" s="1026"/>
      <c r="AF293" s="1026"/>
      <c r="AG293" s="1567" t="str">
        <f>IF($K$30="","",CONCATENATE($K$30," (YTD):"))</f>
        <v/>
      </c>
      <c r="AH293" s="1567"/>
      <c r="AI293" s="1567"/>
      <c r="AJ293" s="505"/>
      <c r="AK293" s="1562" t="str">
        <f>IF($K$30="","",CONCATENATE($K$30-1,":"))</f>
        <v/>
      </c>
      <c r="AL293" s="1562"/>
      <c r="AM293" s="1563"/>
      <c r="AN293" s="556"/>
      <c r="AO293" s="556"/>
      <c r="AP293" s="556"/>
      <c r="AQ293" s="1568" t="s">
        <v>1254</v>
      </c>
      <c r="AR293" s="1567"/>
      <c r="AS293" s="1567"/>
      <c r="AT293" s="1026"/>
      <c r="AU293" s="1026"/>
      <c r="AV293" s="1567" t="str">
        <f>IF($K$32="","",CONCATENATE($K$32," (YTD):"))</f>
        <v/>
      </c>
      <c r="AW293" s="1567"/>
      <c r="AX293" s="1567"/>
      <c r="AY293" s="505"/>
      <c r="AZ293" s="1562" t="str">
        <f>IF($K$32="","",CONCATENATE($K$32-1,":"))</f>
        <v/>
      </c>
      <c r="BA293" s="1562"/>
      <c r="BB293" s="1563"/>
    </row>
    <row r="294" spans="1:54" x14ac:dyDescent="0.3">
      <c r="Z294" s="556"/>
      <c r="AA294" s="731">
        <v>1</v>
      </c>
      <c r="AB294" s="1019" t="str">
        <f>IF(E30="","",E30)</f>
        <v/>
      </c>
      <c r="AC294" s="1019" t="str">
        <f>IF(G30="","",G30)</f>
        <v/>
      </c>
      <c r="AD294" s="1025" t="str">
        <f>IF(L30="","",IF(AC294="","",L30))</f>
        <v/>
      </c>
      <c r="AE294" s="1021" t="str">
        <f t="shared" ref="AE294:AE325" si="0">IF(AC294&lt;&gt;"",YEAR(AC294),"")</f>
        <v/>
      </c>
      <c r="AF294" s="1021"/>
      <c r="AG294" s="1019" t="str">
        <f t="shared" ref="AG294:AG325" si="1">IF(AND($AE294&lt;&gt;"",$AE294=$K$30),AB294,"")</f>
        <v/>
      </c>
      <c r="AH294" s="1019" t="str">
        <f t="shared" ref="AH294:AH325" si="2">IF(AND($AE294&lt;&gt;"",$AE294=$K$30),AC294,"")</f>
        <v/>
      </c>
      <c r="AI294" s="1018" t="str">
        <f t="shared" ref="AI294:AI325" si="3">IF(AND($AE294&lt;&gt;"",$AE294=$K$30),AD294,"")</f>
        <v/>
      </c>
      <c r="AJ294" s="1020"/>
      <c r="AK294" s="1019" t="str">
        <f t="shared" ref="AK294:AK325" si="4">IF(AE294="","",IF(AND($AE294&lt;&gt;"",$AE294=($K$30-1)),AB294,""))</f>
        <v/>
      </c>
      <c r="AL294" s="1019" t="str">
        <f t="shared" ref="AL294:AL325" si="5">IF(AE294="","",IF(AND($AE294&lt;&gt;"",$AE294=($K$30-1)),AC294,""))</f>
        <v/>
      </c>
      <c r="AM294" s="1018" t="str">
        <f t="shared" ref="AM294:AM325" si="6">IF(AE294="","",IF(AND($AE294&lt;&gt;"",$AE294=($K$30-1)),AD294,""))</f>
        <v/>
      </c>
      <c r="AN294" s="556"/>
      <c r="AO294" s="556"/>
      <c r="AP294" s="731">
        <v>1</v>
      </c>
      <c r="AQ294" s="1019" t="str">
        <f>IF(H30="","",H30)</f>
        <v/>
      </c>
      <c r="AR294" s="1019" t="str">
        <f>IF(J30="","",J30)</f>
        <v/>
      </c>
      <c r="AS294" s="1025" t="str">
        <f>IF(L30="","",IF(AR294="","",L30))</f>
        <v/>
      </c>
      <c r="AT294" s="1021" t="str">
        <f t="shared" ref="AT294:AT325" si="7">IF(AR294&lt;&gt;"",YEAR(AR294),"")</f>
        <v/>
      </c>
      <c r="AU294" s="1021"/>
      <c r="AV294" s="1019" t="str">
        <f t="shared" ref="AV294:AV325" si="8">IF(AND($AT294&lt;&gt;"",$AT294=$K$32),AQ294,"")</f>
        <v/>
      </c>
      <c r="AW294" s="1019" t="str">
        <f t="shared" ref="AW294:AW325" si="9">IF(AND($AT294&lt;&gt;"",$AT294=$K$32),AR294,"")</f>
        <v/>
      </c>
      <c r="AX294" s="1018" t="str">
        <f t="shared" ref="AX294:AX325" si="10">IF(AND($AT294&lt;&gt;"",$AT294=$K$32),AS294,"")</f>
        <v/>
      </c>
      <c r="AY294" s="1020"/>
      <c r="AZ294" s="1019" t="str">
        <f t="shared" ref="AZ294:AZ325" si="11">IF(AT294="","",IF(AND($AT294&lt;&gt;"",$AT294=($K$32-1)),AQ294,""))</f>
        <v/>
      </c>
      <c r="BA294" s="1019" t="str">
        <f t="shared" ref="BA294:BA325" si="12">IF(AT294="","",IF(AND($AT294&lt;&gt;"",$AT294=($K$32-1)),AR294,""))</f>
        <v/>
      </c>
      <c r="BB294" s="1018" t="str">
        <f t="shared" ref="BB294:BB325" si="13">IF(AT294="","",IF(AND($AT294&lt;&gt;"",$AT294=($K$32-1)),AS294,""))</f>
        <v/>
      </c>
    </row>
    <row r="295" spans="1:54" x14ac:dyDescent="0.3">
      <c r="Z295" s="556"/>
      <c r="AA295" s="731">
        <f t="shared" ref="AA295:AA326" si="14">AA294+1</f>
        <v>2</v>
      </c>
      <c r="AB295" s="1019" t="str">
        <f>IF(E32="","",E32)</f>
        <v/>
      </c>
      <c r="AC295" s="1019" t="str">
        <f>IF(G32="","",G32)</f>
        <v/>
      </c>
      <c r="AD295" s="1025" t="str">
        <f>IF(L32="","",IF(AC295="","",L32))</f>
        <v/>
      </c>
      <c r="AE295" s="1021" t="str">
        <f t="shared" si="0"/>
        <v/>
      </c>
      <c r="AF295" s="1021"/>
      <c r="AG295" s="1019" t="str">
        <f t="shared" si="1"/>
        <v/>
      </c>
      <c r="AH295" s="1019" t="str">
        <f t="shared" si="2"/>
        <v/>
      </c>
      <c r="AI295" s="1018" t="str">
        <f t="shared" si="3"/>
        <v/>
      </c>
      <c r="AJ295" s="1020"/>
      <c r="AK295" s="1019" t="str">
        <f t="shared" si="4"/>
        <v/>
      </c>
      <c r="AL295" s="1019" t="str">
        <f t="shared" si="5"/>
        <v/>
      </c>
      <c r="AM295" s="1018" t="str">
        <f t="shared" si="6"/>
        <v/>
      </c>
      <c r="AN295" s="556"/>
      <c r="AO295" s="556"/>
      <c r="AP295" s="731">
        <f t="shared" ref="AP295:AP326" si="15">AP294+1</f>
        <v>2</v>
      </c>
      <c r="AQ295" s="1019" t="str">
        <f>IF(H32="","",H32)</f>
        <v/>
      </c>
      <c r="AR295" s="1019" t="str">
        <f>IF(J32="","",J32)</f>
        <v/>
      </c>
      <c r="AS295" s="1025" t="str">
        <f>IF(L32="","",IF(AR295="","",L32))</f>
        <v/>
      </c>
      <c r="AT295" s="1021" t="str">
        <f t="shared" si="7"/>
        <v/>
      </c>
      <c r="AU295" s="1021"/>
      <c r="AV295" s="1019" t="str">
        <f t="shared" si="8"/>
        <v/>
      </c>
      <c r="AW295" s="1019" t="str">
        <f t="shared" si="9"/>
        <v/>
      </c>
      <c r="AX295" s="1018" t="str">
        <f t="shared" si="10"/>
        <v/>
      </c>
      <c r="AY295" s="1020"/>
      <c r="AZ295" s="1019" t="str">
        <f t="shared" si="11"/>
        <v/>
      </c>
      <c r="BA295" s="1019" t="str">
        <f t="shared" si="12"/>
        <v/>
      </c>
      <c r="BB295" s="1018" t="str">
        <f t="shared" si="13"/>
        <v/>
      </c>
    </row>
    <row r="296" spans="1:54" x14ac:dyDescent="0.3">
      <c r="Z296" s="556"/>
      <c r="AA296" s="731">
        <f t="shared" si="14"/>
        <v>3</v>
      </c>
      <c r="AB296" s="1019" t="str">
        <f>IF(E34="","",E34)</f>
        <v/>
      </c>
      <c r="AC296" s="1019" t="str">
        <f>IF(G34="","",G34)</f>
        <v/>
      </c>
      <c r="AD296" s="1025" t="str">
        <f>IF(L34="","",IF(AC296="","",L34))</f>
        <v/>
      </c>
      <c r="AE296" s="1021" t="str">
        <f t="shared" si="0"/>
        <v/>
      </c>
      <c r="AF296" s="1021"/>
      <c r="AG296" s="1019" t="str">
        <f t="shared" si="1"/>
        <v/>
      </c>
      <c r="AH296" s="1019" t="str">
        <f t="shared" si="2"/>
        <v/>
      </c>
      <c r="AI296" s="1018" t="str">
        <f t="shared" si="3"/>
        <v/>
      </c>
      <c r="AJ296" s="1020"/>
      <c r="AK296" s="1019" t="str">
        <f t="shared" si="4"/>
        <v/>
      </c>
      <c r="AL296" s="1019" t="str">
        <f t="shared" si="5"/>
        <v/>
      </c>
      <c r="AM296" s="1018" t="str">
        <f t="shared" si="6"/>
        <v/>
      </c>
      <c r="AN296" s="556"/>
      <c r="AO296" s="556"/>
      <c r="AP296" s="731">
        <f t="shared" si="15"/>
        <v>3</v>
      </c>
      <c r="AQ296" s="1019" t="str">
        <f>IF(H34="","",H34)</f>
        <v/>
      </c>
      <c r="AR296" s="1019" t="str">
        <f>IF(J34="","",J34)</f>
        <v/>
      </c>
      <c r="AS296" s="1025" t="str">
        <f>IF(L34="","",IF(AR296="","",L34))</f>
        <v/>
      </c>
      <c r="AT296" s="1021" t="str">
        <f t="shared" si="7"/>
        <v/>
      </c>
      <c r="AU296" s="1021"/>
      <c r="AV296" s="1019" t="str">
        <f t="shared" si="8"/>
        <v/>
      </c>
      <c r="AW296" s="1019" t="str">
        <f t="shared" si="9"/>
        <v/>
      </c>
      <c r="AX296" s="1018" t="str">
        <f t="shared" si="10"/>
        <v/>
      </c>
      <c r="AY296" s="1020"/>
      <c r="AZ296" s="1019" t="str">
        <f t="shared" si="11"/>
        <v/>
      </c>
      <c r="BA296" s="1019" t="str">
        <f t="shared" si="12"/>
        <v/>
      </c>
      <c r="BB296" s="1018" t="str">
        <f t="shared" si="13"/>
        <v/>
      </c>
    </row>
    <row r="297" spans="1:54" x14ac:dyDescent="0.3">
      <c r="Z297" s="556"/>
      <c r="AA297" s="731">
        <f t="shared" si="14"/>
        <v>4</v>
      </c>
      <c r="AB297" s="1019" t="str">
        <f>IF(E36="","",E36)</f>
        <v/>
      </c>
      <c r="AC297" s="1019" t="str">
        <f>IF(G36="","",G36)</f>
        <v/>
      </c>
      <c r="AD297" s="1025" t="str">
        <f>IF(L36="","",IF(AC297="","",L36))</f>
        <v/>
      </c>
      <c r="AE297" s="1021" t="str">
        <f t="shared" si="0"/>
        <v/>
      </c>
      <c r="AF297" s="1021"/>
      <c r="AG297" s="1019" t="str">
        <f t="shared" si="1"/>
        <v/>
      </c>
      <c r="AH297" s="1019" t="str">
        <f t="shared" si="2"/>
        <v/>
      </c>
      <c r="AI297" s="1018" t="str">
        <f t="shared" si="3"/>
        <v/>
      </c>
      <c r="AJ297" s="1020"/>
      <c r="AK297" s="1019" t="str">
        <f t="shared" si="4"/>
        <v/>
      </c>
      <c r="AL297" s="1019" t="str">
        <f t="shared" si="5"/>
        <v/>
      </c>
      <c r="AM297" s="1018" t="str">
        <f t="shared" si="6"/>
        <v/>
      </c>
      <c r="AN297" s="556"/>
      <c r="AO297" s="556"/>
      <c r="AP297" s="731">
        <f t="shared" si="15"/>
        <v>4</v>
      </c>
      <c r="AQ297" s="1019" t="str">
        <f>IF(H36="","",H36)</f>
        <v/>
      </c>
      <c r="AR297" s="1019" t="str">
        <f>IF(J36="","",J36)</f>
        <v/>
      </c>
      <c r="AS297" s="1025" t="str">
        <f>IF(L36="","",IF(AR297="","",L36))</f>
        <v/>
      </c>
      <c r="AT297" s="1021" t="str">
        <f t="shared" si="7"/>
        <v/>
      </c>
      <c r="AU297" s="1021"/>
      <c r="AV297" s="1019" t="str">
        <f t="shared" si="8"/>
        <v/>
      </c>
      <c r="AW297" s="1019" t="str">
        <f t="shared" si="9"/>
        <v/>
      </c>
      <c r="AX297" s="1018" t="str">
        <f t="shared" si="10"/>
        <v/>
      </c>
      <c r="AY297" s="1020"/>
      <c r="AZ297" s="1019" t="str">
        <f t="shared" si="11"/>
        <v/>
      </c>
      <c r="BA297" s="1019" t="str">
        <f t="shared" si="12"/>
        <v/>
      </c>
      <c r="BB297" s="1018" t="str">
        <f t="shared" si="13"/>
        <v/>
      </c>
    </row>
    <row r="298" spans="1:54" x14ac:dyDescent="0.3">
      <c r="Z298" s="556"/>
      <c r="AA298" s="731">
        <f t="shared" si="14"/>
        <v>5</v>
      </c>
      <c r="AB298" s="1019" t="str">
        <f>IF(E38="","",E38)</f>
        <v/>
      </c>
      <c r="AC298" s="1019" t="str">
        <f>IF(G38="","",G38)</f>
        <v/>
      </c>
      <c r="AD298" s="1025" t="str">
        <f>IF(L38="","",IF(AC298="","",L38))</f>
        <v/>
      </c>
      <c r="AE298" s="1021" t="str">
        <f t="shared" si="0"/>
        <v/>
      </c>
      <c r="AF298" s="1021"/>
      <c r="AG298" s="1019" t="str">
        <f t="shared" si="1"/>
        <v/>
      </c>
      <c r="AH298" s="1019" t="str">
        <f t="shared" si="2"/>
        <v/>
      </c>
      <c r="AI298" s="1018" t="str">
        <f t="shared" si="3"/>
        <v/>
      </c>
      <c r="AJ298" s="1020"/>
      <c r="AK298" s="1019" t="str">
        <f t="shared" si="4"/>
        <v/>
      </c>
      <c r="AL298" s="1019" t="str">
        <f t="shared" si="5"/>
        <v/>
      </c>
      <c r="AM298" s="1018" t="str">
        <f t="shared" si="6"/>
        <v/>
      </c>
      <c r="AN298" s="556"/>
      <c r="AO298" s="556"/>
      <c r="AP298" s="731">
        <f t="shared" si="15"/>
        <v>5</v>
      </c>
      <c r="AQ298" s="1019" t="str">
        <f>IF(H38="","",H38)</f>
        <v/>
      </c>
      <c r="AR298" s="1019" t="str">
        <f>IF(J38="","",J38)</f>
        <v/>
      </c>
      <c r="AS298" s="1025" t="str">
        <f>IF(L38="","",IF(AR298="","",L38))</f>
        <v/>
      </c>
      <c r="AT298" s="1021" t="str">
        <f t="shared" si="7"/>
        <v/>
      </c>
      <c r="AU298" s="1021"/>
      <c r="AV298" s="1019" t="str">
        <f t="shared" si="8"/>
        <v/>
      </c>
      <c r="AW298" s="1019" t="str">
        <f t="shared" si="9"/>
        <v/>
      </c>
      <c r="AX298" s="1018" t="str">
        <f t="shared" si="10"/>
        <v/>
      </c>
      <c r="AY298" s="1020"/>
      <c r="AZ298" s="1019" t="str">
        <f t="shared" si="11"/>
        <v/>
      </c>
      <c r="BA298" s="1019" t="str">
        <f t="shared" si="12"/>
        <v/>
      </c>
      <c r="BB298" s="1018" t="str">
        <f t="shared" si="13"/>
        <v/>
      </c>
    </row>
    <row r="299" spans="1:54" x14ac:dyDescent="0.3">
      <c r="Z299" s="556"/>
      <c r="AA299" s="731">
        <f t="shared" si="14"/>
        <v>6</v>
      </c>
      <c r="AB299" s="1019" t="str">
        <f>IF(E40="","",E40)</f>
        <v/>
      </c>
      <c r="AC299" s="1019" t="str">
        <f>IF(G40="","",G40)</f>
        <v/>
      </c>
      <c r="AD299" s="1025" t="str">
        <f>IF(L40="","",IF(AC299="","",L40))</f>
        <v/>
      </c>
      <c r="AE299" s="1021" t="str">
        <f t="shared" si="0"/>
        <v/>
      </c>
      <c r="AF299" s="1021"/>
      <c r="AG299" s="1019" t="str">
        <f t="shared" si="1"/>
        <v/>
      </c>
      <c r="AH299" s="1019" t="str">
        <f t="shared" si="2"/>
        <v/>
      </c>
      <c r="AI299" s="1018" t="str">
        <f t="shared" si="3"/>
        <v/>
      </c>
      <c r="AJ299" s="1020"/>
      <c r="AK299" s="1019" t="str">
        <f t="shared" si="4"/>
        <v/>
      </c>
      <c r="AL299" s="1019" t="str">
        <f t="shared" si="5"/>
        <v/>
      </c>
      <c r="AM299" s="1018" t="str">
        <f t="shared" si="6"/>
        <v/>
      </c>
      <c r="AN299" s="556"/>
      <c r="AO299" s="556"/>
      <c r="AP299" s="731">
        <f t="shared" si="15"/>
        <v>6</v>
      </c>
      <c r="AQ299" s="1019" t="str">
        <f>IF(H40="","",H40)</f>
        <v/>
      </c>
      <c r="AR299" s="1019" t="str">
        <f>IF(J40="","",J40)</f>
        <v/>
      </c>
      <c r="AS299" s="1025" t="str">
        <f>IF(L40="","",IF(AR299="","",L40))</f>
        <v/>
      </c>
      <c r="AT299" s="1021" t="str">
        <f t="shared" si="7"/>
        <v/>
      </c>
      <c r="AU299" s="1021"/>
      <c r="AV299" s="1019" t="str">
        <f t="shared" si="8"/>
        <v/>
      </c>
      <c r="AW299" s="1019" t="str">
        <f t="shared" si="9"/>
        <v/>
      </c>
      <c r="AX299" s="1018" t="str">
        <f t="shared" si="10"/>
        <v/>
      </c>
      <c r="AY299" s="1020"/>
      <c r="AZ299" s="1019" t="str">
        <f t="shared" si="11"/>
        <v/>
      </c>
      <c r="BA299" s="1019" t="str">
        <f t="shared" si="12"/>
        <v/>
      </c>
      <c r="BB299" s="1018" t="str">
        <f t="shared" si="13"/>
        <v/>
      </c>
    </row>
    <row r="300" spans="1:54" x14ac:dyDescent="0.3">
      <c r="Z300" s="556"/>
      <c r="AA300" s="731">
        <f t="shared" si="14"/>
        <v>7</v>
      </c>
      <c r="AB300" s="1019" t="str">
        <f>IF(E42="","",E42)</f>
        <v/>
      </c>
      <c r="AC300" s="1019" t="str">
        <f>IF(G42="","",G42)</f>
        <v/>
      </c>
      <c r="AD300" s="1025" t="str">
        <f>IF(L42="","",IF(AC300="","",L42))</f>
        <v/>
      </c>
      <c r="AE300" s="1021" t="str">
        <f t="shared" si="0"/>
        <v/>
      </c>
      <c r="AF300" s="1021"/>
      <c r="AG300" s="1019" t="str">
        <f t="shared" si="1"/>
        <v/>
      </c>
      <c r="AH300" s="1019" t="str">
        <f t="shared" si="2"/>
        <v/>
      </c>
      <c r="AI300" s="1018" t="str">
        <f t="shared" si="3"/>
        <v/>
      </c>
      <c r="AJ300" s="1020"/>
      <c r="AK300" s="1019" t="str">
        <f t="shared" si="4"/>
        <v/>
      </c>
      <c r="AL300" s="1019" t="str">
        <f t="shared" si="5"/>
        <v/>
      </c>
      <c r="AM300" s="1018" t="str">
        <f t="shared" si="6"/>
        <v/>
      </c>
      <c r="AN300" s="556"/>
      <c r="AO300" s="556"/>
      <c r="AP300" s="731">
        <f t="shared" si="15"/>
        <v>7</v>
      </c>
      <c r="AQ300" s="1019" t="str">
        <f>IF(H42="","",H42)</f>
        <v/>
      </c>
      <c r="AR300" s="1019" t="str">
        <f>IF(J42="","",J42)</f>
        <v/>
      </c>
      <c r="AS300" s="1025" t="str">
        <f>IF(L42="","",IF(AR300="","",L42))</f>
        <v/>
      </c>
      <c r="AT300" s="1021" t="str">
        <f t="shared" si="7"/>
        <v/>
      </c>
      <c r="AU300" s="1021"/>
      <c r="AV300" s="1019" t="str">
        <f t="shared" si="8"/>
        <v/>
      </c>
      <c r="AW300" s="1019" t="str">
        <f t="shared" si="9"/>
        <v/>
      </c>
      <c r="AX300" s="1018" t="str">
        <f t="shared" si="10"/>
        <v/>
      </c>
      <c r="AY300" s="1020"/>
      <c r="AZ300" s="1019" t="str">
        <f t="shared" si="11"/>
        <v/>
      </c>
      <c r="BA300" s="1019" t="str">
        <f t="shared" si="12"/>
        <v/>
      </c>
      <c r="BB300" s="1018" t="str">
        <f t="shared" si="13"/>
        <v/>
      </c>
    </row>
    <row r="301" spans="1:54" x14ac:dyDescent="0.3">
      <c r="Z301" s="556"/>
      <c r="AA301" s="731">
        <f t="shared" si="14"/>
        <v>8</v>
      </c>
      <c r="AB301" s="1019" t="str">
        <f>IF(E44="","",E44)</f>
        <v/>
      </c>
      <c r="AC301" s="1019" t="str">
        <f>IF(G44="","",G44)</f>
        <v/>
      </c>
      <c r="AD301" s="1025" t="str">
        <f>IF(L44="","",IF(AC301="","",L44))</f>
        <v/>
      </c>
      <c r="AE301" s="1021" t="str">
        <f t="shared" si="0"/>
        <v/>
      </c>
      <c r="AF301" s="1021"/>
      <c r="AG301" s="1019" t="str">
        <f t="shared" si="1"/>
        <v/>
      </c>
      <c r="AH301" s="1019" t="str">
        <f t="shared" si="2"/>
        <v/>
      </c>
      <c r="AI301" s="1018" t="str">
        <f t="shared" si="3"/>
        <v/>
      </c>
      <c r="AJ301" s="1020"/>
      <c r="AK301" s="1019" t="str">
        <f t="shared" si="4"/>
        <v/>
      </c>
      <c r="AL301" s="1019" t="str">
        <f t="shared" si="5"/>
        <v/>
      </c>
      <c r="AM301" s="1018" t="str">
        <f t="shared" si="6"/>
        <v/>
      </c>
      <c r="AN301" s="556"/>
      <c r="AO301" s="556"/>
      <c r="AP301" s="731">
        <f t="shared" si="15"/>
        <v>8</v>
      </c>
      <c r="AQ301" s="1019" t="str">
        <f>IF(H44="","",H44)</f>
        <v/>
      </c>
      <c r="AR301" s="1019" t="str">
        <f>IF(J44="","",J44)</f>
        <v/>
      </c>
      <c r="AS301" s="1025" t="str">
        <f>IF(L44="","",IF(AR301="","",L44))</f>
        <v/>
      </c>
      <c r="AT301" s="1021" t="str">
        <f t="shared" si="7"/>
        <v/>
      </c>
      <c r="AU301" s="1021"/>
      <c r="AV301" s="1019" t="str">
        <f t="shared" si="8"/>
        <v/>
      </c>
      <c r="AW301" s="1019" t="str">
        <f t="shared" si="9"/>
        <v/>
      </c>
      <c r="AX301" s="1018" t="str">
        <f t="shared" si="10"/>
        <v/>
      </c>
      <c r="AY301" s="1020"/>
      <c r="AZ301" s="1019" t="str">
        <f t="shared" si="11"/>
        <v/>
      </c>
      <c r="BA301" s="1019" t="str">
        <f t="shared" si="12"/>
        <v/>
      </c>
      <c r="BB301" s="1018" t="str">
        <f t="shared" si="13"/>
        <v/>
      </c>
    </row>
    <row r="302" spans="1:54" x14ac:dyDescent="0.3">
      <c r="Z302" s="556"/>
      <c r="AA302" s="731">
        <f t="shared" si="14"/>
        <v>9</v>
      </c>
      <c r="AB302" s="1019" t="str">
        <f>IF(E46="","",E46)</f>
        <v/>
      </c>
      <c r="AC302" s="1019" t="str">
        <f>IF(G46="","",G46)</f>
        <v/>
      </c>
      <c r="AD302" s="1025" t="str">
        <f>IF(L46="","",IF(AC302="","",L46))</f>
        <v/>
      </c>
      <c r="AE302" s="1021" t="str">
        <f t="shared" si="0"/>
        <v/>
      </c>
      <c r="AF302" s="1021"/>
      <c r="AG302" s="1019" t="str">
        <f t="shared" si="1"/>
        <v/>
      </c>
      <c r="AH302" s="1019" t="str">
        <f t="shared" si="2"/>
        <v/>
      </c>
      <c r="AI302" s="1018" t="str">
        <f t="shared" si="3"/>
        <v/>
      </c>
      <c r="AJ302" s="1020"/>
      <c r="AK302" s="1019" t="str">
        <f t="shared" si="4"/>
        <v/>
      </c>
      <c r="AL302" s="1019" t="str">
        <f t="shared" si="5"/>
        <v/>
      </c>
      <c r="AM302" s="1018" t="str">
        <f t="shared" si="6"/>
        <v/>
      </c>
      <c r="AN302" s="556"/>
      <c r="AO302" s="556"/>
      <c r="AP302" s="731">
        <f t="shared" si="15"/>
        <v>9</v>
      </c>
      <c r="AQ302" s="1019" t="str">
        <f>IF(H46="","",H46)</f>
        <v/>
      </c>
      <c r="AR302" s="1019" t="str">
        <f>IF(J46="","",J46)</f>
        <v/>
      </c>
      <c r="AS302" s="1025" t="str">
        <f>IF(L46="","",IF(AR302="","",L46))</f>
        <v/>
      </c>
      <c r="AT302" s="1021" t="str">
        <f t="shared" si="7"/>
        <v/>
      </c>
      <c r="AU302" s="1021"/>
      <c r="AV302" s="1019" t="str">
        <f t="shared" si="8"/>
        <v/>
      </c>
      <c r="AW302" s="1019" t="str">
        <f t="shared" si="9"/>
        <v/>
      </c>
      <c r="AX302" s="1018" t="str">
        <f t="shared" si="10"/>
        <v/>
      </c>
      <c r="AY302" s="1020"/>
      <c r="AZ302" s="1019" t="str">
        <f t="shared" si="11"/>
        <v/>
      </c>
      <c r="BA302" s="1019" t="str">
        <f t="shared" si="12"/>
        <v/>
      </c>
      <c r="BB302" s="1018" t="str">
        <f t="shared" si="13"/>
        <v/>
      </c>
    </row>
    <row r="303" spans="1:54" x14ac:dyDescent="0.3">
      <c r="Z303" s="556"/>
      <c r="AA303" s="731">
        <f t="shared" si="14"/>
        <v>10</v>
      </c>
      <c r="AB303" s="1019" t="str">
        <f>IF(E48="","",E48)</f>
        <v/>
      </c>
      <c r="AC303" s="1019" t="str">
        <f>IF(G48="","",G48)</f>
        <v/>
      </c>
      <c r="AD303" s="1025" t="str">
        <f>IF(L48="","",IF(AC303="","",L48))</f>
        <v/>
      </c>
      <c r="AE303" s="1021" t="str">
        <f t="shared" si="0"/>
        <v/>
      </c>
      <c r="AF303" s="1021"/>
      <c r="AG303" s="1019" t="str">
        <f t="shared" si="1"/>
        <v/>
      </c>
      <c r="AH303" s="1019" t="str">
        <f t="shared" si="2"/>
        <v/>
      </c>
      <c r="AI303" s="1018" t="str">
        <f t="shared" si="3"/>
        <v/>
      </c>
      <c r="AJ303" s="1020"/>
      <c r="AK303" s="1019" t="str">
        <f t="shared" si="4"/>
        <v/>
      </c>
      <c r="AL303" s="1019" t="str">
        <f t="shared" si="5"/>
        <v/>
      </c>
      <c r="AM303" s="1018" t="str">
        <f t="shared" si="6"/>
        <v/>
      </c>
      <c r="AN303" s="556"/>
      <c r="AO303" s="556"/>
      <c r="AP303" s="731">
        <f t="shared" si="15"/>
        <v>10</v>
      </c>
      <c r="AQ303" s="1019" t="str">
        <f>IF(H48="","",H48)</f>
        <v/>
      </c>
      <c r="AR303" s="1019" t="str">
        <f>IF(J48="","",J48)</f>
        <v/>
      </c>
      <c r="AS303" s="1025" t="str">
        <f>IF(L48="","",IF(AR303="","",L48))</f>
        <v/>
      </c>
      <c r="AT303" s="1021" t="str">
        <f t="shared" si="7"/>
        <v/>
      </c>
      <c r="AU303" s="1021"/>
      <c r="AV303" s="1019" t="str">
        <f t="shared" si="8"/>
        <v/>
      </c>
      <c r="AW303" s="1019" t="str">
        <f t="shared" si="9"/>
        <v/>
      </c>
      <c r="AX303" s="1018" t="str">
        <f t="shared" si="10"/>
        <v/>
      </c>
      <c r="AY303" s="1020"/>
      <c r="AZ303" s="1019" t="str">
        <f t="shared" si="11"/>
        <v/>
      </c>
      <c r="BA303" s="1019" t="str">
        <f t="shared" si="12"/>
        <v/>
      </c>
      <c r="BB303" s="1018" t="str">
        <f t="shared" si="13"/>
        <v/>
      </c>
    </row>
    <row r="304" spans="1:54" x14ac:dyDescent="0.3">
      <c r="Z304" s="556"/>
      <c r="AA304" s="731">
        <f t="shared" si="14"/>
        <v>11</v>
      </c>
      <c r="AB304" s="1019" t="str">
        <f>IF(E50="","",E50)</f>
        <v/>
      </c>
      <c r="AC304" s="1019" t="str">
        <f>IF(G50="","",G50)</f>
        <v/>
      </c>
      <c r="AD304" s="1025" t="str">
        <f>IF(L50="","",IF(AC304="","",L50))</f>
        <v/>
      </c>
      <c r="AE304" s="1021" t="str">
        <f t="shared" si="0"/>
        <v/>
      </c>
      <c r="AF304" s="1021"/>
      <c r="AG304" s="1019" t="str">
        <f t="shared" si="1"/>
        <v/>
      </c>
      <c r="AH304" s="1019" t="str">
        <f t="shared" si="2"/>
        <v/>
      </c>
      <c r="AI304" s="1018" t="str">
        <f t="shared" si="3"/>
        <v/>
      </c>
      <c r="AJ304" s="1020"/>
      <c r="AK304" s="1019" t="str">
        <f t="shared" si="4"/>
        <v/>
      </c>
      <c r="AL304" s="1019" t="str">
        <f t="shared" si="5"/>
        <v/>
      </c>
      <c r="AM304" s="1018" t="str">
        <f t="shared" si="6"/>
        <v/>
      </c>
      <c r="AN304" s="556"/>
      <c r="AO304" s="556"/>
      <c r="AP304" s="731">
        <f t="shared" si="15"/>
        <v>11</v>
      </c>
      <c r="AQ304" s="1019" t="str">
        <f>IF(H50="","",H50)</f>
        <v/>
      </c>
      <c r="AR304" s="1019" t="str">
        <f>IF(J50="","",J50)</f>
        <v/>
      </c>
      <c r="AS304" s="1025" t="str">
        <f>IF(L50="","",IF(AR304="","",L50))</f>
        <v/>
      </c>
      <c r="AT304" s="1021" t="str">
        <f t="shared" si="7"/>
        <v/>
      </c>
      <c r="AU304" s="1021"/>
      <c r="AV304" s="1019" t="str">
        <f t="shared" si="8"/>
        <v/>
      </c>
      <c r="AW304" s="1019" t="str">
        <f t="shared" si="9"/>
        <v/>
      </c>
      <c r="AX304" s="1018" t="str">
        <f t="shared" si="10"/>
        <v/>
      </c>
      <c r="AY304" s="1020"/>
      <c r="AZ304" s="1019" t="str">
        <f t="shared" si="11"/>
        <v/>
      </c>
      <c r="BA304" s="1019" t="str">
        <f t="shared" si="12"/>
        <v/>
      </c>
      <c r="BB304" s="1018" t="str">
        <f t="shared" si="13"/>
        <v/>
      </c>
    </row>
    <row r="305" spans="26:54" x14ac:dyDescent="0.3">
      <c r="Z305" s="556"/>
      <c r="AA305" s="731">
        <f t="shared" si="14"/>
        <v>12</v>
      </c>
      <c r="AB305" s="1019" t="str">
        <f>IF(E52="","",E52)</f>
        <v/>
      </c>
      <c r="AC305" s="1019" t="str">
        <f>IF(G52="","",G52)</f>
        <v/>
      </c>
      <c r="AD305" s="1025" t="str">
        <f>IF(L52="","",IF(AC305="","",L52))</f>
        <v/>
      </c>
      <c r="AE305" s="1021" t="str">
        <f t="shared" si="0"/>
        <v/>
      </c>
      <c r="AF305" s="1021"/>
      <c r="AG305" s="1019" t="str">
        <f t="shared" si="1"/>
        <v/>
      </c>
      <c r="AH305" s="1019" t="str">
        <f t="shared" si="2"/>
        <v/>
      </c>
      <c r="AI305" s="1018" t="str">
        <f t="shared" si="3"/>
        <v/>
      </c>
      <c r="AJ305" s="1020"/>
      <c r="AK305" s="1019" t="str">
        <f t="shared" si="4"/>
        <v/>
      </c>
      <c r="AL305" s="1019" t="str">
        <f t="shared" si="5"/>
        <v/>
      </c>
      <c r="AM305" s="1018" t="str">
        <f t="shared" si="6"/>
        <v/>
      </c>
      <c r="AN305" s="556"/>
      <c r="AO305" s="556"/>
      <c r="AP305" s="731">
        <f t="shared" si="15"/>
        <v>12</v>
      </c>
      <c r="AQ305" s="1019" t="str">
        <f>IF(H52="","",H52)</f>
        <v/>
      </c>
      <c r="AR305" s="1019" t="str">
        <f>IF(J52="","",J52)</f>
        <v/>
      </c>
      <c r="AS305" s="1025" t="str">
        <f>IF(L52="","",IF(AR305="","",L52))</f>
        <v/>
      </c>
      <c r="AT305" s="1021" t="str">
        <f t="shared" si="7"/>
        <v/>
      </c>
      <c r="AU305" s="1021"/>
      <c r="AV305" s="1019" t="str">
        <f t="shared" si="8"/>
        <v/>
      </c>
      <c r="AW305" s="1019" t="str">
        <f t="shared" si="9"/>
        <v/>
      </c>
      <c r="AX305" s="1018" t="str">
        <f t="shared" si="10"/>
        <v/>
      </c>
      <c r="AY305" s="1020"/>
      <c r="AZ305" s="1019" t="str">
        <f t="shared" si="11"/>
        <v/>
      </c>
      <c r="BA305" s="1019" t="str">
        <f t="shared" si="12"/>
        <v/>
      </c>
      <c r="BB305" s="1018" t="str">
        <f t="shared" si="13"/>
        <v/>
      </c>
    </row>
    <row r="306" spans="26:54" x14ac:dyDescent="0.3">
      <c r="Z306" s="556"/>
      <c r="AA306" s="731">
        <f t="shared" si="14"/>
        <v>13</v>
      </c>
      <c r="AB306" s="1019" t="str">
        <f>IF(E54="","",E54)</f>
        <v/>
      </c>
      <c r="AC306" s="1019" t="str">
        <f>IF(G54="","",G54)</f>
        <v/>
      </c>
      <c r="AD306" s="1025" t="str">
        <f>IF(L54="","",IF(AC306="","",L54))</f>
        <v/>
      </c>
      <c r="AE306" s="1021" t="str">
        <f t="shared" si="0"/>
        <v/>
      </c>
      <c r="AF306" s="1021"/>
      <c r="AG306" s="1019" t="str">
        <f t="shared" si="1"/>
        <v/>
      </c>
      <c r="AH306" s="1019" t="str">
        <f t="shared" si="2"/>
        <v/>
      </c>
      <c r="AI306" s="1018" t="str">
        <f t="shared" si="3"/>
        <v/>
      </c>
      <c r="AJ306" s="1020"/>
      <c r="AK306" s="1019" t="str">
        <f t="shared" si="4"/>
        <v/>
      </c>
      <c r="AL306" s="1019" t="str">
        <f t="shared" si="5"/>
        <v/>
      </c>
      <c r="AM306" s="1018" t="str">
        <f t="shared" si="6"/>
        <v/>
      </c>
      <c r="AN306" s="556"/>
      <c r="AO306" s="556"/>
      <c r="AP306" s="731">
        <f t="shared" si="15"/>
        <v>13</v>
      </c>
      <c r="AQ306" s="1019" t="str">
        <f>IF(H54="","",H54)</f>
        <v/>
      </c>
      <c r="AR306" s="1019" t="str">
        <f>IF(J54="","",J54)</f>
        <v/>
      </c>
      <c r="AS306" s="1025" t="str">
        <f>IF(L54="","",IF(AR306="","",L54))</f>
        <v/>
      </c>
      <c r="AT306" s="1021" t="str">
        <f t="shared" si="7"/>
        <v/>
      </c>
      <c r="AU306" s="1021"/>
      <c r="AV306" s="1019" t="str">
        <f t="shared" si="8"/>
        <v/>
      </c>
      <c r="AW306" s="1019" t="str">
        <f t="shared" si="9"/>
        <v/>
      </c>
      <c r="AX306" s="1018" t="str">
        <f t="shared" si="10"/>
        <v/>
      </c>
      <c r="AY306" s="1020"/>
      <c r="AZ306" s="1019" t="str">
        <f t="shared" si="11"/>
        <v/>
      </c>
      <c r="BA306" s="1019" t="str">
        <f t="shared" si="12"/>
        <v/>
      </c>
      <c r="BB306" s="1018" t="str">
        <f t="shared" si="13"/>
        <v/>
      </c>
    </row>
    <row r="307" spans="26:54" x14ac:dyDescent="0.3">
      <c r="Z307" s="556"/>
      <c r="AA307" s="731">
        <f t="shared" si="14"/>
        <v>14</v>
      </c>
      <c r="AB307" s="1019" t="str">
        <f>IF(E56="","",E56)</f>
        <v/>
      </c>
      <c r="AC307" s="1019" t="str">
        <f>IF(G56="","",G56)</f>
        <v/>
      </c>
      <c r="AD307" s="1025" t="str">
        <f>IF(L56="","",IF(AC307="","",L56))</f>
        <v/>
      </c>
      <c r="AE307" s="1021" t="str">
        <f t="shared" si="0"/>
        <v/>
      </c>
      <c r="AF307" s="1021"/>
      <c r="AG307" s="1019" t="str">
        <f t="shared" si="1"/>
        <v/>
      </c>
      <c r="AH307" s="1019" t="str">
        <f t="shared" si="2"/>
        <v/>
      </c>
      <c r="AI307" s="1018" t="str">
        <f t="shared" si="3"/>
        <v/>
      </c>
      <c r="AJ307" s="1020"/>
      <c r="AK307" s="1019" t="str">
        <f t="shared" si="4"/>
        <v/>
      </c>
      <c r="AL307" s="1019" t="str">
        <f t="shared" si="5"/>
        <v/>
      </c>
      <c r="AM307" s="1018" t="str">
        <f t="shared" si="6"/>
        <v/>
      </c>
      <c r="AN307" s="556"/>
      <c r="AO307" s="556"/>
      <c r="AP307" s="731">
        <f t="shared" si="15"/>
        <v>14</v>
      </c>
      <c r="AQ307" s="1019" t="str">
        <f>IF(H56="","",H56)</f>
        <v/>
      </c>
      <c r="AR307" s="1019" t="str">
        <f>IF(J56="","",J56)</f>
        <v/>
      </c>
      <c r="AS307" s="1025" t="str">
        <f>IF(L56="","",IF(AR307="","",L56))</f>
        <v/>
      </c>
      <c r="AT307" s="1021" t="str">
        <f t="shared" si="7"/>
        <v/>
      </c>
      <c r="AU307" s="1021"/>
      <c r="AV307" s="1019" t="str">
        <f t="shared" si="8"/>
        <v/>
      </c>
      <c r="AW307" s="1019" t="str">
        <f t="shared" si="9"/>
        <v/>
      </c>
      <c r="AX307" s="1018" t="str">
        <f t="shared" si="10"/>
        <v/>
      </c>
      <c r="AY307" s="1020"/>
      <c r="AZ307" s="1019" t="str">
        <f t="shared" si="11"/>
        <v/>
      </c>
      <c r="BA307" s="1019" t="str">
        <f t="shared" si="12"/>
        <v/>
      </c>
      <c r="BB307" s="1018" t="str">
        <f t="shared" si="13"/>
        <v/>
      </c>
    </row>
    <row r="308" spans="26:54" x14ac:dyDescent="0.3">
      <c r="Z308" s="556"/>
      <c r="AA308" s="731">
        <f t="shared" si="14"/>
        <v>15</v>
      </c>
      <c r="AB308" s="1019" t="str">
        <f>IF(E58="","",E58)</f>
        <v/>
      </c>
      <c r="AC308" s="1019" t="str">
        <f>IF(G58="","",G58)</f>
        <v/>
      </c>
      <c r="AD308" s="1025" t="str">
        <f>IF(L58="","",IF(AC308="","",L58))</f>
        <v/>
      </c>
      <c r="AE308" s="1021" t="str">
        <f t="shared" si="0"/>
        <v/>
      </c>
      <c r="AF308" s="1021"/>
      <c r="AG308" s="1019" t="str">
        <f t="shared" si="1"/>
        <v/>
      </c>
      <c r="AH308" s="1019" t="str">
        <f t="shared" si="2"/>
        <v/>
      </c>
      <c r="AI308" s="1018" t="str">
        <f t="shared" si="3"/>
        <v/>
      </c>
      <c r="AJ308" s="1020"/>
      <c r="AK308" s="1019" t="str">
        <f t="shared" si="4"/>
        <v/>
      </c>
      <c r="AL308" s="1019" t="str">
        <f t="shared" si="5"/>
        <v/>
      </c>
      <c r="AM308" s="1018" t="str">
        <f t="shared" si="6"/>
        <v/>
      </c>
      <c r="AN308" s="556"/>
      <c r="AO308" s="556"/>
      <c r="AP308" s="731">
        <f t="shared" si="15"/>
        <v>15</v>
      </c>
      <c r="AQ308" s="1019" t="str">
        <f>IF(H58="","",H58)</f>
        <v/>
      </c>
      <c r="AR308" s="1019" t="str">
        <f>IF(J58="","",J58)</f>
        <v/>
      </c>
      <c r="AS308" s="1025" t="str">
        <f>IF(L58="","",IF(AR308="","",L58))</f>
        <v/>
      </c>
      <c r="AT308" s="1021" t="str">
        <f t="shared" si="7"/>
        <v/>
      </c>
      <c r="AU308" s="1021"/>
      <c r="AV308" s="1019" t="str">
        <f t="shared" si="8"/>
        <v/>
      </c>
      <c r="AW308" s="1019" t="str">
        <f t="shared" si="9"/>
        <v/>
      </c>
      <c r="AX308" s="1018" t="str">
        <f t="shared" si="10"/>
        <v/>
      </c>
      <c r="AY308" s="1020"/>
      <c r="AZ308" s="1019" t="str">
        <f t="shared" si="11"/>
        <v/>
      </c>
      <c r="BA308" s="1019" t="str">
        <f t="shared" si="12"/>
        <v/>
      </c>
      <c r="BB308" s="1018" t="str">
        <f t="shared" si="13"/>
        <v/>
      </c>
    </row>
    <row r="309" spans="26:54" x14ac:dyDescent="0.3">
      <c r="Z309" s="556"/>
      <c r="AA309" s="731">
        <f t="shared" si="14"/>
        <v>16</v>
      </c>
      <c r="AB309" s="1019" t="str">
        <f>IF(E60="","",E60)</f>
        <v/>
      </c>
      <c r="AC309" s="1019" t="str">
        <f>IF(G60="","",G60)</f>
        <v/>
      </c>
      <c r="AD309" s="1025" t="str">
        <f>IF(L60="","",IF(AC309="","",L60))</f>
        <v/>
      </c>
      <c r="AE309" s="1021" t="str">
        <f t="shared" si="0"/>
        <v/>
      </c>
      <c r="AF309" s="1021"/>
      <c r="AG309" s="1019" t="str">
        <f t="shared" si="1"/>
        <v/>
      </c>
      <c r="AH309" s="1019" t="str">
        <f t="shared" si="2"/>
        <v/>
      </c>
      <c r="AI309" s="1018" t="str">
        <f t="shared" si="3"/>
        <v/>
      </c>
      <c r="AJ309" s="1020"/>
      <c r="AK309" s="1019" t="str">
        <f t="shared" si="4"/>
        <v/>
      </c>
      <c r="AL309" s="1019" t="str">
        <f t="shared" si="5"/>
        <v/>
      </c>
      <c r="AM309" s="1018" t="str">
        <f t="shared" si="6"/>
        <v/>
      </c>
      <c r="AN309" s="556"/>
      <c r="AO309" s="556"/>
      <c r="AP309" s="731">
        <f t="shared" si="15"/>
        <v>16</v>
      </c>
      <c r="AQ309" s="1019" t="str">
        <f>IF(H60="","",H60)</f>
        <v/>
      </c>
      <c r="AR309" s="1019" t="str">
        <f>IF(J60="","",J60)</f>
        <v/>
      </c>
      <c r="AS309" s="1025" t="str">
        <f>IF(L60="","",IF(AR309="","",L60))</f>
        <v/>
      </c>
      <c r="AT309" s="1021" t="str">
        <f t="shared" si="7"/>
        <v/>
      </c>
      <c r="AU309" s="1021"/>
      <c r="AV309" s="1019" t="str">
        <f t="shared" si="8"/>
        <v/>
      </c>
      <c r="AW309" s="1019" t="str">
        <f t="shared" si="9"/>
        <v/>
      </c>
      <c r="AX309" s="1018" t="str">
        <f t="shared" si="10"/>
        <v/>
      </c>
      <c r="AY309" s="1020"/>
      <c r="AZ309" s="1019" t="str">
        <f t="shared" si="11"/>
        <v/>
      </c>
      <c r="BA309" s="1019" t="str">
        <f t="shared" si="12"/>
        <v/>
      </c>
      <c r="BB309" s="1018" t="str">
        <f t="shared" si="13"/>
        <v/>
      </c>
    </row>
    <row r="310" spans="26:54" x14ac:dyDescent="0.3">
      <c r="Z310" s="556"/>
      <c r="AA310" s="731">
        <f t="shared" si="14"/>
        <v>17</v>
      </c>
      <c r="AB310" s="1019" t="str">
        <f>IF(E62="","",E62)</f>
        <v/>
      </c>
      <c r="AC310" s="1019" t="str">
        <f>IF(G62="","",G62)</f>
        <v/>
      </c>
      <c r="AD310" s="1025" t="str">
        <f>IF(L62="","",IF(AC310="","",L62))</f>
        <v/>
      </c>
      <c r="AE310" s="1021" t="str">
        <f t="shared" si="0"/>
        <v/>
      </c>
      <c r="AF310" s="1021"/>
      <c r="AG310" s="1019" t="str">
        <f t="shared" si="1"/>
        <v/>
      </c>
      <c r="AH310" s="1019" t="str">
        <f t="shared" si="2"/>
        <v/>
      </c>
      <c r="AI310" s="1018" t="str">
        <f t="shared" si="3"/>
        <v/>
      </c>
      <c r="AJ310" s="1020"/>
      <c r="AK310" s="1019" t="str">
        <f t="shared" si="4"/>
        <v/>
      </c>
      <c r="AL310" s="1019" t="str">
        <f t="shared" si="5"/>
        <v/>
      </c>
      <c r="AM310" s="1018" t="str">
        <f t="shared" si="6"/>
        <v/>
      </c>
      <c r="AN310" s="556"/>
      <c r="AO310" s="556"/>
      <c r="AP310" s="731">
        <f t="shared" si="15"/>
        <v>17</v>
      </c>
      <c r="AQ310" s="1019" t="str">
        <f>IF(H62="","",H62)</f>
        <v/>
      </c>
      <c r="AR310" s="1019" t="str">
        <f>IF(J62="","",J62)</f>
        <v/>
      </c>
      <c r="AS310" s="1025" t="str">
        <f>IF(L62="","",IF(AR310="","",L62))</f>
        <v/>
      </c>
      <c r="AT310" s="1021" t="str">
        <f t="shared" si="7"/>
        <v/>
      </c>
      <c r="AU310" s="1021"/>
      <c r="AV310" s="1019" t="str">
        <f t="shared" si="8"/>
        <v/>
      </c>
      <c r="AW310" s="1019" t="str">
        <f t="shared" si="9"/>
        <v/>
      </c>
      <c r="AX310" s="1018" t="str">
        <f t="shared" si="10"/>
        <v/>
      </c>
      <c r="AY310" s="1020"/>
      <c r="AZ310" s="1019" t="str">
        <f t="shared" si="11"/>
        <v/>
      </c>
      <c r="BA310" s="1019" t="str">
        <f t="shared" si="12"/>
        <v/>
      </c>
      <c r="BB310" s="1018" t="str">
        <f t="shared" si="13"/>
        <v/>
      </c>
    </row>
    <row r="311" spans="26:54" x14ac:dyDescent="0.3">
      <c r="Z311" s="556"/>
      <c r="AA311" s="731">
        <f t="shared" si="14"/>
        <v>18</v>
      </c>
      <c r="AB311" s="1019" t="str">
        <f>IF(E64="","",E64)</f>
        <v/>
      </c>
      <c r="AC311" s="1019" t="str">
        <f>IF(G64="","",G64)</f>
        <v/>
      </c>
      <c r="AD311" s="1025" t="str">
        <f>IF(L64="","",IF(AC311="","",L64))</f>
        <v/>
      </c>
      <c r="AE311" s="1021" t="str">
        <f t="shared" si="0"/>
        <v/>
      </c>
      <c r="AF311" s="1021"/>
      <c r="AG311" s="1019" t="str">
        <f t="shared" si="1"/>
        <v/>
      </c>
      <c r="AH311" s="1019" t="str">
        <f t="shared" si="2"/>
        <v/>
      </c>
      <c r="AI311" s="1018" t="str">
        <f t="shared" si="3"/>
        <v/>
      </c>
      <c r="AJ311" s="1020"/>
      <c r="AK311" s="1019" t="str">
        <f t="shared" si="4"/>
        <v/>
      </c>
      <c r="AL311" s="1019" t="str">
        <f t="shared" si="5"/>
        <v/>
      </c>
      <c r="AM311" s="1018" t="str">
        <f t="shared" si="6"/>
        <v/>
      </c>
      <c r="AN311" s="556"/>
      <c r="AO311" s="556"/>
      <c r="AP311" s="731">
        <f t="shared" si="15"/>
        <v>18</v>
      </c>
      <c r="AQ311" s="1019" t="str">
        <f>IF(H64="","",H64)</f>
        <v/>
      </c>
      <c r="AR311" s="1019" t="str">
        <f>IF(J64="","",J64)</f>
        <v/>
      </c>
      <c r="AS311" s="1025" t="str">
        <f>IF(L64="","",IF(AR311="","",L64))</f>
        <v/>
      </c>
      <c r="AT311" s="1021" t="str">
        <f t="shared" si="7"/>
        <v/>
      </c>
      <c r="AU311" s="1021"/>
      <c r="AV311" s="1019" t="str">
        <f t="shared" si="8"/>
        <v/>
      </c>
      <c r="AW311" s="1019" t="str">
        <f t="shared" si="9"/>
        <v/>
      </c>
      <c r="AX311" s="1018" t="str">
        <f t="shared" si="10"/>
        <v/>
      </c>
      <c r="AY311" s="1020"/>
      <c r="AZ311" s="1019" t="str">
        <f t="shared" si="11"/>
        <v/>
      </c>
      <c r="BA311" s="1019" t="str">
        <f t="shared" si="12"/>
        <v/>
      </c>
      <c r="BB311" s="1018" t="str">
        <f t="shared" si="13"/>
        <v/>
      </c>
    </row>
    <row r="312" spans="26:54" x14ac:dyDescent="0.3">
      <c r="Z312" s="556"/>
      <c r="AA312" s="731">
        <f t="shared" si="14"/>
        <v>19</v>
      </c>
      <c r="AB312" s="1019" t="str">
        <f>IF(E66="","",E66)</f>
        <v/>
      </c>
      <c r="AC312" s="1019" t="str">
        <f>IF(G66="","",G66)</f>
        <v/>
      </c>
      <c r="AD312" s="1025" t="str">
        <f>IF(L66="","",IF(AC312="","",L66))</f>
        <v/>
      </c>
      <c r="AE312" s="1021" t="str">
        <f t="shared" si="0"/>
        <v/>
      </c>
      <c r="AF312" s="1021"/>
      <c r="AG312" s="1019" t="str">
        <f t="shared" si="1"/>
        <v/>
      </c>
      <c r="AH312" s="1019" t="str">
        <f t="shared" si="2"/>
        <v/>
      </c>
      <c r="AI312" s="1018" t="str">
        <f t="shared" si="3"/>
        <v/>
      </c>
      <c r="AJ312" s="1020"/>
      <c r="AK312" s="1019" t="str">
        <f t="shared" si="4"/>
        <v/>
      </c>
      <c r="AL312" s="1019" t="str">
        <f t="shared" si="5"/>
        <v/>
      </c>
      <c r="AM312" s="1018" t="str">
        <f t="shared" si="6"/>
        <v/>
      </c>
      <c r="AN312" s="556"/>
      <c r="AO312" s="556"/>
      <c r="AP312" s="731">
        <f t="shared" si="15"/>
        <v>19</v>
      </c>
      <c r="AQ312" s="1019" t="str">
        <f>IF(H66="","",H66)</f>
        <v/>
      </c>
      <c r="AR312" s="1019" t="str">
        <f>IF(J66="","",J66)</f>
        <v/>
      </c>
      <c r="AS312" s="1025" t="str">
        <f>IF(L66="","",IF(AR312="","",L66))</f>
        <v/>
      </c>
      <c r="AT312" s="1021" t="str">
        <f t="shared" si="7"/>
        <v/>
      </c>
      <c r="AU312" s="1021"/>
      <c r="AV312" s="1019" t="str">
        <f t="shared" si="8"/>
        <v/>
      </c>
      <c r="AW312" s="1019" t="str">
        <f t="shared" si="9"/>
        <v/>
      </c>
      <c r="AX312" s="1018" t="str">
        <f t="shared" si="10"/>
        <v/>
      </c>
      <c r="AY312" s="1020"/>
      <c r="AZ312" s="1019" t="str">
        <f t="shared" si="11"/>
        <v/>
      </c>
      <c r="BA312" s="1019" t="str">
        <f t="shared" si="12"/>
        <v/>
      </c>
      <c r="BB312" s="1018" t="str">
        <f t="shared" si="13"/>
        <v/>
      </c>
    </row>
    <row r="313" spans="26:54" x14ac:dyDescent="0.3">
      <c r="Z313" s="556"/>
      <c r="AA313" s="731">
        <f t="shared" si="14"/>
        <v>20</v>
      </c>
      <c r="AB313" s="1019" t="str">
        <f>IF(E68="","",E68)</f>
        <v/>
      </c>
      <c r="AC313" s="1019" t="str">
        <f>IF(G68="","",G68)</f>
        <v/>
      </c>
      <c r="AD313" s="1025" t="str">
        <f>IF(L68="","",IF(AC313="","",L68))</f>
        <v/>
      </c>
      <c r="AE313" s="1021" t="str">
        <f t="shared" si="0"/>
        <v/>
      </c>
      <c r="AF313" s="1021"/>
      <c r="AG313" s="1019" t="str">
        <f t="shared" si="1"/>
        <v/>
      </c>
      <c r="AH313" s="1019" t="str">
        <f t="shared" si="2"/>
        <v/>
      </c>
      <c r="AI313" s="1018" t="str">
        <f t="shared" si="3"/>
        <v/>
      </c>
      <c r="AJ313" s="1020"/>
      <c r="AK313" s="1019" t="str">
        <f t="shared" si="4"/>
        <v/>
      </c>
      <c r="AL313" s="1019" t="str">
        <f t="shared" si="5"/>
        <v/>
      </c>
      <c r="AM313" s="1018" t="str">
        <f t="shared" si="6"/>
        <v/>
      </c>
      <c r="AN313" s="556"/>
      <c r="AO313" s="556"/>
      <c r="AP313" s="731">
        <f t="shared" si="15"/>
        <v>20</v>
      </c>
      <c r="AQ313" s="1019" t="str">
        <f>IF(H68="","",H68)</f>
        <v/>
      </c>
      <c r="AR313" s="1019" t="str">
        <f>IF(J68="","",J68)</f>
        <v/>
      </c>
      <c r="AS313" s="1025" t="str">
        <f>IF(L68="","",IF(AR313="","",L68))</f>
        <v/>
      </c>
      <c r="AT313" s="1021" t="str">
        <f t="shared" si="7"/>
        <v/>
      </c>
      <c r="AU313" s="1021"/>
      <c r="AV313" s="1019" t="str">
        <f t="shared" si="8"/>
        <v/>
      </c>
      <c r="AW313" s="1019" t="str">
        <f t="shared" si="9"/>
        <v/>
      </c>
      <c r="AX313" s="1018" t="str">
        <f t="shared" si="10"/>
        <v/>
      </c>
      <c r="AY313" s="1020"/>
      <c r="AZ313" s="1019" t="str">
        <f t="shared" si="11"/>
        <v/>
      </c>
      <c r="BA313" s="1019" t="str">
        <f t="shared" si="12"/>
        <v/>
      </c>
      <c r="BB313" s="1018" t="str">
        <f t="shared" si="13"/>
        <v/>
      </c>
    </row>
    <row r="314" spans="26:54" x14ac:dyDescent="0.3">
      <c r="Z314" s="556"/>
      <c r="AA314" s="731">
        <f t="shared" si="14"/>
        <v>21</v>
      </c>
      <c r="AB314" s="1019" t="str">
        <f>IF(E70="","",E70)</f>
        <v/>
      </c>
      <c r="AC314" s="1019" t="str">
        <f>IF(G70="","",G70)</f>
        <v/>
      </c>
      <c r="AD314" s="1025" t="str">
        <f>IF(L70="","",IF(AC314="","",L70))</f>
        <v/>
      </c>
      <c r="AE314" s="1021" t="str">
        <f t="shared" si="0"/>
        <v/>
      </c>
      <c r="AF314" s="1021"/>
      <c r="AG314" s="1019" t="str">
        <f t="shared" si="1"/>
        <v/>
      </c>
      <c r="AH314" s="1019" t="str">
        <f t="shared" si="2"/>
        <v/>
      </c>
      <c r="AI314" s="1018" t="str">
        <f t="shared" si="3"/>
        <v/>
      </c>
      <c r="AJ314" s="1020"/>
      <c r="AK314" s="1019" t="str">
        <f t="shared" si="4"/>
        <v/>
      </c>
      <c r="AL314" s="1019" t="str">
        <f t="shared" si="5"/>
        <v/>
      </c>
      <c r="AM314" s="1018" t="str">
        <f t="shared" si="6"/>
        <v/>
      </c>
      <c r="AN314" s="556"/>
      <c r="AO314" s="556"/>
      <c r="AP314" s="731">
        <f t="shared" si="15"/>
        <v>21</v>
      </c>
      <c r="AQ314" s="1019" t="str">
        <f>IF(H70="","",H70)</f>
        <v/>
      </c>
      <c r="AR314" s="1019" t="str">
        <f>IF(J70="","",J70)</f>
        <v/>
      </c>
      <c r="AS314" s="1025" t="str">
        <f>IF(L70="","",IF(AR314="","",L70))</f>
        <v/>
      </c>
      <c r="AT314" s="1021" t="str">
        <f t="shared" si="7"/>
        <v/>
      </c>
      <c r="AU314" s="1021"/>
      <c r="AV314" s="1019" t="str">
        <f t="shared" si="8"/>
        <v/>
      </c>
      <c r="AW314" s="1019" t="str">
        <f t="shared" si="9"/>
        <v/>
      </c>
      <c r="AX314" s="1018" t="str">
        <f t="shared" si="10"/>
        <v/>
      </c>
      <c r="AY314" s="1020"/>
      <c r="AZ314" s="1019" t="str">
        <f t="shared" si="11"/>
        <v/>
      </c>
      <c r="BA314" s="1019" t="str">
        <f t="shared" si="12"/>
        <v/>
      </c>
      <c r="BB314" s="1018" t="str">
        <f t="shared" si="13"/>
        <v/>
      </c>
    </row>
    <row r="315" spans="26:54" x14ac:dyDescent="0.3">
      <c r="Z315" s="556"/>
      <c r="AA315" s="731">
        <f t="shared" si="14"/>
        <v>22</v>
      </c>
      <c r="AB315" s="1019" t="str">
        <f>IF(E72="","",E72)</f>
        <v/>
      </c>
      <c r="AC315" s="1019" t="str">
        <f>IF(G72="","",G72)</f>
        <v/>
      </c>
      <c r="AD315" s="1025" t="str">
        <f>IF(L72="","",IF(AC315="","",L72))</f>
        <v/>
      </c>
      <c r="AE315" s="1021" t="str">
        <f t="shared" si="0"/>
        <v/>
      </c>
      <c r="AF315" s="1021"/>
      <c r="AG315" s="1019" t="str">
        <f t="shared" si="1"/>
        <v/>
      </c>
      <c r="AH315" s="1019" t="str">
        <f t="shared" si="2"/>
        <v/>
      </c>
      <c r="AI315" s="1018" t="str">
        <f t="shared" si="3"/>
        <v/>
      </c>
      <c r="AJ315" s="1020"/>
      <c r="AK315" s="1019" t="str">
        <f t="shared" si="4"/>
        <v/>
      </c>
      <c r="AL315" s="1019" t="str">
        <f t="shared" si="5"/>
        <v/>
      </c>
      <c r="AM315" s="1018" t="str">
        <f t="shared" si="6"/>
        <v/>
      </c>
      <c r="AN315" s="556"/>
      <c r="AO315" s="556"/>
      <c r="AP315" s="731">
        <f t="shared" si="15"/>
        <v>22</v>
      </c>
      <c r="AQ315" s="1019" t="str">
        <f>IF(H72="","",H72)</f>
        <v/>
      </c>
      <c r="AR315" s="1019" t="str">
        <f>IF(J72="","",J72)</f>
        <v/>
      </c>
      <c r="AS315" s="1025" t="str">
        <f>IF(L72="","",IF(AR315="","",L72))</f>
        <v/>
      </c>
      <c r="AT315" s="1021" t="str">
        <f t="shared" si="7"/>
        <v/>
      </c>
      <c r="AU315" s="1021"/>
      <c r="AV315" s="1019" t="str">
        <f t="shared" si="8"/>
        <v/>
      </c>
      <c r="AW315" s="1019" t="str">
        <f t="shared" si="9"/>
        <v/>
      </c>
      <c r="AX315" s="1018" t="str">
        <f t="shared" si="10"/>
        <v/>
      </c>
      <c r="AY315" s="1020"/>
      <c r="AZ315" s="1019" t="str">
        <f t="shared" si="11"/>
        <v/>
      </c>
      <c r="BA315" s="1019" t="str">
        <f t="shared" si="12"/>
        <v/>
      </c>
      <c r="BB315" s="1018" t="str">
        <f t="shared" si="13"/>
        <v/>
      </c>
    </row>
    <row r="316" spans="26:54" x14ac:dyDescent="0.3">
      <c r="Z316" s="556"/>
      <c r="AA316" s="731">
        <f t="shared" si="14"/>
        <v>23</v>
      </c>
      <c r="AB316" s="1019" t="str">
        <f>IF(E74="","",E74)</f>
        <v/>
      </c>
      <c r="AC316" s="1019" t="str">
        <f>IF(G74="","",G74)</f>
        <v/>
      </c>
      <c r="AD316" s="1025" t="str">
        <f>IF(L74="","",IF(AC316="","",L74))</f>
        <v/>
      </c>
      <c r="AE316" s="1021" t="str">
        <f t="shared" si="0"/>
        <v/>
      </c>
      <c r="AF316" s="1021"/>
      <c r="AG316" s="1019" t="str">
        <f t="shared" si="1"/>
        <v/>
      </c>
      <c r="AH316" s="1019" t="str">
        <f t="shared" si="2"/>
        <v/>
      </c>
      <c r="AI316" s="1018" t="str">
        <f t="shared" si="3"/>
        <v/>
      </c>
      <c r="AJ316" s="1020"/>
      <c r="AK316" s="1019" t="str">
        <f t="shared" si="4"/>
        <v/>
      </c>
      <c r="AL316" s="1019" t="str">
        <f t="shared" si="5"/>
        <v/>
      </c>
      <c r="AM316" s="1018" t="str">
        <f t="shared" si="6"/>
        <v/>
      </c>
      <c r="AN316" s="556"/>
      <c r="AO316" s="556"/>
      <c r="AP316" s="731">
        <f t="shared" si="15"/>
        <v>23</v>
      </c>
      <c r="AQ316" s="1019" t="str">
        <f>IF(H74="","",H74)</f>
        <v/>
      </c>
      <c r="AR316" s="1019" t="str">
        <f>IF(J74="","",J74)</f>
        <v/>
      </c>
      <c r="AS316" s="1025" t="str">
        <f>IF(L74="","",IF(AR316="","",L74))</f>
        <v/>
      </c>
      <c r="AT316" s="1021" t="str">
        <f t="shared" si="7"/>
        <v/>
      </c>
      <c r="AU316" s="1021"/>
      <c r="AV316" s="1019" t="str">
        <f t="shared" si="8"/>
        <v/>
      </c>
      <c r="AW316" s="1019" t="str">
        <f t="shared" si="9"/>
        <v/>
      </c>
      <c r="AX316" s="1018" t="str">
        <f t="shared" si="10"/>
        <v/>
      </c>
      <c r="AY316" s="1020"/>
      <c r="AZ316" s="1019" t="str">
        <f t="shared" si="11"/>
        <v/>
      </c>
      <c r="BA316" s="1019" t="str">
        <f t="shared" si="12"/>
        <v/>
      </c>
      <c r="BB316" s="1018" t="str">
        <f t="shared" si="13"/>
        <v/>
      </c>
    </row>
    <row r="317" spans="26:54" x14ac:dyDescent="0.3">
      <c r="Z317" s="556"/>
      <c r="AA317" s="731">
        <f t="shared" si="14"/>
        <v>24</v>
      </c>
      <c r="AB317" s="1019" t="str">
        <f>IF(E76="","",E76)</f>
        <v/>
      </c>
      <c r="AC317" s="1019" t="str">
        <f>IF(G76="","",G76)</f>
        <v/>
      </c>
      <c r="AD317" s="1025" t="str">
        <f>IF(L76="","",IF(AC317="","",L76))</f>
        <v/>
      </c>
      <c r="AE317" s="1021" t="str">
        <f t="shared" si="0"/>
        <v/>
      </c>
      <c r="AF317" s="1021"/>
      <c r="AG317" s="1019" t="str">
        <f t="shared" si="1"/>
        <v/>
      </c>
      <c r="AH317" s="1019" t="str">
        <f t="shared" si="2"/>
        <v/>
      </c>
      <c r="AI317" s="1018" t="str">
        <f t="shared" si="3"/>
        <v/>
      </c>
      <c r="AJ317" s="1020"/>
      <c r="AK317" s="1019" t="str">
        <f t="shared" si="4"/>
        <v/>
      </c>
      <c r="AL317" s="1019" t="str">
        <f t="shared" si="5"/>
        <v/>
      </c>
      <c r="AM317" s="1018" t="str">
        <f t="shared" si="6"/>
        <v/>
      </c>
      <c r="AN317" s="556"/>
      <c r="AO317" s="556"/>
      <c r="AP317" s="731">
        <f t="shared" si="15"/>
        <v>24</v>
      </c>
      <c r="AQ317" s="1019" t="str">
        <f>IF(H76="","",H76)</f>
        <v/>
      </c>
      <c r="AR317" s="1019" t="str">
        <f>IF(J76="","",J76)</f>
        <v/>
      </c>
      <c r="AS317" s="1025" t="str">
        <f>IF(L76="","",IF(AR317="","",L76))</f>
        <v/>
      </c>
      <c r="AT317" s="1021" t="str">
        <f t="shared" si="7"/>
        <v/>
      </c>
      <c r="AU317" s="1021"/>
      <c r="AV317" s="1019" t="str">
        <f t="shared" si="8"/>
        <v/>
      </c>
      <c r="AW317" s="1019" t="str">
        <f t="shared" si="9"/>
        <v/>
      </c>
      <c r="AX317" s="1018" t="str">
        <f t="shared" si="10"/>
        <v/>
      </c>
      <c r="AY317" s="1020"/>
      <c r="AZ317" s="1019" t="str">
        <f t="shared" si="11"/>
        <v/>
      </c>
      <c r="BA317" s="1019" t="str">
        <f t="shared" si="12"/>
        <v/>
      </c>
      <c r="BB317" s="1018" t="str">
        <f t="shared" si="13"/>
        <v/>
      </c>
    </row>
    <row r="318" spans="26:54" x14ac:dyDescent="0.3">
      <c r="Z318" s="556"/>
      <c r="AA318" s="731">
        <f t="shared" si="14"/>
        <v>25</v>
      </c>
      <c r="AB318" s="1019" t="str">
        <f>IF(E78="","",E78)</f>
        <v/>
      </c>
      <c r="AC318" s="1019" t="str">
        <f>IF(G78="","",G78)</f>
        <v/>
      </c>
      <c r="AD318" s="1025" t="str">
        <f>IF(L78="","",IF(AC318="","",L78))</f>
        <v/>
      </c>
      <c r="AE318" s="1021" t="str">
        <f t="shared" si="0"/>
        <v/>
      </c>
      <c r="AF318" s="1021"/>
      <c r="AG318" s="1019" t="str">
        <f t="shared" si="1"/>
        <v/>
      </c>
      <c r="AH318" s="1019" t="str">
        <f t="shared" si="2"/>
        <v/>
      </c>
      <c r="AI318" s="1018" t="str">
        <f t="shared" si="3"/>
        <v/>
      </c>
      <c r="AJ318" s="1020"/>
      <c r="AK318" s="1019" t="str">
        <f t="shared" si="4"/>
        <v/>
      </c>
      <c r="AL318" s="1019" t="str">
        <f t="shared" si="5"/>
        <v/>
      </c>
      <c r="AM318" s="1018" t="str">
        <f t="shared" si="6"/>
        <v/>
      </c>
      <c r="AN318" s="556"/>
      <c r="AO318" s="556"/>
      <c r="AP318" s="731">
        <f t="shared" si="15"/>
        <v>25</v>
      </c>
      <c r="AQ318" s="1019" t="str">
        <f>IF(H78="","",H78)</f>
        <v/>
      </c>
      <c r="AR318" s="1019" t="str">
        <f>IF(J78="","",J78)</f>
        <v/>
      </c>
      <c r="AS318" s="1025" t="str">
        <f>IF(L78="","",IF(AR318="","",L78))</f>
        <v/>
      </c>
      <c r="AT318" s="1021" t="str">
        <f t="shared" si="7"/>
        <v/>
      </c>
      <c r="AU318" s="1021"/>
      <c r="AV318" s="1019" t="str">
        <f t="shared" si="8"/>
        <v/>
      </c>
      <c r="AW318" s="1019" t="str">
        <f t="shared" si="9"/>
        <v/>
      </c>
      <c r="AX318" s="1018" t="str">
        <f t="shared" si="10"/>
        <v/>
      </c>
      <c r="AY318" s="1020"/>
      <c r="AZ318" s="1019" t="str">
        <f t="shared" si="11"/>
        <v/>
      </c>
      <c r="BA318" s="1019" t="str">
        <f t="shared" si="12"/>
        <v/>
      </c>
      <c r="BB318" s="1018" t="str">
        <f t="shared" si="13"/>
        <v/>
      </c>
    </row>
    <row r="319" spans="26:54" x14ac:dyDescent="0.3">
      <c r="Z319" s="556"/>
      <c r="AA319" s="731">
        <f t="shared" si="14"/>
        <v>26</v>
      </c>
      <c r="AB319" s="1019" t="str">
        <f>IF(E80="","",E80)</f>
        <v/>
      </c>
      <c r="AC319" s="1019" t="str">
        <f>IF(G80="","",G80)</f>
        <v/>
      </c>
      <c r="AD319" s="1025" t="str">
        <f>IF(L80="","",IF(AC319="","",L80))</f>
        <v/>
      </c>
      <c r="AE319" s="1021" t="str">
        <f t="shared" si="0"/>
        <v/>
      </c>
      <c r="AF319" s="1021"/>
      <c r="AG319" s="1019" t="str">
        <f t="shared" si="1"/>
        <v/>
      </c>
      <c r="AH319" s="1019" t="str">
        <f t="shared" si="2"/>
        <v/>
      </c>
      <c r="AI319" s="1018" t="str">
        <f t="shared" si="3"/>
        <v/>
      </c>
      <c r="AJ319" s="1020"/>
      <c r="AK319" s="1019" t="str">
        <f t="shared" si="4"/>
        <v/>
      </c>
      <c r="AL319" s="1019" t="str">
        <f t="shared" si="5"/>
        <v/>
      </c>
      <c r="AM319" s="1018" t="str">
        <f t="shared" si="6"/>
        <v/>
      </c>
      <c r="AN319" s="556"/>
      <c r="AO319" s="556"/>
      <c r="AP319" s="731">
        <f t="shared" si="15"/>
        <v>26</v>
      </c>
      <c r="AQ319" s="1019" t="str">
        <f>IF(H80="","",H80)</f>
        <v/>
      </c>
      <c r="AR319" s="1019" t="str">
        <f>IF(J80="","",J80)</f>
        <v/>
      </c>
      <c r="AS319" s="1025" t="str">
        <f>IF(L80="","",IF(AR319="","",L80))</f>
        <v/>
      </c>
      <c r="AT319" s="1021" t="str">
        <f t="shared" si="7"/>
        <v/>
      </c>
      <c r="AU319" s="1021"/>
      <c r="AV319" s="1019" t="str">
        <f t="shared" si="8"/>
        <v/>
      </c>
      <c r="AW319" s="1019" t="str">
        <f t="shared" si="9"/>
        <v/>
      </c>
      <c r="AX319" s="1018" t="str">
        <f t="shared" si="10"/>
        <v/>
      </c>
      <c r="AY319" s="1020"/>
      <c r="AZ319" s="1019" t="str">
        <f t="shared" si="11"/>
        <v/>
      </c>
      <c r="BA319" s="1019" t="str">
        <f t="shared" si="12"/>
        <v/>
      </c>
      <c r="BB319" s="1018" t="str">
        <f t="shared" si="13"/>
        <v/>
      </c>
    </row>
    <row r="320" spans="26:54" x14ac:dyDescent="0.3">
      <c r="Z320" s="556"/>
      <c r="AA320" s="731">
        <f t="shared" si="14"/>
        <v>27</v>
      </c>
      <c r="AB320" s="1019" t="str">
        <f>IF(E82="","",E82)</f>
        <v/>
      </c>
      <c r="AC320" s="1019" t="str">
        <f>IF(G82="","",G82)</f>
        <v/>
      </c>
      <c r="AD320" s="1025" t="str">
        <f>IF(L82="","",IF(AC320="","",L82))</f>
        <v/>
      </c>
      <c r="AE320" s="1021" t="str">
        <f t="shared" si="0"/>
        <v/>
      </c>
      <c r="AF320" s="1021"/>
      <c r="AG320" s="1019" t="str">
        <f t="shared" si="1"/>
        <v/>
      </c>
      <c r="AH320" s="1019" t="str">
        <f t="shared" si="2"/>
        <v/>
      </c>
      <c r="AI320" s="1018" t="str">
        <f t="shared" si="3"/>
        <v/>
      </c>
      <c r="AJ320" s="1020"/>
      <c r="AK320" s="1019" t="str">
        <f t="shared" si="4"/>
        <v/>
      </c>
      <c r="AL320" s="1019" t="str">
        <f t="shared" si="5"/>
        <v/>
      </c>
      <c r="AM320" s="1018" t="str">
        <f t="shared" si="6"/>
        <v/>
      </c>
      <c r="AN320" s="556"/>
      <c r="AO320" s="556"/>
      <c r="AP320" s="731">
        <f t="shared" si="15"/>
        <v>27</v>
      </c>
      <c r="AQ320" s="1019" t="str">
        <f>IF(H82="","",H82)</f>
        <v/>
      </c>
      <c r="AR320" s="1019" t="str">
        <f>IF(J82="","",J82)</f>
        <v/>
      </c>
      <c r="AS320" s="1025" t="str">
        <f>IF(L82="","",IF(AR320="","",L82))</f>
        <v/>
      </c>
      <c r="AT320" s="1021" t="str">
        <f t="shared" si="7"/>
        <v/>
      </c>
      <c r="AU320" s="1021"/>
      <c r="AV320" s="1019" t="str">
        <f t="shared" si="8"/>
        <v/>
      </c>
      <c r="AW320" s="1019" t="str">
        <f t="shared" si="9"/>
        <v/>
      </c>
      <c r="AX320" s="1018" t="str">
        <f t="shared" si="10"/>
        <v/>
      </c>
      <c r="AY320" s="1020"/>
      <c r="AZ320" s="1019" t="str">
        <f t="shared" si="11"/>
        <v/>
      </c>
      <c r="BA320" s="1019" t="str">
        <f t="shared" si="12"/>
        <v/>
      </c>
      <c r="BB320" s="1018" t="str">
        <f t="shared" si="13"/>
        <v/>
      </c>
    </row>
    <row r="321" spans="26:54" x14ac:dyDescent="0.3">
      <c r="Z321" s="556"/>
      <c r="AA321" s="731">
        <f t="shared" si="14"/>
        <v>28</v>
      </c>
      <c r="AB321" s="1019" t="str">
        <f>IF(E84="","",E84)</f>
        <v/>
      </c>
      <c r="AC321" s="1019" t="str">
        <f>IF(G84="","",G84)</f>
        <v/>
      </c>
      <c r="AD321" s="1025" t="str">
        <f>IF(L84="","",IF(AC321="","",L84))</f>
        <v/>
      </c>
      <c r="AE321" s="1021" t="str">
        <f t="shared" si="0"/>
        <v/>
      </c>
      <c r="AF321" s="1021"/>
      <c r="AG321" s="1019" t="str">
        <f t="shared" si="1"/>
        <v/>
      </c>
      <c r="AH321" s="1019" t="str">
        <f t="shared" si="2"/>
        <v/>
      </c>
      <c r="AI321" s="1018" t="str">
        <f t="shared" si="3"/>
        <v/>
      </c>
      <c r="AJ321" s="1020"/>
      <c r="AK321" s="1019" t="str">
        <f t="shared" si="4"/>
        <v/>
      </c>
      <c r="AL321" s="1019" t="str">
        <f t="shared" si="5"/>
        <v/>
      </c>
      <c r="AM321" s="1018" t="str">
        <f t="shared" si="6"/>
        <v/>
      </c>
      <c r="AN321" s="556"/>
      <c r="AO321" s="556"/>
      <c r="AP321" s="731">
        <f t="shared" si="15"/>
        <v>28</v>
      </c>
      <c r="AQ321" s="1019" t="str">
        <f>IF(H84="","",H84)</f>
        <v/>
      </c>
      <c r="AR321" s="1019" t="str">
        <f>IF(J84="","",J84)</f>
        <v/>
      </c>
      <c r="AS321" s="1025" t="str">
        <f>IF(L84="","",IF(AR321="","",L84))</f>
        <v/>
      </c>
      <c r="AT321" s="1021" t="str">
        <f t="shared" si="7"/>
        <v/>
      </c>
      <c r="AU321" s="1021"/>
      <c r="AV321" s="1019" t="str">
        <f t="shared" si="8"/>
        <v/>
      </c>
      <c r="AW321" s="1019" t="str">
        <f t="shared" si="9"/>
        <v/>
      </c>
      <c r="AX321" s="1018" t="str">
        <f t="shared" si="10"/>
        <v/>
      </c>
      <c r="AY321" s="1020"/>
      <c r="AZ321" s="1019" t="str">
        <f t="shared" si="11"/>
        <v/>
      </c>
      <c r="BA321" s="1019" t="str">
        <f t="shared" si="12"/>
        <v/>
      </c>
      <c r="BB321" s="1018" t="str">
        <f t="shared" si="13"/>
        <v/>
      </c>
    </row>
    <row r="322" spans="26:54" x14ac:dyDescent="0.3">
      <c r="Z322" s="556"/>
      <c r="AA322" s="731">
        <f t="shared" si="14"/>
        <v>29</v>
      </c>
      <c r="AB322" s="1019" t="str">
        <f>IF(E86="","",E86)</f>
        <v/>
      </c>
      <c r="AC322" s="1019" t="str">
        <f>IF(G86="","",G86)</f>
        <v/>
      </c>
      <c r="AD322" s="1025" t="str">
        <f>IF(L86="","",IF(AC322="","",L86))</f>
        <v/>
      </c>
      <c r="AE322" s="1021" t="str">
        <f t="shared" si="0"/>
        <v/>
      </c>
      <c r="AF322" s="1021"/>
      <c r="AG322" s="1019" t="str">
        <f t="shared" si="1"/>
        <v/>
      </c>
      <c r="AH322" s="1019" t="str">
        <f t="shared" si="2"/>
        <v/>
      </c>
      <c r="AI322" s="1018" t="str">
        <f t="shared" si="3"/>
        <v/>
      </c>
      <c r="AJ322" s="1020"/>
      <c r="AK322" s="1019" t="str">
        <f t="shared" si="4"/>
        <v/>
      </c>
      <c r="AL322" s="1019" t="str">
        <f t="shared" si="5"/>
        <v/>
      </c>
      <c r="AM322" s="1018" t="str">
        <f t="shared" si="6"/>
        <v/>
      </c>
      <c r="AN322" s="556"/>
      <c r="AO322" s="556"/>
      <c r="AP322" s="731">
        <f t="shared" si="15"/>
        <v>29</v>
      </c>
      <c r="AQ322" s="1019" t="str">
        <f>IF(H86="","",H86)</f>
        <v/>
      </c>
      <c r="AR322" s="1019" t="str">
        <f>IF(J86="","",J86)</f>
        <v/>
      </c>
      <c r="AS322" s="1025" t="str">
        <f>IF(L86="","",IF(AR322="","",L86))</f>
        <v/>
      </c>
      <c r="AT322" s="1021" t="str">
        <f t="shared" si="7"/>
        <v/>
      </c>
      <c r="AU322" s="1021"/>
      <c r="AV322" s="1019" t="str">
        <f t="shared" si="8"/>
        <v/>
      </c>
      <c r="AW322" s="1019" t="str">
        <f t="shared" si="9"/>
        <v/>
      </c>
      <c r="AX322" s="1018" t="str">
        <f t="shared" si="10"/>
        <v/>
      </c>
      <c r="AY322" s="1020"/>
      <c r="AZ322" s="1019" t="str">
        <f t="shared" si="11"/>
        <v/>
      </c>
      <c r="BA322" s="1019" t="str">
        <f t="shared" si="12"/>
        <v/>
      </c>
      <c r="BB322" s="1018" t="str">
        <f t="shared" si="13"/>
        <v/>
      </c>
    </row>
    <row r="323" spans="26:54" x14ac:dyDescent="0.3">
      <c r="Z323" s="556"/>
      <c r="AA323" s="731">
        <f t="shared" si="14"/>
        <v>30</v>
      </c>
      <c r="AB323" s="1019" t="str">
        <f>IF(E88="","",E88)</f>
        <v/>
      </c>
      <c r="AC323" s="1019" t="str">
        <f>IF(G88="","",G88)</f>
        <v/>
      </c>
      <c r="AD323" s="1025" t="str">
        <f>IF(L88="","",IF(AC323="","",L88))</f>
        <v/>
      </c>
      <c r="AE323" s="1021" t="str">
        <f t="shared" si="0"/>
        <v/>
      </c>
      <c r="AF323" s="1021"/>
      <c r="AG323" s="1019" t="str">
        <f t="shared" si="1"/>
        <v/>
      </c>
      <c r="AH323" s="1019" t="str">
        <f t="shared" si="2"/>
        <v/>
      </c>
      <c r="AI323" s="1018" t="str">
        <f t="shared" si="3"/>
        <v/>
      </c>
      <c r="AJ323" s="1020"/>
      <c r="AK323" s="1019" t="str">
        <f t="shared" si="4"/>
        <v/>
      </c>
      <c r="AL323" s="1019" t="str">
        <f t="shared" si="5"/>
        <v/>
      </c>
      <c r="AM323" s="1018" t="str">
        <f t="shared" si="6"/>
        <v/>
      </c>
      <c r="AN323" s="556"/>
      <c r="AO323" s="556"/>
      <c r="AP323" s="731">
        <f t="shared" si="15"/>
        <v>30</v>
      </c>
      <c r="AQ323" s="1019" t="str">
        <f>IF(H88="","",H88)</f>
        <v/>
      </c>
      <c r="AR323" s="1019" t="str">
        <f>IF(J88="","",J88)</f>
        <v/>
      </c>
      <c r="AS323" s="1025" t="str">
        <f>IF(L88="","",IF(AR323="","",L88))</f>
        <v/>
      </c>
      <c r="AT323" s="1021" t="str">
        <f t="shared" si="7"/>
        <v/>
      </c>
      <c r="AU323" s="1021"/>
      <c r="AV323" s="1019" t="str">
        <f t="shared" si="8"/>
        <v/>
      </c>
      <c r="AW323" s="1019" t="str">
        <f t="shared" si="9"/>
        <v/>
      </c>
      <c r="AX323" s="1018" t="str">
        <f t="shared" si="10"/>
        <v/>
      </c>
      <c r="AY323" s="1020"/>
      <c r="AZ323" s="1019" t="str">
        <f t="shared" si="11"/>
        <v/>
      </c>
      <c r="BA323" s="1019" t="str">
        <f t="shared" si="12"/>
        <v/>
      </c>
      <c r="BB323" s="1018" t="str">
        <f t="shared" si="13"/>
        <v/>
      </c>
    </row>
    <row r="324" spans="26:54" x14ac:dyDescent="0.3">
      <c r="Z324" s="556"/>
      <c r="AA324" s="731">
        <f t="shared" si="14"/>
        <v>31</v>
      </c>
      <c r="AB324" s="1019" t="str">
        <f>IF(E90="","",E90)</f>
        <v/>
      </c>
      <c r="AC324" s="1019" t="str">
        <f>IF(G90="","",G90)</f>
        <v/>
      </c>
      <c r="AD324" s="1025" t="str">
        <f>IF(L90="","",IF(AC324="","",L90))</f>
        <v/>
      </c>
      <c r="AE324" s="1021" t="str">
        <f t="shared" si="0"/>
        <v/>
      </c>
      <c r="AF324" s="1021"/>
      <c r="AG324" s="1019" t="str">
        <f t="shared" si="1"/>
        <v/>
      </c>
      <c r="AH324" s="1019" t="str">
        <f t="shared" si="2"/>
        <v/>
      </c>
      <c r="AI324" s="1018" t="str">
        <f t="shared" si="3"/>
        <v/>
      </c>
      <c r="AJ324" s="1020"/>
      <c r="AK324" s="1019" t="str">
        <f t="shared" si="4"/>
        <v/>
      </c>
      <c r="AL324" s="1019" t="str">
        <f t="shared" si="5"/>
        <v/>
      </c>
      <c r="AM324" s="1018" t="str">
        <f t="shared" si="6"/>
        <v/>
      </c>
      <c r="AN324" s="556"/>
      <c r="AO324" s="556"/>
      <c r="AP324" s="731">
        <f t="shared" si="15"/>
        <v>31</v>
      </c>
      <c r="AQ324" s="1019" t="str">
        <f>IF(H90="","",H90)</f>
        <v/>
      </c>
      <c r="AR324" s="1019" t="str">
        <f>IF(J90="","",J90)</f>
        <v/>
      </c>
      <c r="AS324" s="1025" t="str">
        <f>IF(L90="","",IF(AR324="","",L90))</f>
        <v/>
      </c>
      <c r="AT324" s="1021" t="str">
        <f t="shared" si="7"/>
        <v/>
      </c>
      <c r="AU324" s="1021"/>
      <c r="AV324" s="1019" t="str">
        <f t="shared" si="8"/>
        <v/>
      </c>
      <c r="AW324" s="1019" t="str">
        <f t="shared" si="9"/>
        <v/>
      </c>
      <c r="AX324" s="1018" t="str">
        <f t="shared" si="10"/>
        <v/>
      </c>
      <c r="AY324" s="1020"/>
      <c r="AZ324" s="1019" t="str">
        <f t="shared" si="11"/>
        <v/>
      </c>
      <c r="BA324" s="1019" t="str">
        <f t="shared" si="12"/>
        <v/>
      </c>
      <c r="BB324" s="1018" t="str">
        <f t="shared" si="13"/>
        <v/>
      </c>
    </row>
    <row r="325" spans="26:54" x14ac:dyDescent="0.3">
      <c r="Z325" s="556"/>
      <c r="AA325" s="731">
        <f t="shared" si="14"/>
        <v>32</v>
      </c>
      <c r="AB325" s="1019" t="str">
        <f>IF(E92="","",E92)</f>
        <v/>
      </c>
      <c r="AC325" s="1019" t="str">
        <f>IF(G92="","",G92)</f>
        <v/>
      </c>
      <c r="AD325" s="1025" t="str">
        <f>IF(L92="","",IF(AC325="","",L92))</f>
        <v/>
      </c>
      <c r="AE325" s="1021" t="str">
        <f t="shared" si="0"/>
        <v/>
      </c>
      <c r="AF325" s="1021"/>
      <c r="AG325" s="1019" t="str">
        <f t="shared" si="1"/>
        <v/>
      </c>
      <c r="AH325" s="1019" t="str">
        <f t="shared" si="2"/>
        <v/>
      </c>
      <c r="AI325" s="1018" t="str">
        <f t="shared" si="3"/>
        <v/>
      </c>
      <c r="AJ325" s="1020"/>
      <c r="AK325" s="1019" t="str">
        <f t="shared" si="4"/>
        <v/>
      </c>
      <c r="AL325" s="1019" t="str">
        <f t="shared" si="5"/>
        <v/>
      </c>
      <c r="AM325" s="1018" t="str">
        <f t="shared" si="6"/>
        <v/>
      </c>
      <c r="AN325" s="556"/>
      <c r="AO325" s="556"/>
      <c r="AP325" s="731">
        <f t="shared" si="15"/>
        <v>32</v>
      </c>
      <c r="AQ325" s="1019" t="str">
        <f>IF(H92="","",H92)</f>
        <v/>
      </c>
      <c r="AR325" s="1019" t="str">
        <f>IF(J92="","",J92)</f>
        <v/>
      </c>
      <c r="AS325" s="1025" t="str">
        <f>IF(L92="","",IF(AR325="","",L92))</f>
        <v/>
      </c>
      <c r="AT325" s="1021" t="str">
        <f t="shared" si="7"/>
        <v/>
      </c>
      <c r="AU325" s="1021"/>
      <c r="AV325" s="1019" t="str">
        <f t="shared" si="8"/>
        <v/>
      </c>
      <c r="AW325" s="1019" t="str">
        <f t="shared" si="9"/>
        <v/>
      </c>
      <c r="AX325" s="1018" t="str">
        <f t="shared" si="10"/>
        <v/>
      </c>
      <c r="AY325" s="1020"/>
      <c r="AZ325" s="1019" t="str">
        <f t="shared" si="11"/>
        <v/>
      </c>
      <c r="BA325" s="1019" t="str">
        <f t="shared" si="12"/>
        <v/>
      </c>
      <c r="BB325" s="1018" t="str">
        <f t="shared" si="13"/>
        <v/>
      </c>
    </row>
    <row r="326" spans="26:54" x14ac:dyDescent="0.3">
      <c r="Z326" s="556"/>
      <c r="AA326" s="731">
        <f t="shared" si="14"/>
        <v>33</v>
      </c>
      <c r="AB326" s="1019" t="str">
        <f>IF(E94="","",E94)</f>
        <v/>
      </c>
      <c r="AC326" s="1019" t="str">
        <f>IF(G94="","",G94)</f>
        <v/>
      </c>
      <c r="AD326" s="1025" t="str">
        <f>IF(L94="","",IF(AC326="","",L94))</f>
        <v/>
      </c>
      <c r="AE326" s="1021" t="str">
        <f t="shared" ref="AE326:AE357" si="16">IF(AC326&lt;&gt;"",YEAR(AC326),"")</f>
        <v/>
      </c>
      <c r="AF326" s="1021"/>
      <c r="AG326" s="1019" t="str">
        <f t="shared" ref="AG326:AG357" si="17">IF(AND($AE326&lt;&gt;"",$AE326=$K$30),AB326,"")</f>
        <v/>
      </c>
      <c r="AH326" s="1019" t="str">
        <f t="shared" ref="AH326:AH357" si="18">IF(AND($AE326&lt;&gt;"",$AE326=$K$30),AC326,"")</f>
        <v/>
      </c>
      <c r="AI326" s="1018" t="str">
        <f t="shared" ref="AI326:AI357" si="19">IF(AND($AE326&lt;&gt;"",$AE326=$K$30),AD326,"")</f>
        <v/>
      </c>
      <c r="AJ326" s="1020"/>
      <c r="AK326" s="1019" t="str">
        <f t="shared" ref="AK326:AK357" si="20">IF(AE326="","",IF(AND($AE326&lt;&gt;"",$AE326=($K$30-1)),AB326,""))</f>
        <v/>
      </c>
      <c r="AL326" s="1019" t="str">
        <f t="shared" ref="AL326:AL357" si="21">IF(AE326="","",IF(AND($AE326&lt;&gt;"",$AE326=($K$30-1)),AC326,""))</f>
        <v/>
      </c>
      <c r="AM326" s="1018" t="str">
        <f t="shared" ref="AM326:AM357" si="22">IF(AE326="","",IF(AND($AE326&lt;&gt;"",$AE326=($K$30-1)),AD326,""))</f>
        <v/>
      </c>
      <c r="AN326" s="556"/>
      <c r="AO326" s="556"/>
      <c r="AP326" s="731">
        <f t="shared" si="15"/>
        <v>33</v>
      </c>
      <c r="AQ326" s="1019" t="str">
        <f>IF(H94="","",H94)</f>
        <v/>
      </c>
      <c r="AR326" s="1019" t="str">
        <f>IF(J94="","",J94)</f>
        <v/>
      </c>
      <c r="AS326" s="1025" t="str">
        <f>IF(L94="","",IF(AR326="","",L94))</f>
        <v/>
      </c>
      <c r="AT326" s="1021" t="str">
        <f t="shared" ref="AT326:AT357" si="23">IF(AR326&lt;&gt;"",YEAR(AR326),"")</f>
        <v/>
      </c>
      <c r="AU326" s="1021"/>
      <c r="AV326" s="1019" t="str">
        <f t="shared" ref="AV326:AV357" si="24">IF(AND($AT326&lt;&gt;"",$AT326=$K$32),AQ326,"")</f>
        <v/>
      </c>
      <c r="AW326" s="1019" t="str">
        <f t="shared" ref="AW326:AW357" si="25">IF(AND($AT326&lt;&gt;"",$AT326=$K$32),AR326,"")</f>
        <v/>
      </c>
      <c r="AX326" s="1018" t="str">
        <f t="shared" ref="AX326:AX357" si="26">IF(AND($AT326&lt;&gt;"",$AT326=$K$32),AS326,"")</f>
        <v/>
      </c>
      <c r="AY326" s="1020"/>
      <c r="AZ326" s="1019" t="str">
        <f t="shared" ref="AZ326:AZ357" si="27">IF(AT326="","",IF(AND($AT326&lt;&gt;"",$AT326=($K$32-1)),AQ326,""))</f>
        <v/>
      </c>
      <c r="BA326" s="1019" t="str">
        <f t="shared" ref="BA326:BA357" si="28">IF(AT326="","",IF(AND($AT326&lt;&gt;"",$AT326=($K$32-1)),AR326,""))</f>
        <v/>
      </c>
      <c r="BB326" s="1018" t="str">
        <f t="shared" ref="BB326:BB357" si="29">IF(AT326="","",IF(AND($AT326&lt;&gt;"",$AT326=($K$32-1)),AS326,""))</f>
        <v/>
      </c>
    </row>
    <row r="327" spans="26:54" x14ac:dyDescent="0.3">
      <c r="Z327" s="556"/>
      <c r="AA327" s="731">
        <f t="shared" ref="AA327:AA358" si="30">AA326+1</f>
        <v>34</v>
      </c>
      <c r="AB327" s="1019" t="str">
        <f>IF(E100="","",E100)</f>
        <v/>
      </c>
      <c r="AC327" s="1019" t="str">
        <f>IF(G100="","",G100)</f>
        <v/>
      </c>
      <c r="AD327" s="1025" t="str">
        <f>IF(L100="","",IF(AC327="","",L100))</f>
        <v/>
      </c>
      <c r="AE327" s="1021" t="str">
        <f t="shared" si="16"/>
        <v/>
      </c>
      <c r="AF327" s="1021"/>
      <c r="AG327" s="1019" t="str">
        <f t="shared" si="17"/>
        <v/>
      </c>
      <c r="AH327" s="1019" t="str">
        <f t="shared" si="18"/>
        <v/>
      </c>
      <c r="AI327" s="1018" t="str">
        <f t="shared" si="19"/>
        <v/>
      </c>
      <c r="AJ327" s="1020"/>
      <c r="AK327" s="1019" t="str">
        <f t="shared" si="20"/>
        <v/>
      </c>
      <c r="AL327" s="1019" t="str">
        <f t="shared" si="21"/>
        <v/>
      </c>
      <c r="AM327" s="1018" t="str">
        <f t="shared" si="22"/>
        <v/>
      </c>
      <c r="AN327" s="556"/>
      <c r="AO327" s="556"/>
      <c r="AP327" s="731">
        <f t="shared" ref="AP327:AP358" si="31">AP326+1</f>
        <v>34</v>
      </c>
      <c r="AQ327" s="1019" t="str">
        <f>IF(H100="","",H100)</f>
        <v/>
      </c>
      <c r="AR327" s="1019" t="str">
        <f>IF(J100="","",J100)</f>
        <v/>
      </c>
      <c r="AS327" s="1025" t="str">
        <f>IF(L100="","",IF(AR327="","",L100))</f>
        <v/>
      </c>
      <c r="AT327" s="1021" t="str">
        <f t="shared" si="23"/>
        <v/>
      </c>
      <c r="AU327" s="1021"/>
      <c r="AV327" s="1019" t="str">
        <f t="shared" si="24"/>
        <v/>
      </c>
      <c r="AW327" s="1019" t="str">
        <f t="shared" si="25"/>
        <v/>
      </c>
      <c r="AX327" s="1018" t="str">
        <f t="shared" si="26"/>
        <v/>
      </c>
      <c r="AY327" s="1020"/>
      <c r="AZ327" s="1019" t="str">
        <f t="shared" si="27"/>
        <v/>
      </c>
      <c r="BA327" s="1019" t="str">
        <f t="shared" si="28"/>
        <v/>
      </c>
      <c r="BB327" s="1018" t="str">
        <f t="shared" si="29"/>
        <v/>
      </c>
    </row>
    <row r="328" spans="26:54" x14ac:dyDescent="0.3">
      <c r="Z328" s="556"/>
      <c r="AA328" s="731">
        <f t="shared" si="30"/>
        <v>35</v>
      </c>
      <c r="AB328" s="1019" t="str">
        <f>IF(E102="","",E102)</f>
        <v/>
      </c>
      <c r="AC328" s="1019" t="str">
        <f>IF(G102="","",G102)</f>
        <v/>
      </c>
      <c r="AD328" s="1025" t="str">
        <f>IF(L102="","",IF(AC328="","",L102))</f>
        <v/>
      </c>
      <c r="AE328" s="1021" t="str">
        <f t="shared" si="16"/>
        <v/>
      </c>
      <c r="AF328" s="1021"/>
      <c r="AG328" s="1019" t="str">
        <f t="shared" si="17"/>
        <v/>
      </c>
      <c r="AH328" s="1019" t="str">
        <f t="shared" si="18"/>
        <v/>
      </c>
      <c r="AI328" s="1018" t="str">
        <f t="shared" si="19"/>
        <v/>
      </c>
      <c r="AJ328" s="1020"/>
      <c r="AK328" s="1019" t="str">
        <f t="shared" si="20"/>
        <v/>
      </c>
      <c r="AL328" s="1019" t="str">
        <f t="shared" si="21"/>
        <v/>
      </c>
      <c r="AM328" s="1018" t="str">
        <f t="shared" si="22"/>
        <v/>
      </c>
      <c r="AN328" s="556"/>
      <c r="AO328" s="556"/>
      <c r="AP328" s="731">
        <f t="shared" si="31"/>
        <v>35</v>
      </c>
      <c r="AQ328" s="1019" t="str">
        <f>IF(H102="","",H102)</f>
        <v/>
      </c>
      <c r="AR328" s="1019" t="str">
        <f>IF(J102="","",J102)</f>
        <v/>
      </c>
      <c r="AS328" s="1025" t="str">
        <f>IF(L102="","",IF(AR328="","",L102))</f>
        <v/>
      </c>
      <c r="AT328" s="1021" t="str">
        <f t="shared" si="23"/>
        <v/>
      </c>
      <c r="AU328" s="1021"/>
      <c r="AV328" s="1019" t="str">
        <f t="shared" si="24"/>
        <v/>
      </c>
      <c r="AW328" s="1019" t="str">
        <f t="shared" si="25"/>
        <v/>
      </c>
      <c r="AX328" s="1018" t="str">
        <f t="shared" si="26"/>
        <v/>
      </c>
      <c r="AY328" s="1020"/>
      <c r="AZ328" s="1019" t="str">
        <f t="shared" si="27"/>
        <v/>
      </c>
      <c r="BA328" s="1019" t="str">
        <f t="shared" si="28"/>
        <v/>
      </c>
      <c r="BB328" s="1018" t="str">
        <f t="shared" si="29"/>
        <v/>
      </c>
    </row>
    <row r="329" spans="26:54" x14ac:dyDescent="0.3">
      <c r="Z329" s="556"/>
      <c r="AA329" s="731">
        <f t="shared" si="30"/>
        <v>36</v>
      </c>
      <c r="AB329" s="1019" t="str">
        <f>IF(E104="","",E104)</f>
        <v/>
      </c>
      <c r="AC329" s="1019" t="str">
        <f>IF(G104="","",G104)</f>
        <v/>
      </c>
      <c r="AD329" s="1025" t="str">
        <f>IF(L104="","",IF(AC329="","",L104))</f>
        <v/>
      </c>
      <c r="AE329" s="1021" t="str">
        <f t="shared" si="16"/>
        <v/>
      </c>
      <c r="AF329" s="1021"/>
      <c r="AG329" s="1019" t="str">
        <f t="shared" si="17"/>
        <v/>
      </c>
      <c r="AH329" s="1019" t="str">
        <f t="shared" si="18"/>
        <v/>
      </c>
      <c r="AI329" s="1018" t="str">
        <f t="shared" si="19"/>
        <v/>
      </c>
      <c r="AJ329" s="1020"/>
      <c r="AK329" s="1019" t="str">
        <f t="shared" si="20"/>
        <v/>
      </c>
      <c r="AL329" s="1019" t="str">
        <f t="shared" si="21"/>
        <v/>
      </c>
      <c r="AM329" s="1018" t="str">
        <f t="shared" si="22"/>
        <v/>
      </c>
      <c r="AN329" s="556"/>
      <c r="AO329" s="556"/>
      <c r="AP329" s="731">
        <f t="shared" si="31"/>
        <v>36</v>
      </c>
      <c r="AQ329" s="1019" t="str">
        <f>IF(H104="","",H104)</f>
        <v/>
      </c>
      <c r="AR329" s="1019" t="str">
        <f>IF(J104="","",J104)</f>
        <v/>
      </c>
      <c r="AS329" s="1025" t="str">
        <f>IF(L104="","",IF(AR329="","",L104))</f>
        <v/>
      </c>
      <c r="AT329" s="1021" t="str">
        <f t="shared" si="23"/>
        <v/>
      </c>
      <c r="AU329" s="1021"/>
      <c r="AV329" s="1019" t="str">
        <f t="shared" si="24"/>
        <v/>
      </c>
      <c r="AW329" s="1019" t="str">
        <f t="shared" si="25"/>
        <v/>
      </c>
      <c r="AX329" s="1018" t="str">
        <f t="shared" si="26"/>
        <v/>
      </c>
      <c r="AY329" s="1020"/>
      <c r="AZ329" s="1019" t="str">
        <f t="shared" si="27"/>
        <v/>
      </c>
      <c r="BA329" s="1019" t="str">
        <f t="shared" si="28"/>
        <v/>
      </c>
      <c r="BB329" s="1018" t="str">
        <f t="shared" si="29"/>
        <v/>
      </c>
    </row>
    <row r="330" spans="26:54" x14ac:dyDescent="0.3">
      <c r="Z330" s="556"/>
      <c r="AA330" s="731">
        <f t="shared" si="30"/>
        <v>37</v>
      </c>
      <c r="AB330" s="1019" t="str">
        <f>IF(E106="","",E106)</f>
        <v/>
      </c>
      <c r="AC330" s="1019" t="str">
        <f>IF(G106="","",G106)</f>
        <v/>
      </c>
      <c r="AD330" s="1025" t="str">
        <f>IF(L106="","",IF(AC330="","",L106))</f>
        <v/>
      </c>
      <c r="AE330" s="1021" t="str">
        <f t="shared" si="16"/>
        <v/>
      </c>
      <c r="AF330" s="1021"/>
      <c r="AG330" s="1019" t="str">
        <f t="shared" si="17"/>
        <v/>
      </c>
      <c r="AH330" s="1019" t="str">
        <f t="shared" si="18"/>
        <v/>
      </c>
      <c r="AI330" s="1018" t="str">
        <f t="shared" si="19"/>
        <v/>
      </c>
      <c r="AJ330" s="1020"/>
      <c r="AK330" s="1019" t="str">
        <f t="shared" si="20"/>
        <v/>
      </c>
      <c r="AL330" s="1019" t="str">
        <f t="shared" si="21"/>
        <v/>
      </c>
      <c r="AM330" s="1018" t="str">
        <f t="shared" si="22"/>
        <v/>
      </c>
      <c r="AN330" s="556"/>
      <c r="AO330" s="556"/>
      <c r="AP330" s="731">
        <f t="shared" si="31"/>
        <v>37</v>
      </c>
      <c r="AQ330" s="1019" t="str">
        <f>IF(H106="","",H106)</f>
        <v/>
      </c>
      <c r="AR330" s="1019" t="str">
        <f>IF(J106="","",J106)</f>
        <v/>
      </c>
      <c r="AS330" s="1025" t="str">
        <f>IF(L106="","",IF(AR330="","",L106))</f>
        <v/>
      </c>
      <c r="AT330" s="1021" t="str">
        <f t="shared" si="23"/>
        <v/>
      </c>
      <c r="AU330" s="1021"/>
      <c r="AV330" s="1019" t="str">
        <f t="shared" si="24"/>
        <v/>
      </c>
      <c r="AW330" s="1019" t="str">
        <f t="shared" si="25"/>
        <v/>
      </c>
      <c r="AX330" s="1018" t="str">
        <f t="shared" si="26"/>
        <v/>
      </c>
      <c r="AY330" s="1020"/>
      <c r="AZ330" s="1019" t="str">
        <f t="shared" si="27"/>
        <v/>
      </c>
      <c r="BA330" s="1019" t="str">
        <f t="shared" si="28"/>
        <v/>
      </c>
      <c r="BB330" s="1018" t="str">
        <f t="shared" si="29"/>
        <v/>
      </c>
    </row>
    <row r="331" spans="26:54" x14ac:dyDescent="0.3">
      <c r="Z331" s="556"/>
      <c r="AA331" s="731">
        <f t="shared" si="30"/>
        <v>38</v>
      </c>
      <c r="AB331" s="1019" t="str">
        <f>IF(E108="","",E108)</f>
        <v/>
      </c>
      <c r="AC331" s="1019" t="str">
        <f>IF(G108="","",G108)</f>
        <v/>
      </c>
      <c r="AD331" s="1025" t="str">
        <f>IF(L108="","",IF(AC331="","",L108))</f>
        <v/>
      </c>
      <c r="AE331" s="1021" t="str">
        <f t="shared" si="16"/>
        <v/>
      </c>
      <c r="AF331" s="1021"/>
      <c r="AG331" s="1019" t="str">
        <f t="shared" si="17"/>
        <v/>
      </c>
      <c r="AH331" s="1019" t="str">
        <f t="shared" si="18"/>
        <v/>
      </c>
      <c r="AI331" s="1018" t="str">
        <f t="shared" si="19"/>
        <v/>
      </c>
      <c r="AJ331" s="1020"/>
      <c r="AK331" s="1019" t="str">
        <f t="shared" si="20"/>
        <v/>
      </c>
      <c r="AL331" s="1019" t="str">
        <f t="shared" si="21"/>
        <v/>
      </c>
      <c r="AM331" s="1018" t="str">
        <f t="shared" si="22"/>
        <v/>
      </c>
      <c r="AN331" s="556"/>
      <c r="AO331" s="556"/>
      <c r="AP331" s="731">
        <f t="shared" si="31"/>
        <v>38</v>
      </c>
      <c r="AQ331" s="1019" t="str">
        <f>IF(H108="","",H108)</f>
        <v/>
      </c>
      <c r="AR331" s="1019" t="str">
        <f>IF(J108="","",J108)</f>
        <v/>
      </c>
      <c r="AS331" s="1025" t="str">
        <f>IF(L108="","",IF(AR331="","",L108))</f>
        <v/>
      </c>
      <c r="AT331" s="1021" t="str">
        <f t="shared" si="23"/>
        <v/>
      </c>
      <c r="AU331" s="1021"/>
      <c r="AV331" s="1019" t="str">
        <f t="shared" si="24"/>
        <v/>
      </c>
      <c r="AW331" s="1019" t="str">
        <f t="shared" si="25"/>
        <v/>
      </c>
      <c r="AX331" s="1018" t="str">
        <f t="shared" si="26"/>
        <v/>
      </c>
      <c r="AY331" s="1020"/>
      <c r="AZ331" s="1019" t="str">
        <f t="shared" si="27"/>
        <v/>
      </c>
      <c r="BA331" s="1019" t="str">
        <f t="shared" si="28"/>
        <v/>
      </c>
      <c r="BB331" s="1018" t="str">
        <f t="shared" si="29"/>
        <v/>
      </c>
    </row>
    <row r="332" spans="26:54" x14ac:dyDescent="0.3">
      <c r="Z332" s="556"/>
      <c r="AA332" s="731">
        <f t="shared" si="30"/>
        <v>39</v>
      </c>
      <c r="AB332" s="1019" t="str">
        <f>IF(E110="","",E110)</f>
        <v/>
      </c>
      <c r="AC332" s="1019" t="str">
        <f>IF(G110="","",G110)</f>
        <v/>
      </c>
      <c r="AD332" s="1025" t="str">
        <f>IF(L110="","",IF(AC332="","",L110))</f>
        <v/>
      </c>
      <c r="AE332" s="1021" t="str">
        <f t="shared" si="16"/>
        <v/>
      </c>
      <c r="AF332" s="1021"/>
      <c r="AG332" s="1019" t="str">
        <f t="shared" si="17"/>
        <v/>
      </c>
      <c r="AH332" s="1019" t="str">
        <f t="shared" si="18"/>
        <v/>
      </c>
      <c r="AI332" s="1018" t="str">
        <f t="shared" si="19"/>
        <v/>
      </c>
      <c r="AJ332" s="1020"/>
      <c r="AK332" s="1019" t="str">
        <f t="shared" si="20"/>
        <v/>
      </c>
      <c r="AL332" s="1019" t="str">
        <f t="shared" si="21"/>
        <v/>
      </c>
      <c r="AM332" s="1018" t="str">
        <f t="shared" si="22"/>
        <v/>
      </c>
      <c r="AN332" s="556"/>
      <c r="AO332" s="556"/>
      <c r="AP332" s="731">
        <f t="shared" si="31"/>
        <v>39</v>
      </c>
      <c r="AQ332" s="1019" t="str">
        <f>IF(H110="","",H110)</f>
        <v/>
      </c>
      <c r="AR332" s="1019" t="str">
        <f>IF(J110="","",J110)</f>
        <v/>
      </c>
      <c r="AS332" s="1025" t="str">
        <f>IF(L110="","",IF(AR332="","",L110))</f>
        <v/>
      </c>
      <c r="AT332" s="1021" t="str">
        <f t="shared" si="23"/>
        <v/>
      </c>
      <c r="AU332" s="1021"/>
      <c r="AV332" s="1019" t="str">
        <f t="shared" si="24"/>
        <v/>
      </c>
      <c r="AW332" s="1019" t="str">
        <f t="shared" si="25"/>
        <v/>
      </c>
      <c r="AX332" s="1018" t="str">
        <f t="shared" si="26"/>
        <v/>
      </c>
      <c r="AY332" s="1020"/>
      <c r="AZ332" s="1019" t="str">
        <f t="shared" si="27"/>
        <v/>
      </c>
      <c r="BA332" s="1019" t="str">
        <f t="shared" si="28"/>
        <v/>
      </c>
      <c r="BB332" s="1018" t="str">
        <f t="shared" si="29"/>
        <v/>
      </c>
    </row>
    <row r="333" spans="26:54" x14ac:dyDescent="0.3">
      <c r="Z333" s="556"/>
      <c r="AA333" s="731">
        <f t="shared" si="30"/>
        <v>40</v>
      </c>
      <c r="AB333" s="1019" t="str">
        <f>IF(E112="","",E112)</f>
        <v/>
      </c>
      <c r="AC333" s="1019" t="str">
        <f>IF(G112="","",G112)</f>
        <v/>
      </c>
      <c r="AD333" s="1025" t="str">
        <f>IF(L112="","",IF(AC333="","",L112))</f>
        <v/>
      </c>
      <c r="AE333" s="1021" t="str">
        <f t="shared" si="16"/>
        <v/>
      </c>
      <c r="AF333" s="1021"/>
      <c r="AG333" s="1019" t="str">
        <f t="shared" si="17"/>
        <v/>
      </c>
      <c r="AH333" s="1019" t="str">
        <f t="shared" si="18"/>
        <v/>
      </c>
      <c r="AI333" s="1018" t="str">
        <f t="shared" si="19"/>
        <v/>
      </c>
      <c r="AJ333" s="1020"/>
      <c r="AK333" s="1019" t="str">
        <f t="shared" si="20"/>
        <v/>
      </c>
      <c r="AL333" s="1019" t="str">
        <f t="shared" si="21"/>
        <v/>
      </c>
      <c r="AM333" s="1018" t="str">
        <f t="shared" si="22"/>
        <v/>
      </c>
      <c r="AN333" s="556"/>
      <c r="AO333" s="556"/>
      <c r="AP333" s="731">
        <f t="shared" si="31"/>
        <v>40</v>
      </c>
      <c r="AQ333" s="1019" t="str">
        <f>IF(H112="","",H112)</f>
        <v/>
      </c>
      <c r="AR333" s="1019" t="str">
        <f>IF(J112="","",J112)</f>
        <v/>
      </c>
      <c r="AS333" s="1025" t="str">
        <f>IF(L112="","",IF(AR333="","",L112))</f>
        <v/>
      </c>
      <c r="AT333" s="1021" t="str">
        <f t="shared" si="23"/>
        <v/>
      </c>
      <c r="AU333" s="1021"/>
      <c r="AV333" s="1019" t="str">
        <f t="shared" si="24"/>
        <v/>
      </c>
      <c r="AW333" s="1019" t="str">
        <f t="shared" si="25"/>
        <v/>
      </c>
      <c r="AX333" s="1018" t="str">
        <f t="shared" si="26"/>
        <v/>
      </c>
      <c r="AY333" s="1020"/>
      <c r="AZ333" s="1019" t="str">
        <f t="shared" si="27"/>
        <v/>
      </c>
      <c r="BA333" s="1019" t="str">
        <f t="shared" si="28"/>
        <v/>
      </c>
      <c r="BB333" s="1018" t="str">
        <f t="shared" si="29"/>
        <v/>
      </c>
    </row>
    <row r="334" spans="26:54" x14ac:dyDescent="0.3">
      <c r="Z334" s="556"/>
      <c r="AA334" s="731">
        <f t="shared" si="30"/>
        <v>41</v>
      </c>
      <c r="AB334" s="1019" t="str">
        <f>IF(E114="","",E114)</f>
        <v/>
      </c>
      <c r="AC334" s="1019" t="str">
        <f>IF(G114="","",G114)</f>
        <v/>
      </c>
      <c r="AD334" s="1025" t="str">
        <f>IF(L114="","",IF(AC334="","",L114))</f>
        <v/>
      </c>
      <c r="AE334" s="1021" t="str">
        <f t="shared" si="16"/>
        <v/>
      </c>
      <c r="AF334" s="1021"/>
      <c r="AG334" s="1019" t="str">
        <f t="shared" si="17"/>
        <v/>
      </c>
      <c r="AH334" s="1019" t="str">
        <f t="shared" si="18"/>
        <v/>
      </c>
      <c r="AI334" s="1018" t="str">
        <f t="shared" si="19"/>
        <v/>
      </c>
      <c r="AJ334" s="1020"/>
      <c r="AK334" s="1019" t="str">
        <f t="shared" si="20"/>
        <v/>
      </c>
      <c r="AL334" s="1019" t="str">
        <f t="shared" si="21"/>
        <v/>
      </c>
      <c r="AM334" s="1018" t="str">
        <f t="shared" si="22"/>
        <v/>
      </c>
      <c r="AN334" s="556"/>
      <c r="AO334" s="556"/>
      <c r="AP334" s="731">
        <f t="shared" si="31"/>
        <v>41</v>
      </c>
      <c r="AQ334" s="1019" t="str">
        <f>IF(H114="","",H114)</f>
        <v/>
      </c>
      <c r="AR334" s="1019" t="str">
        <f>IF(J114="","",J114)</f>
        <v/>
      </c>
      <c r="AS334" s="1025" t="str">
        <f>IF(L114="","",IF(AR334="","",L114))</f>
        <v/>
      </c>
      <c r="AT334" s="1021" t="str">
        <f t="shared" si="23"/>
        <v/>
      </c>
      <c r="AU334" s="1021"/>
      <c r="AV334" s="1019" t="str">
        <f t="shared" si="24"/>
        <v/>
      </c>
      <c r="AW334" s="1019" t="str">
        <f t="shared" si="25"/>
        <v/>
      </c>
      <c r="AX334" s="1018" t="str">
        <f t="shared" si="26"/>
        <v/>
      </c>
      <c r="AY334" s="1020"/>
      <c r="AZ334" s="1019" t="str">
        <f t="shared" si="27"/>
        <v/>
      </c>
      <c r="BA334" s="1019" t="str">
        <f t="shared" si="28"/>
        <v/>
      </c>
      <c r="BB334" s="1018" t="str">
        <f t="shared" si="29"/>
        <v/>
      </c>
    </row>
    <row r="335" spans="26:54" x14ac:dyDescent="0.3">
      <c r="Z335" s="556"/>
      <c r="AA335" s="731">
        <f t="shared" si="30"/>
        <v>42</v>
      </c>
      <c r="AB335" s="1019" t="str">
        <f>IF(E116="","",E116)</f>
        <v/>
      </c>
      <c r="AC335" s="1019" t="str">
        <f>IF(G116="","",G116)</f>
        <v/>
      </c>
      <c r="AD335" s="1025" t="str">
        <f>IF(L116="","",IF(AC335="","",L116))</f>
        <v/>
      </c>
      <c r="AE335" s="1021" t="str">
        <f t="shared" si="16"/>
        <v/>
      </c>
      <c r="AF335" s="1021"/>
      <c r="AG335" s="1019" t="str">
        <f t="shared" si="17"/>
        <v/>
      </c>
      <c r="AH335" s="1019" t="str">
        <f t="shared" si="18"/>
        <v/>
      </c>
      <c r="AI335" s="1018" t="str">
        <f t="shared" si="19"/>
        <v/>
      </c>
      <c r="AJ335" s="1020"/>
      <c r="AK335" s="1019" t="str">
        <f t="shared" si="20"/>
        <v/>
      </c>
      <c r="AL335" s="1019" t="str">
        <f t="shared" si="21"/>
        <v/>
      </c>
      <c r="AM335" s="1018" t="str">
        <f t="shared" si="22"/>
        <v/>
      </c>
      <c r="AN335" s="556"/>
      <c r="AO335" s="556"/>
      <c r="AP335" s="731">
        <f t="shared" si="31"/>
        <v>42</v>
      </c>
      <c r="AQ335" s="1019" t="str">
        <f>IF(H116="","",H116)</f>
        <v/>
      </c>
      <c r="AR335" s="1019" t="str">
        <f>IF(J116="","",J116)</f>
        <v/>
      </c>
      <c r="AS335" s="1025" t="str">
        <f>IF(L116="","",IF(AR335="","",L116))</f>
        <v/>
      </c>
      <c r="AT335" s="1021" t="str">
        <f t="shared" si="23"/>
        <v/>
      </c>
      <c r="AU335" s="1021"/>
      <c r="AV335" s="1019" t="str">
        <f t="shared" si="24"/>
        <v/>
      </c>
      <c r="AW335" s="1019" t="str">
        <f t="shared" si="25"/>
        <v/>
      </c>
      <c r="AX335" s="1018" t="str">
        <f t="shared" si="26"/>
        <v/>
      </c>
      <c r="AY335" s="1020"/>
      <c r="AZ335" s="1019" t="str">
        <f t="shared" si="27"/>
        <v/>
      </c>
      <c r="BA335" s="1019" t="str">
        <f t="shared" si="28"/>
        <v/>
      </c>
      <c r="BB335" s="1018" t="str">
        <f t="shared" si="29"/>
        <v/>
      </c>
    </row>
    <row r="336" spans="26:54" x14ac:dyDescent="0.3">
      <c r="Z336" s="556"/>
      <c r="AA336" s="731">
        <f t="shared" si="30"/>
        <v>43</v>
      </c>
      <c r="AB336" s="1019" t="str">
        <f>IF(E118="","",E118)</f>
        <v/>
      </c>
      <c r="AC336" s="1019" t="str">
        <f>IF(G118="","",G118)</f>
        <v/>
      </c>
      <c r="AD336" s="1025" t="str">
        <f>IF(L118="","",IF(AC336="","",L118))</f>
        <v/>
      </c>
      <c r="AE336" s="1021" t="str">
        <f t="shared" si="16"/>
        <v/>
      </c>
      <c r="AF336" s="1021"/>
      <c r="AG336" s="1019" t="str">
        <f t="shared" si="17"/>
        <v/>
      </c>
      <c r="AH336" s="1019" t="str">
        <f t="shared" si="18"/>
        <v/>
      </c>
      <c r="AI336" s="1018" t="str">
        <f t="shared" si="19"/>
        <v/>
      </c>
      <c r="AJ336" s="1020"/>
      <c r="AK336" s="1019" t="str">
        <f t="shared" si="20"/>
        <v/>
      </c>
      <c r="AL336" s="1019" t="str">
        <f t="shared" si="21"/>
        <v/>
      </c>
      <c r="AM336" s="1018" t="str">
        <f t="shared" si="22"/>
        <v/>
      </c>
      <c r="AN336" s="556"/>
      <c r="AO336" s="556"/>
      <c r="AP336" s="731">
        <f t="shared" si="31"/>
        <v>43</v>
      </c>
      <c r="AQ336" s="1019" t="str">
        <f>IF(H118="","",H118)</f>
        <v/>
      </c>
      <c r="AR336" s="1019" t="str">
        <f>IF(J118="","",J118)</f>
        <v/>
      </c>
      <c r="AS336" s="1025" t="str">
        <f>IF(L118="","",IF(AR336="","",L118))</f>
        <v/>
      </c>
      <c r="AT336" s="1021" t="str">
        <f t="shared" si="23"/>
        <v/>
      </c>
      <c r="AU336" s="1021"/>
      <c r="AV336" s="1019" t="str">
        <f t="shared" si="24"/>
        <v/>
      </c>
      <c r="AW336" s="1019" t="str">
        <f t="shared" si="25"/>
        <v/>
      </c>
      <c r="AX336" s="1018" t="str">
        <f t="shared" si="26"/>
        <v/>
      </c>
      <c r="AY336" s="1020"/>
      <c r="AZ336" s="1019" t="str">
        <f t="shared" si="27"/>
        <v/>
      </c>
      <c r="BA336" s="1019" t="str">
        <f t="shared" si="28"/>
        <v/>
      </c>
      <c r="BB336" s="1018" t="str">
        <f t="shared" si="29"/>
        <v/>
      </c>
    </row>
    <row r="337" spans="26:54" x14ac:dyDescent="0.3">
      <c r="Z337" s="556"/>
      <c r="AA337" s="731">
        <f t="shared" si="30"/>
        <v>44</v>
      </c>
      <c r="AB337" s="1019" t="str">
        <f>IF(E120="","",E120)</f>
        <v/>
      </c>
      <c r="AC337" s="1019" t="str">
        <f>IF(G120="","",G120)</f>
        <v/>
      </c>
      <c r="AD337" s="1025" t="str">
        <f>IF(L120="","",IF(AC337="","",L120))</f>
        <v/>
      </c>
      <c r="AE337" s="1021" t="str">
        <f t="shared" si="16"/>
        <v/>
      </c>
      <c r="AF337" s="1021"/>
      <c r="AG337" s="1019" t="str">
        <f t="shared" si="17"/>
        <v/>
      </c>
      <c r="AH337" s="1019" t="str">
        <f t="shared" si="18"/>
        <v/>
      </c>
      <c r="AI337" s="1018" t="str">
        <f t="shared" si="19"/>
        <v/>
      </c>
      <c r="AJ337" s="1020"/>
      <c r="AK337" s="1019" t="str">
        <f t="shared" si="20"/>
        <v/>
      </c>
      <c r="AL337" s="1019" t="str">
        <f t="shared" si="21"/>
        <v/>
      </c>
      <c r="AM337" s="1018" t="str">
        <f t="shared" si="22"/>
        <v/>
      </c>
      <c r="AN337" s="556"/>
      <c r="AO337" s="556"/>
      <c r="AP337" s="731">
        <f t="shared" si="31"/>
        <v>44</v>
      </c>
      <c r="AQ337" s="1019" t="str">
        <f>IF(H120="","",H120)</f>
        <v/>
      </c>
      <c r="AR337" s="1019" t="str">
        <f>IF(J120="","",J120)</f>
        <v/>
      </c>
      <c r="AS337" s="1025" t="str">
        <f>IF(L120="","",IF(AR337="","",L120))</f>
        <v/>
      </c>
      <c r="AT337" s="1021" t="str">
        <f t="shared" si="23"/>
        <v/>
      </c>
      <c r="AU337" s="1021"/>
      <c r="AV337" s="1019" t="str">
        <f t="shared" si="24"/>
        <v/>
      </c>
      <c r="AW337" s="1019" t="str">
        <f t="shared" si="25"/>
        <v/>
      </c>
      <c r="AX337" s="1018" t="str">
        <f t="shared" si="26"/>
        <v/>
      </c>
      <c r="AY337" s="1020"/>
      <c r="AZ337" s="1019" t="str">
        <f t="shared" si="27"/>
        <v/>
      </c>
      <c r="BA337" s="1019" t="str">
        <f t="shared" si="28"/>
        <v/>
      </c>
      <c r="BB337" s="1018" t="str">
        <f t="shared" si="29"/>
        <v/>
      </c>
    </row>
    <row r="338" spans="26:54" x14ac:dyDescent="0.3">
      <c r="Z338" s="556"/>
      <c r="AA338" s="731">
        <f t="shared" si="30"/>
        <v>45</v>
      </c>
      <c r="AB338" s="1019" t="str">
        <f>IF(E122="","",E122)</f>
        <v/>
      </c>
      <c r="AC338" s="1019" t="str">
        <f>IF(G122="","",G122)</f>
        <v/>
      </c>
      <c r="AD338" s="1025" t="str">
        <f>IF(L122="","",IF(AC338="","",L122))</f>
        <v/>
      </c>
      <c r="AE338" s="1021" t="str">
        <f t="shared" si="16"/>
        <v/>
      </c>
      <c r="AF338" s="1021"/>
      <c r="AG338" s="1019" t="str">
        <f t="shared" si="17"/>
        <v/>
      </c>
      <c r="AH338" s="1019" t="str">
        <f t="shared" si="18"/>
        <v/>
      </c>
      <c r="AI338" s="1018" t="str">
        <f t="shared" si="19"/>
        <v/>
      </c>
      <c r="AJ338" s="1020"/>
      <c r="AK338" s="1019" t="str">
        <f t="shared" si="20"/>
        <v/>
      </c>
      <c r="AL338" s="1019" t="str">
        <f t="shared" si="21"/>
        <v/>
      </c>
      <c r="AM338" s="1018" t="str">
        <f t="shared" si="22"/>
        <v/>
      </c>
      <c r="AN338" s="556"/>
      <c r="AO338" s="556"/>
      <c r="AP338" s="731">
        <f t="shared" si="31"/>
        <v>45</v>
      </c>
      <c r="AQ338" s="1019" t="str">
        <f>IF(H122="","",H122)</f>
        <v/>
      </c>
      <c r="AR338" s="1019" t="str">
        <f>IF(J122="","",J122)</f>
        <v/>
      </c>
      <c r="AS338" s="1025" t="str">
        <f>IF(L122="","",IF(AR338="","",L122))</f>
        <v/>
      </c>
      <c r="AT338" s="1021" t="str">
        <f t="shared" si="23"/>
        <v/>
      </c>
      <c r="AU338" s="1021"/>
      <c r="AV338" s="1019" t="str">
        <f t="shared" si="24"/>
        <v/>
      </c>
      <c r="AW338" s="1019" t="str">
        <f t="shared" si="25"/>
        <v/>
      </c>
      <c r="AX338" s="1018" t="str">
        <f t="shared" si="26"/>
        <v/>
      </c>
      <c r="AY338" s="1020"/>
      <c r="AZ338" s="1019" t="str">
        <f t="shared" si="27"/>
        <v/>
      </c>
      <c r="BA338" s="1019" t="str">
        <f t="shared" si="28"/>
        <v/>
      </c>
      <c r="BB338" s="1018" t="str">
        <f t="shared" si="29"/>
        <v/>
      </c>
    </row>
    <row r="339" spans="26:54" x14ac:dyDescent="0.3">
      <c r="Z339" s="556"/>
      <c r="AA339" s="731">
        <f t="shared" si="30"/>
        <v>46</v>
      </c>
      <c r="AB339" s="1019" t="str">
        <f>IF(E124="","",E124)</f>
        <v/>
      </c>
      <c r="AC339" s="1019" t="str">
        <f>IF(G124="","",G124)</f>
        <v/>
      </c>
      <c r="AD339" s="1025" t="str">
        <f>IF(L124="","",IF(AC339="","",L124))</f>
        <v/>
      </c>
      <c r="AE339" s="1021" t="str">
        <f t="shared" si="16"/>
        <v/>
      </c>
      <c r="AF339" s="1021"/>
      <c r="AG339" s="1019" t="str">
        <f t="shared" si="17"/>
        <v/>
      </c>
      <c r="AH339" s="1019" t="str">
        <f t="shared" si="18"/>
        <v/>
      </c>
      <c r="AI339" s="1018" t="str">
        <f t="shared" si="19"/>
        <v/>
      </c>
      <c r="AJ339" s="1020"/>
      <c r="AK339" s="1019" t="str">
        <f t="shared" si="20"/>
        <v/>
      </c>
      <c r="AL339" s="1019" t="str">
        <f t="shared" si="21"/>
        <v/>
      </c>
      <c r="AM339" s="1018" t="str">
        <f t="shared" si="22"/>
        <v/>
      </c>
      <c r="AN339" s="556"/>
      <c r="AO339" s="556"/>
      <c r="AP339" s="731">
        <f t="shared" si="31"/>
        <v>46</v>
      </c>
      <c r="AQ339" s="1019" t="str">
        <f>IF(H124="","",H124)</f>
        <v/>
      </c>
      <c r="AR339" s="1019" t="str">
        <f>IF(J124="","",J124)</f>
        <v/>
      </c>
      <c r="AS339" s="1025" t="str">
        <f>IF(L124="","",IF(AR339="","",L124))</f>
        <v/>
      </c>
      <c r="AT339" s="1021" t="str">
        <f t="shared" si="23"/>
        <v/>
      </c>
      <c r="AU339" s="1021"/>
      <c r="AV339" s="1019" t="str">
        <f t="shared" si="24"/>
        <v/>
      </c>
      <c r="AW339" s="1019" t="str">
        <f t="shared" si="25"/>
        <v/>
      </c>
      <c r="AX339" s="1018" t="str">
        <f t="shared" si="26"/>
        <v/>
      </c>
      <c r="AY339" s="1020"/>
      <c r="AZ339" s="1019" t="str">
        <f t="shared" si="27"/>
        <v/>
      </c>
      <c r="BA339" s="1019" t="str">
        <f t="shared" si="28"/>
        <v/>
      </c>
      <c r="BB339" s="1018" t="str">
        <f t="shared" si="29"/>
        <v/>
      </c>
    </row>
    <row r="340" spans="26:54" x14ac:dyDescent="0.3">
      <c r="Z340" s="556"/>
      <c r="AA340" s="731">
        <f t="shared" si="30"/>
        <v>47</v>
      </c>
      <c r="AB340" s="1019" t="str">
        <f>IF(E126="","",E126)</f>
        <v/>
      </c>
      <c r="AC340" s="1019" t="str">
        <f>IF(G126="","",G126)</f>
        <v/>
      </c>
      <c r="AD340" s="1025" t="str">
        <f>IF(L126="","",IF(AC340="","",L126))</f>
        <v/>
      </c>
      <c r="AE340" s="1021" t="str">
        <f t="shared" si="16"/>
        <v/>
      </c>
      <c r="AF340" s="1021"/>
      <c r="AG340" s="1019" t="str">
        <f t="shared" si="17"/>
        <v/>
      </c>
      <c r="AH340" s="1019" t="str">
        <f t="shared" si="18"/>
        <v/>
      </c>
      <c r="AI340" s="1018" t="str">
        <f t="shared" si="19"/>
        <v/>
      </c>
      <c r="AJ340" s="1020"/>
      <c r="AK340" s="1019" t="str">
        <f t="shared" si="20"/>
        <v/>
      </c>
      <c r="AL340" s="1019" t="str">
        <f t="shared" si="21"/>
        <v/>
      </c>
      <c r="AM340" s="1018" t="str">
        <f t="shared" si="22"/>
        <v/>
      </c>
      <c r="AN340" s="556"/>
      <c r="AO340" s="556"/>
      <c r="AP340" s="731">
        <f t="shared" si="31"/>
        <v>47</v>
      </c>
      <c r="AQ340" s="1019" t="str">
        <f>IF(H126="","",H126)</f>
        <v/>
      </c>
      <c r="AR340" s="1019" t="str">
        <f>IF(J126="","",J126)</f>
        <v/>
      </c>
      <c r="AS340" s="1025" t="str">
        <f>IF(L126="","",IF(AR340="","",L126))</f>
        <v/>
      </c>
      <c r="AT340" s="1021" t="str">
        <f t="shared" si="23"/>
        <v/>
      </c>
      <c r="AU340" s="1021"/>
      <c r="AV340" s="1019" t="str">
        <f t="shared" si="24"/>
        <v/>
      </c>
      <c r="AW340" s="1019" t="str">
        <f t="shared" si="25"/>
        <v/>
      </c>
      <c r="AX340" s="1018" t="str">
        <f t="shared" si="26"/>
        <v/>
      </c>
      <c r="AY340" s="1020"/>
      <c r="AZ340" s="1019" t="str">
        <f t="shared" si="27"/>
        <v/>
      </c>
      <c r="BA340" s="1019" t="str">
        <f t="shared" si="28"/>
        <v/>
      </c>
      <c r="BB340" s="1018" t="str">
        <f t="shared" si="29"/>
        <v/>
      </c>
    </row>
    <row r="341" spans="26:54" x14ac:dyDescent="0.3">
      <c r="Z341" s="556"/>
      <c r="AA341" s="731">
        <f t="shared" si="30"/>
        <v>48</v>
      </c>
      <c r="AB341" s="1019" t="str">
        <f>IF(E128="","",E128)</f>
        <v/>
      </c>
      <c r="AC341" s="1019" t="str">
        <f>IF(G128="","",G128)</f>
        <v/>
      </c>
      <c r="AD341" s="1025" t="str">
        <f>IF(L128="","",IF(AC341="","",L128))</f>
        <v/>
      </c>
      <c r="AE341" s="1021" t="str">
        <f t="shared" si="16"/>
        <v/>
      </c>
      <c r="AF341" s="1021"/>
      <c r="AG341" s="1019" t="str">
        <f t="shared" si="17"/>
        <v/>
      </c>
      <c r="AH341" s="1019" t="str">
        <f t="shared" si="18"/>
        <v/>
      </c>
      <c r="AI341" s="1018" t="str">
        <f t="shared" si="19"/>
        <v/>
      </c>
      <c r="AJ341" s="1020"/>
      <c r="AK341" s="1019" t="str">
        <f t="shared" si="20"/>
        <v/>
      </c>
      <c r="AL341" s="1019" t="str">
        <f t="shared" si="21"/>
        <v/>
      </c>
      <c r="AM341" s="1018" t="str">
        <f t="shared" si="22"/>
        <v/>
      </c>
      <c r="AN341" s="556"/>
      <c r="AO341" s="556"/>
      <c r="AP341" s="731">
        <f t="shared" si="31"/>
        <v>48</v>
      </c>
      <c r="AQ341" s="1019" t="str">
        <f>IF(H128="","",H128)</f>
        <v/>
      </c>
      <c r="AR341" s="1019" t="str">
        <f>IF(J128="","",J128)</f>
        <v/>
      </c>
      <c r="AS341" s="1025" t="str">
        <f>IF(L128="","",IF(AR341="","",L128))</f>
        <v/>
      </c>
      <c r="AT341" s="1021" t="str">
        <f t="shared" si="23"/>
        <v/>
      </c>
      <c r="AU341" s="1021"/>
      <c r="AV341" s="1019" t="str">
        <f t="shared" si="24"/>
        <v/>
      </c>
      <c r="AW341" s="1019" t="str">
        <f t="shared" si="25"/>
        <v/>
      </c>
      <c r="AX341" s="1018" t="str">
        <f t="shared" si="26"/>
        <v/>
      </c>
      <c r="AY341" s="1020"/>
      <c r="AZ341" s="1019" t="str">
        <f t="shared" si="27"/>
        <v/>
      </c>
      <c r="BA341" s="1019" t="str">
        <f t="shared" si="28"/>
        <v/>
      </c>
      <c r="BB341" s="1018" t="str">
        <f t="shared" si="29"/>
        <v/>
      </c>
    </row>
    <row r="342" spans="26:54" x14ac:dyDescent="0.3">
      <c r="Z342" s="556"/>
      <c r="AA342" s="731">
        <f t="shared" si="30"/>
        <v>49</v>
      </c>
      <c r="AB342" s="1019" t="str">
        <f>IF(E130="","",E130)</f>
        <v/>
      </c>
      <c r="AC342" s="1019" t="str">
        <f>IF(G130="","",G130)</f>
        <v/>
      </c>
      <c r="AD342" s="1025" t="str">
        <f>IF(L130="","",IF(AC342="","",L130))</f>
        <v/>
      </c>
      <c r="AE342" s="1021" t="str">
        <f t="shared" si="16"/>
        <v/>
      </c>
      <c r="AF342" s="1021"/>
      <c r="AG342" s="1019" t="str">
        <f t="shared" si="17"/>
        <v/>
      </c>
      <c r="AH342" s="1019" t="str">
        <f t="shared" si="18"/>
        <v/>
      </c>
      <c r="AI342" s="1018" t="str">
        <f t="shared" si="19"/>
        <v/>
      </c>
      <c r="AJ342" s="1020"/>
      <c r="AK342" s="1019" t="str">
        <f t="shared" si="20"/>
        <v/>
      </c>
      <c r="AL342" s="1019" t="str">
        <f t="shared" si="21"/>
        <v/>
      </c>
      <c r="AM342" s="1018" t="str">
        <f t="shared" si="22"/>
        <v/>
      </c>
      <c r="AN342" s="556"/>
      <c r="AO342" s="556"/>
      <c r="AP342" s="731">
        <f t="shared" si="31"/>
        <v>49</v>
      </c>
      <c r="AQ342" s="1019" t="str">
        <f>IF(H130="","",H130)</f>
        <v/>
      </c>
      <c r="AR342" s="1019" t="str">
        <f>IF(J130="","",J130)</f>
        <v/>
      </c>
      <c r="AS342" s="1025" t="str">
        <f>IF(L130="","",IF(AR342="","",L130))</f>
        <v/>
      </c>
      <c r="AT342" s="1021" t="str">
        <f t="shared" si="23"/>
        <v/>
      </c>
      <c r="AU342" s="1021"/>
      <c r="AV342" s="1019" t="str">
        <f t="shared" si="24"/>
        <v/>
      </c>
      <c r="AW342" s="1019" t="str">
        <f t="shared" si="25"/>
        <v/>
      </c>
      <c r="AX342" s="1018" t="str">
        <f t="shared" si="26"/>
        <v/>
      </c>
      <c r="AY342" s="1020"/>
      <c r="AZ342" s="1019" t="str">
        <f t="shared" si="27"/>
        <v/>
      </c>
      <c r="BA342" s="1019" t="str">
        <f t="shared" si="28"/>
        <v/>
      </c>
      <c r="BB342" s="1018" t="str">
        <f t="shared" si="29"/>
        <v/>
      </c>
    </row>
    <row r="343" spans="26:54" x14ac:dyDescent="0.3">
      <c r="Z343" s="556"/>
      <c r="AA343" s="731">
        <f t="shared" si="30"/>
        <v>50</v>
      </c>
      <c r="AB343" s="1019" t="str">
        <f>IF(E132="","",E132)</f>
        <v/>
      </c>
      <c r="AC343" s="1019" t="str">
        <f>IF(G132="","",G132)</f>
        <v/>
      </c>
      <c r="AD343" s="1025" t="str">
        <f>IF(L132="","",IF(AC343="","",L132))</f>
        <v/>
      </c>
      <c r="AE343" s="1021" t="str">
        <f t="shared" si="16"/>
        <v/>
      </c>
      <c r="AF343" s="1021"/>
      <c r="AG343" s="1019" t="str">
        <f t="shared" si="17"/>
        <v/>
      </c>
      <c r="AH343" s="1019" t="str">
        <f t="shared" si="18"/>
        <v/>
      </c>
      <c r="AI343" s="1018" t="str">
        <f t="shared" si="19"/>
        <v/>
      </c>
      <c r="AJ343" s="1020"/>
      <c r="AK343" s="1019" t="str">
        <f t="shared" si="20"/>
        <v/>
      </c>
      <c r="AL343" s="1019" t="str">
        <f t="shared" si="21"/>
        <v/>
      </c>
      <c r="AM343" s="1018" t="str">
        <f t="shared" si="22"/>
        <v/>
      </c>
      <c r="AN343" s="556"/>
      <c r="AO343" s="556"/>
      <c r="AP343" s="731">
        <f t="shared" si="31"/>
        <v>50</v>
      </c>
      <c r="AQ343" s="1019" t="str">
        <f>IF(H132="","",H132)</f>
        <v/>
      </c>
      <c r="AR343" s="1019" t="str">
        <f>IF(J132="","",J132)</f>
        <v/>
      </c>
      <c r="AS343" s="1025" t="str">
        <f>IF(L132="","",IF(AR343="","",L132))</f>
        <v/>
      </c>
      <c r="AT343" s="1021" t="str">
        <f t="shared" si="23"/>
        <v/>
      </c>
      <c r="AU343" s="1021"/>
      <c r="AV343" s="1019" t="str">
        <f t="shared" si="24"/>
        <v/>
      </c>
      <c r="AW343" s="1019" t="str">
        <f t="shared" si="25"/>
        <v/>
      </c>
      <c r="AX343" s="1018" t="str">
        <f t="shared" si="26"/>
        <v/>
      </c>
      <c r="AY343" s="1020"/>
      <c r="AZ343" s="1019" t="str">
        <f t="shared" si="27"/>
        <v/>
      </c>
      <c r="BA343" s="1019" t="str">
        <f t="shared" si="28"/>
        <v/>
      </c>
      <c r="BB343" s="1018" t="str">
        <f t="shared" si="29"/>
        <v/>
      </c>
    </row>
    <row r="344" spans="26:54" x14ac:dyDescent="0.3">
      <c r="Z344" s="556"/>
      <c r="AA344" s="731">
        <f t="shared" si="30"/>
        <v>51</v>
      </c>
      <c r="AB344" s="1019" t="str">
        <f>IF(E134="","",E134)</f>
        <v/>
      </c>
      <c r="AC344" s="1019" t="str">
        <f>IF(G134="","",G134)</f>
        <v/>
      </c>
      <c r="AD344" s="1025" t="str">
        <f>IF(L134="","",IF(AC344="","",L134))</f>
        <v/>
      </c>
      <c r="AE344" s="1021" t="str">
        <f t="shared" si="16"/>
        <v/>
      </c>
      <c r="AF344" s="1021"/>
      <c r="AG344" s="1019" t="str">
        <f t="shared" si="17"/>
        <v/>
      </c>
      <c r="AH344" s="1019" t="str">
        <f t="shared" si="18"/>
        <v/>
      </c>
      <c r="AI344" s="1018" t="str">
        <f t="shared" si="19"/>
        <v/>
      </c>
      <c r="AJ344" s="1020"/>
      <c r="AK344" s="1019" t="str">
        <f t="shared" si="20"/>
        <v/>
      </c>
      <c r="AL344" s="1019" t="str">
        <f t="shared" si="21"/>
        <v/>
      </c>
      <c r="AM344" s="1018" t="str">
        <f t="shared" si="22"/>
        <v/>
      </c>
      <c r="AN344" s="556"/>
      <c r="AO344" s="556"/>
      <c r="AP344" s="731">
        <f t="shared" si="31"/>
        <v>51</v>
      </c>
      <c r="AQ344" s="1019" t="str">
        <f>IF(H134="","",H134)</f>
        <v/>
      </c>
      <c r="AR344" s="1019" t="str">
        <f>IF(J134="","",J134)</f>
        <v/>
      </c>
      <c r="AS344" s="1025" t="str">
        <f>IF(L134="","",IF(AR344="","",L134))</f>
        <v/>
      </c>
      <c r="AT344" s="1021" t="str">
        <f t="shared" si="23"/>
        <v/>
      </c>
      <c r="AU344" s="1021"/>
      <c r="AV344" s="1019" t="str">
        <f t="shared" si="24"/>
        <v/>
      </c>
      <c r="AW344" s="1019" t="str">
        <f t="shared" si="25"/>
        <v/>
      </c>
      <c r="AX344" s="1018" t="str">
        <f t="shared" si="26"/>
        <v/>
      </c>
      <c r="AY344" s="1020"/>
      <c r="AZ344" s="1019" t="str">
        <f t="shared" si="27"/>
        <v/>
      </c>
      <c r="BA344" s="1019" t="str">
        <f t="shared" si="28"/>
        <v/>
      </c>
      <c r="BB344" s="1018" t="str">
        <f t="shared" si="29"/>
        <v/>
      </c>
    </row>
    <row r="345" spans="26:54" x14ac:dyDescent="0.3">
      <c r="Z345" s="556"/>
      <c r="AA345" s="731">
        <f t="shared" si="30"/>
        <v>52</v>
      </c>
      <c r="AB345" s="1019" t="str">
        <f>IF(E136="","",E136)</f>
        <v/>
      </c>
      <c r="AC345" s="1019" t="str">
        <f>IF(G136="","",G136)</f>
        <v/>
      </c>
      <c r="AD345" s="1025" t="str">
        <f>IF(L136="","",IF(AC345="","",L136))</f>
        <v/>
      </c>
      <c r="AE345" s="1021" t="str">
        <f t="shared" si="16"/>
        <v/>
      </c>
      <c r="AF345" s="1021"/>
      <c r="AG345" s="1019" t="str">
        <f t="shared" si="17"/>
        <v/>
      </c>
      <c r="AH345" s="1019" t="str">
        <f t="shared" si="18"/>
        <v/>
      </c>
      <c r="AI345" s="1018" t="str">
        <f t="shared" si="19"/>
        <v/>
      </c>
      <c r="AJ345" s="1020"/>
      <c r="AK345" s="1019" t="str">
        <f t="shared" si="20"/>
        <v/>
      </c>
      <c r="AL345" s="1019" t="str">
        <f t="shared" si="21"/>
        <v/>
      </c>
      <c r="AM345" s="1018" t="str">
        <f t="shared" si="22"/>
        <v/>
      </c>
      <c r="AN345" s="556"/>
      <c r="AO345" s="556"/>
      <c r="AP345" s="731">
        <f t="shared" si="31"/>
        <v>52</v>
      </c>
      <c r="AQ345" s="1019" t="str">
        <f>IF(H136="","",H136)</f>
        <v/>
      </c>
      <c r="AR345" s="1019" t="str">
        <f>IF(J136="","",J136)</f>
        <v/>
      </c>
      <c r="AS345" s="1025" t="str">
        <f>IF(L136="","",IF(AR345="","",L136))</f>
        <v/>
      </c>
      <c r="AT345" s="1021" t="str">
        <f t="shared" si="23"/>
        <v/>
      </c>
      <c r="AU345" s="1021"/>
      <c r="AV345" s="1019" t="str">
        <f t="shared" si="24"/>
        <v/>
      </c>
      <c r="AW345" s="1019" t="str">
        <f t="shared" si="25"/>
        <v/>
      </c>
      <c r="AX345" s="1018" t="str">
        <f t="shared" si="26"/>
        <v/>
      </c>
      <c r="AY345" s="1020"/>
      <c r="AZ345" s="1019" t="str">
        <f t="shared" si="27"/>
        <v/>
      </c>
      <c r="BA345" s="1019" t="str">
        <f t="shared" si="28"/>
        <v/>
      </c>
      <c r="BB345" s="1018" t="str">
        <f t="shared" si="29"/>
        <v/>
      </c>
    </row>
    <row r="346" spans="26:54" x14ac:dyDescent="0.3">
      <c r="Z346" s="556"/>
      <c r="AA346" s="731">
        <f t="shared" si="30"/>
        <v>53</v>
      </c>
      <c r="AB346" s="1019" t="str">
        <f>IF(E138="","",E138)</f>
        <v/>
      </c>
      <c r="AC346" s="1019" t="str">
        <f>IF(G138="","",G138)</f>
        <v/>
      </c>
      <c r="AD346" s="1025" t="str">
        <f>IF(L138="","",IF(AC346="","",L138))</f>
        <v/>
      </c>
      <c r="AE346" s="1021" t="str">
        <f t="shared" si="16"/>
        <v/>
      </c>
      <c r="AF346" s="1021"/>
      <c r="AG346" s="1019" t="str">
        <f t="shared" si="17"/>
        <v/>
      </c>
      <c r="AH346" s="1019" t="str">
        <f t="shared" si="18"/>
        <v/>
      </c>
      <c r="AI346" s="1018" t="str">
        <f t="shared" si="19"/>
        <v/>
      </c>
      <c r="AJ346" s="1020"/>
      <c r="AK346" s="1019" t="str">
        <f t="shared" si="20"/>
        <v/>
      </c>
      <c r="AL346" s="1019" t="str">
        <f t="shared" si="21"/>
        <v/>
      </c>
      <c r="AM346" s="1018" t="str">
        <f t="shared" si="22"/>
        <v/>
      </c>
      <c r="AN346" s="556"/>
      <c r="AO346" s="556"/>
      <c r="AP346" s="731">
        <f t="shared" si="31"/>
        <v>53</v>
      </c>
      <c r="AQ346" s="1019" t="str">
        <f>IF(H138="","",H138)</f>
        <v/>
      </c>
      <c r="AR346" s="1019" t="str">
        <f>IF(J138="","",J138)</f>
        <v/>
      </c>
      <c r="AS346" s="1025" t="str">
        <f>IF(L138="","",IF(AR346="","",L138))</f>
        <v/>
      </c>
      <c r="AT346" s="1021" t="str">
        <f t="shared" si="23"/>
        <v/>
      </c>
      <c r="AU346" s="1021"/>
      <c r="AV346" s="1019" t="str">
        <f t="shared" si="24"/>
        <v/>
      </c>
      <c r="AW346" s="1019" t="str">
        <f t="shared" si="25"/>
        <v/>
      </c>
      <c r="AX346" s="1018" t="str">
        <f t="shared" si="26"/>
        <v/>
      </c>
      <c r="AY346" s="1020"/>
      <c r="AZ346" s="1019" t="str">
        <f t="shared" si="27"/>
        <v/>
      </c>
      <c r="BA346" s="1019" t="str">
        <f t="shared" si="28"/>
        <v/>
      </c>
      <c r="BB346" s="1018" t="str">
        <f t="shared" si="29"/>
        <v/>
      </c>
    </row>
    <row r="347" spans="26:54" x14ac:dyDescent="0.3">
      <c r="Z347" s="556"/>
      <c r="AA347" s="731">
        <f t="shared" si="30"/>
        <v>54</v>
      </c>
      <c r="AB347" s="1019" t="str">
        <f>IF(E140="","",E140)</f>
        <v/>
      </c>
      <c r="AC347" s="1019" t="str">
        <f>IF(G140="","",G140)</f>
        <v/>
      </c>
      <c r="AD347" s="1025" t="str">
        <f>IF(L140="","",IF(AC347="","",L140))</f>
        <v/>
      </c>
      <c r="AE347" s="1021" t="str">
        <f t="shared" si="16"/>
        <v/>
      </c>
      <c r="AF347" s="1021"/>
      <c r="AG347" s="1019" t="str">
        <f t="shared" si="17"/>
        <v/>
      </c>
      <c r="AH347" s="1019" t="str">
        <f t="shared" si="18"/>
        <v/>
      </c>
      <c r="AI347" s="1018" t="str">
        <f t="shared" si="19"/>
        <v/>
      </c>
      <c r="AJ347" s="1020"/>
      <c r="AK347" s="1019" t="str">
        <f t="shared" si="20"/>
        <v/>
      </c>
      <c r="AL347" s="1019" t="str">
        <f t="shared" si="21"/>
        <v/>
      </c>
      <c r="AM347" s="1018" t="str">
        <f t="shared" si="22"/>
        <v/>
      </c>
      <c r="AN347" s="556"/>
      <c r="AO347" s="556"/>
      <c r="AP347" s="731">
        <f t="shared" si="31"/>
        <v>54</v>
      </c>
      <c r="AQ347" s="1019" t="str">
        <f>IF(H140="","",H140)</f>
        <v/>
      </c>
      <c r="AR347" s="1019" t="str">
        <f>IF(J140="","",J140)</f>
        <v/>
      </c>
      <c r="AS347" s="1025" t="str">
        <f>IF(L140="","",IF(AR347="","",L140))</f>
        <v/>
      </c>
      <c r="AT347" s="1021" t="str">
        <f t="shared" si="23"/>
        <v/>
      </c>
      <c r="AU347" s="1021"/>
      <c r="AV347" s="1019" t="str">
        <f t="shared" si="24"/>
        <v/>
      </c>
      <c r="AW347" s="1019" t="str">
        <f t="shared" si="25"/>
        <v/>
      </c>
      <c r="AX347" s="1018" t="str">
        <f t="shared" si="26"/>
        <v/>
      </c>
      <c r="AY347" s="1020"/>
      <c r="AZ347" s="1019" t="str">
        <f t="shared" si="27"/>
        <v/>
      </c>
      <c r="BA347" s="1019" t="str">
        <f t="shared" si="28"/>
        <v/>
      </c>
      <c r="BB347" s="1018" t="str">
        <f t="shared" si="29"/>
        <v/>
      </c>
    </row>
    <row r="348" spans="26:54" x14ac:dyDescent="0.3">
      <c r="Z348" s="556"/>
      <c r="AA348" s="731">
        <f t="shared" si="30"/>
        <v>55</v>
      </c>
      <c r="AB348" s="1019" t="str">
        <f>IF(E142="","",E142)</f>
        <v/>
      </c>
      <c r="AC348" s="1019" t="str">
        <f>IF(G142="","",G142)</f>
        <v/>
      </c>
      <c r="AD348" s="1025" t="str">
        <f>IF(L142="","",IF(AC348="","",L142))</f>
        <v/>
      </c>
      <c r="AE348" s="1021" t="str">
        <f t="shared" si="16"/>
        <v/>
      </c>
      <c r="AF348" s="1021"/>
      <c r="AG348" s="1019" t="str">
        <f t="shared" si="17"/>
        <v/>
      </c>
      <c r="AH348" s="1019" t="str">
        <f t="shared" si="18"/>
        <v/>
      </c>
      <c r="AI348" s="1018" t="str">
        <f t="shared" si="19"/>
        <v/>
      </c>
      <c r="AJ348" s="1020"/>
      <c r="AK348" s="1019" t="str">
        <f t="shared" si="20"/>
        <v/>
      </c>
      <c r="AL348" s="1019" t="str">
        <f t="shared" si="21"/>
        <v/>
      </c>
      <c r="AM348" s="1018" t="str">
        <f t="shared" si="22"/>
        <v/>
      </c>
      <c r="AN348" s="556"/>
      <c r="AO348" s="556"/>
      <c r="AP348" s="731">
        <f t="shared" si="31"/>
        <v>55</v>
      </c>
      <c r="AQ348" s="1019" t="str">
        <f>IF(H142="","",H142)</f>
        <v/>
      </c>
      <c r="AR348" s="1019" t="str">
        <f>IF(J142="","",J142)</f>
        <v/>
      </c>
      <c r="AS348" s="1025" t="str">
        <f>IF(L142="","",IF(AR348="","",L142))</f>
        <v/>
      </c>
      <c r="AT348" s="1021" t="str">
        <f t="shared" si="23"/>
        <v/>
      </c>
      <c r="AU348" s="1021"/>
      <c r="AV348" s="1019" t="str">
        <f t="shared" si="24"/>
        <v/>
      </c>
      <c r="AW348" s="1019" t="str">
        <f t="shared" si="25"/>
        <v/>
      </c>
      <c r="AX348" s="1018" t="str">
        <f t="shared" si="26"/>
        <v/>
      </c>
      <c r="AY348" s="1020"/>
      <c r="AZ348" s="1019" t="str">
        <f t="shared" si="27"/>
        <v/>
      </c>
      <c r="BA348" s="1019" t="str">
        <f t="shared" si="28"/>
        <v/>
      </c>
      <c r="BB348" s="1018" t="str">
        <f t="shared" si="29"/>
        <v/>
      </c>
    </row>
    <row r="349" spans="26:54" x14ac:dyDescent="0.3">
      <c r="Z349" s="556"/>
      <c r="AA349" s="731">
        <f t="shared" si="30"/>
        <v>56</v>
      </c>
      <c r="AB349" s="1019" t="str">
        <f>IF(E144="","",E144)</f>
        <v/>
      </c>
      <c r="AC349" s="1019" t="str">
        <f>IF(G144="","",G144)</f>
        <v/>
      </c>
      <c r="AD349" s="1025" t="str">
        <f>IF(L144="","",IF(AC349="","",L144))</f>
        <v/>
      </c>
      <c r="AE349" s="1021" t="str">
        <f t="shared" si="16"/>
        <v/>
      </c>
      <c r="AF349" s="1021"/>
      <c r="AG349" s="1019" t="str">
        <f t="shared" si="17"/>
        <v/>
      </c>
      <c r="AH349" s="1019" t="str">
        <f t="shared" si="18"/>
        <v/>
      </c>
      <c r="AI349" s="1018" t="str">
        <f t="shared" si="19"/>
        <v/>
      </c>
      <c r="AJ349" s="1020"/>
      <c r="AK349" s="1019" t="str">
        <f t="shared" si="20"/>
        <v/>
      </c>
      <c r="AL349" s="1019" t="str">
        <f t="shared" si="21"/>
        <v/>
      </c>
      <c r="AM349" s="1018" t="str">
        <f t="shared" si="22"/>
        <v/>
      </c>
      <c r="AN349" s="556"/>
      <c r="AO349" s="556"/>
      <c r="AP349" s="731">
        <f t="shared" si="31"/>
        <v>56</v>
      </c>
      <c r="AQ349" s="1019" t="str">
        <f>IF(H144="","",H144)</f>
        <v/>
      </c>
      <c r="AR349" s="1019" t="str">
        <f>IF(J144="","",J144)</f>
        <v/>
      </c>
      <c r="AS349" s="1025" t="str">
        <f>IF(L144="","",IF(AR349="","",L144))</f>
        <v/>
      </c>
      <c r="AT349" s="1021" t="str">
        <f t="shared" si="23"/>
        <v/>
      </c>
      <c r="AU349" s="1021"/>
      <c r="AV349" s="1019" t="str">
        <f t="shared" si="24"/>
        <v/>
      </c>
      <c r="AW349" s="1019" t="str">
        <f t="shared" si="25"/>
        <v/>
      </c>
      <c r="AX349" s="1018" t="str">
        <f t="shared" si="26"/>
        <v/>
      </c>
      <c r="AY349" s="1020"/>
      <c r="AZ349" s="1019" t="str">
        <f t="shared" si="27"/>
        <v/>
      </c>
      <c r="BA349" s="1019" t="str">
        <f t="shared" si="28"/>
        <v/>
      </c>
      <c r="BB349" s="1018" t="str">
        <f t="shared" si="29"/>
        <v/>
      </c>
    </row>
    <row r="350" spans="26:54" x14ac:dyDescent="0.3">
      <c r="Z350" s="556"/>
      <c r="AA350" s="731">
        <f t="shared" si="30"/>
        <v>57</v>
      </c>
      <c r="AB350" s="1019" t="str">
        <f>IF(E146="","",E146)</f>
        <v/>
      </c>
      <c r="AC350" s="1019" t="str">
        <f>IF(G146="","",G146)</f>
        <v/>
      </c>
      <c r="AD350" s="1025" t="str">
        <f>IF(L146="","",IF(AC350="","",L146))</f>
        <v/>
      </c>
      <c r="AE350" s="1021" t="str">
        <f t="shared" si="16"/>
        <v/>
      </c>
      <c r="AF350" s="1021"/>
      <c r="AG350" s="1019" t="str">
        <f t="shared" si="17"/>
        <v/>
      </c>
      <c r="AH350" s="1019" t="str">
        <f t="shared" si="18"/>
        <v/>
      </c>
      <c r="AI350" s="1018" t="str">
        <f t="shared" si="19"/>
        <v/>
      </c>
      <c r="AJ350" s="1020"/>
      <c r="AK350" s="1019" t="str">
        <f t="shared" si="20"/>
        <v/>
      </c>
      <c r="AL350" s="1019" t="str">
        <f t="shared" si="21"/>
        <v/>
      </c>
      <c r="AM350" s="1018" t="str">
        <f t="shared" si="22"/>
        <v/>
      </c>
      <c r="AN350" s="556"/>
      <c r="AO350" s="556"/>
      <c r="AP350" s="731">
        <f t="shared" si="31"/>
        <v>57</v>
      </c>
      <c r="AQ350" s="1019" t="str">
        <f>IF(H146="","",H146)</f>
        <v/>
      </c>
      <c r="AR350" s="1019" t="str">
        <f>IF(J146="","",J146)</f>
        <v/>
      </c>
      <c r="AS350" s="1025" t="str">
        <f>IF(L146="","",IF(AR350="","",L146))</f>
        <v/>
      </c>
      <c r="AT350" s="1021" t="str">
        <f t="shared" si="23"/>
        <v/>
      </c>
      <c r="AU350" s="1021"/>
      <c r="AV350" s="1019" t="str">
        <f t="shared" si="24"/>
        <v/>
      </c>
      <c r="AW350" s="1019" t="str">
        <f t="shared" si="25"/>
        <v/>
      </c>
      <c r="AX350" s="1018" t="str">
        <f t="shared" si="26"/>
        <v/>
      </c>
      <c r="AY350" s="1020"/>
      <c r="AZ350" s="1019" t="str">
        <f t="shared" si="27"/>
        <v/>
      </c>
      <c r="BA350" s="1019" t="str">
        <f t="shared" si="28"/>
        <v/>
      </c>
      <c r="BB350" s="1018" t="str">
        <f t="shared" si="29"/>
        <v/>
      </c>
    </row>
    <row r="351" spans="26:54" x14ac:dyDescent="0.3">
      <c r="Z351" s="556"/>
      <c r="AA351" s="731">
        <f t="shared" si="30"/>
        <v>58</v>
      </c>
      <c r="AB351" s="1019" t="str">
        <f>IF(E148="","",E148)</f>
        <v/>
      </c>
      <c r="AC351" s="1019" t="str">
        <f>IF(G148="","",G148)</f>
        <v/>
      </c>
      <c r="AD351" s="1025" t="str">
        <f>IF(L148="","",IF(AC351="","",L148))</f>
        <v/>
      </c>
      <c r="AE351" s="1021" t="str">
        <f t="shared" si="16"/>
        <v/>
      </c>
      <c r="AF351" s="1021"/>
      <c r="AG351" s="1019" t="str">
        <f t="shared" si="17"/>
        <v/>
      </c>
      <c r="AH351" s="1019" t="str">
        <f t="shared" si="18"/>
        <v/>
      </c>
      <c r="AI351" s="1018" t="str">
        <f t="shared" si="19"/>
        <v/>
      </c>
      <c r="AJ351" s="1020"/>
      <c r="AK351" s="1019" t="str">
        <f t="shared" si="20"/>
        <v/>
      </c>
      <c r="AL351" s="1019" t="str">
        <f t="shared" si="21"/>
        <v/>
      </c>
      <c r="AM351" s="1018" t="str">
        <f t="shared" si="22"/>
        <v/>
      </c>
      <c r="AN351" s="556"/>
      <c r="AO351" s="556"/>
      <c r="AP351" s="731">
        <f t="shared" si="31"/>
        <v>58</v>
      </c>
      <c r="AQ351" s="1019" t="str">
        <f>IF(H148="","",H148)</f>
        <v/>
      </c>
      <c r="AR351" s="1019" t="str">
        <f>IF(J148="","",J148)</f>
        <v/>
      </c>
      <c r="AS351" s="1025" t="str">
        <f>IF(L148="","",IF(AR351="","",L148))</f>
        <v/>
      </c>
      <c r="AT351" s="1021" t="str">
        <f t="shared" si="23"/>
        <v/>
      </c>
      <c r="AU351" s="1021"/>
      <c r="AV351" s="1019" t="str">
        <f t="shared" si="24"/>
        <v/>
      </c>
      <c r="AW351" s="1019" t="str">
        <f t="shared" si="25"/>
        <v/>
      </c>
      <c r="AX351" s="1018" t="str">
        <f t="shared" si="26"/>
        <v/>
      </c>
      <c r="AY351" s="1020"/>
      <c r="AZ351" s="1019" t="str">
        <f t="shared" si="27"/>
        <v/>
      </c>
      <c r="BA351" s="1019" t="str">
        <f t="shared" si="28"/>
        <v/>
      </c>
      <c r="BB351" s="1018" t="str">
        <f t="shared" si="29"/>
        <v/>
      </c>
    </row>
    <row r="352" spans="26:54" x14ac:dyDescent="0.3">
      <c r="Z352" s="556"/>
      <c r="AA352" s="731">
        <f t="shared" si="30"/>
        <v>59</v>
      </c>
      <c r="AB352" s="1019" t="str">
        <f>IF(E150="","",E150)</f>
        <v/>
      </c>
      <c r="AC352" s="1019" t="str">
        <f>IF(G150="","",G150)</f>
        <v/>
      </c>
      <c r="AD352" s="1025" t="str">
        <f>IF(L150="","",IF(AC352="","",L150))</f>
        <v/>
      </c>
      <c r="AE352" s="1021" t="str">
        <f t="shared" si="16"/>
        <v/>
      </c>
      <c r="AF352" s="1021"/>
      <c r="AG352" s="1019" t="str">
        <f t="shared" si="17"/>
        <v/>
      </c>
      <c r="AH352" s="1019" t="str">
        <f t="shared" si="18"/>
        <v/>
      </c>
      <c r="AI352" s="1018" t="str">
        <f t="shared" si="19"/>
        <v/>
      </c>
      <c r="AJ352" s="1020"/>
      <c r="AK352" s="1019" t="str">
        <f t="shared" si="20"/>
        <v/>
      </c>
      <c r="AL352" s="1019" t="str">
        <f t="shared" si="21"/>
        <v/>
      </c>
      <c r="AM352" s="1018" t="str">
        <f t="shared" si="22"/>
        <v/>
      </c>
      <c r="AN352" s="556"/>
      <c r="AO352" s="556"/>
      <c r="AP352" s="731">
        <f t="shared" si="31"/>
        <v>59</v>
      </c>
      <c r="AQ352" s="1019" t="str">
        <f>IF(H150="","",H150)</f>
        <v/>
      </c>
      <c r="AR352" s="1019" t="str">
        <f>IF(J150="","",J150)</f>
        <v/>
      </c>
      <c r="AS352" s="1025" t="str">
        <f>IF(L150="","",IF(AR352="","",L150))</f>
        <v/>
      </c>
      <c r="AT352" s="1021" t="str">
        <f t="shared" si="23"/>
        <v/>
      </c>
      <c r="AU352" s="1021"/>
      <c r="AV352" s="1019" t="str">
        <f t="shared" si="24"/>
        <v/>
      </c>
      <c r="AW352" s="1019" t="str">
        <f t="shared" si="25"/>
        <v/>
      </c>
      <c r="AX352" s="1018" t="str">
        <f t="shared" si="26"/>
        <v/>
      </c>
      <c r="AY352" s="1020"/>
      <c r="AZ352" s="1019" t="str">
        <f t="shared" si="27"/>
        <v/>
      </c>
      <c r="BA352" s="1019" t="str">
        <f t="shared" si="28"/>
        <v/>
      </c>
      <c r="BB352" s="1018" t="str">
        <f t="shared" si="29"/>
        <v/>
      </c>
    </row>
    <row r="353" spans="26:54" x14ac:dyDescent="0.3">
      <c r="Z353" s="556"/>
      <c r="AA353" s="731">
        <f t="shared" si="30"/>
        <v>60</v>
      </c>
      <c r="AB353" s="1019" t="str">
        <f>IF(E152="","",E152)</f>
        <v/>
      </c>
      <c r="AC353" s="1019" t="str">
        <f>IF(G152="","",G152)</f>
        <v/>
      </c>
      <c r="AD353" s="1025" t="str">
        <f>IF(L152="","",IF(AC353="","",L152))</f>
        <v/>
      </c>
      <c r="AE353" s="1021" t="str">
        <f t="shared" si="16"/>
        <v/>
      </c>
      <c r="AF353" s="1021"/>
      <c r="AG353" s="1019" t="str">
        <f t="shared" si="17"/>
        <v/>
      </c>
      <c r="AH353" s="1019" t="str">
        <f t="shared" si="18"/>
        <v/>
      </c>
      <c r="AI353" s="1018" t="str">
        <f t="shared" si="19"/>
        <v/>
      </c>
      <c r="AJ353" s="1020"/>
      <c r="AK353" s="1019" t="str">
        <f t="shared" si="20"/>
        <v/>
      </c>
      <c r="AL353" s="1019" t="str">
        <f t="shared" si="21"/>
        <v/>
      </c>
      <c r="AM353" s="1018" t="str">
        <f t="shared" si="22"/>
        <v/>
      </c>
      <c r="AN353" s="556"/>
      <c r="AO353" s="556"/>
      <c r="AP353" s="731">
        <f t="shared" si="31"/>
        <v>60</v>
      </c>
      <c r="AQ353" s="1019" t="str">
        <f>IF(H152="","",H152)</f>
        <v/>
      </c>
      <c r="AR353" s="1019" t="str">
        <f>IF(J152="","",J152)</f>
        <v/>
      </c>
      <c r="AS353" s="1025" t="str">
        <f>IF(L152="","",IF(AR353="","",L152))</f>
        <v/>
      </c>
      <c r="AT353" s="1021" t="str">
        <f t="shared" si="23"/>
        <v/>
      </c>
      <c r="AU353" s="1021"/>
      <c r="AV353" s="1019" t="str">
        <f t="shared" si="24"/>
        <v/>
      </c>
      <c r="AW353" s="1019" t="str">
        <f t="shared" si="25"/>
        <v/>
      </c>
      <c r="AX353" s="1018" t="str">
        <f t="shared" si="26"/>
        <v/>
      </c>
      <c r="AY353" s="1020"/>
      <c r="AZ353" s="1019" t="str">
        <f t="shared" si="27"/>
        <v/>
      </c>
      <c r="BA353" s="1019" t="str">
        <f t="shared" si="28"/>
        <v/>
      </c>
      <c r="BB353" s="1018" t="str">
        <f t="shared" si="29"/>
        <v/>
      </c>
    </row>
    <row r="354" spans="26:54" x14ac:dyDescent="0.3">
      <c r="Z354" s="556"/>
      <c r="AA354" s="731">
        <f t="shared" si="30"/>
        <v>61</v>
      </c>
      <c r="AB354" s="1019" t="str">
        <f>IF(E154="","",E154)</f>
        <v/>
      </c>
      <c r="AC354" s="1019" t="str">
        <f>IF(G154="","",G154)</f>
        <v/>
      </c>
      <c r="AD354" s="1025" t="str">
        <f>IF(L154="","",IF(AC354="","",L154))</f>
        <v/>
      </c>
      <c r="AE354" s="1021" t="str">
        <f t="shared" si="16"/>
        <v/>
      </c>
      <c r="AF354" s="1021"/>
      <c r="AG354" s="1019" t="str">
        <f t="shared" si="17"/>
        <v/>
      </c>
      <c r="AH354" s="1019" t="str">
        <f t="shared" si="18"/>
        <v/>
      </c>
      <c r="AI354" s="1018" t="str">
        <f t="shared" si="19"/>
        <v/>
      </c>
      <c r="AJ354" s="1020"/>
      <c r="AK354" s="1019" t="str">
        <f t="shared" si="20"/>
        <v/>
      </c>
      <c r="AL354" s="1019" t="str">
        <f t="shared" si="21"/>
        <v/>
      </c>
      <c r="AM354" s="1018" t="str">
        <f t="shared" si="22"/>
        <v/>
      </c>
      <c r="AN354" s="556"/>
      <c r="AO354" s="556"/>
      <c r="AP354" s="731">
        <f t="shared" si="31"/>
        <v>61</v>
      </c>
      <c r="AQ354" s="1019" t="str">
        <f>IF(H154="","",H154)</f>
        <v/>
      </c>
      <c r="AR354" s="1019" t="str">
        <f>IF(J154="","",J154)</f>
        <v/>
      </c>
      <c r="AS354" s="1025" t="str">
        <f>IF(L154="","",IF(AR354="","",L154))</f>
        <v/>
      </c>
      <c r="AT354" s="1021" t="str">
        <f t="shared" si="23"/>
        <v/>
      </c>
      <c r="AU354" s="1021"/>
      <c r="AV354" s="1019" t="str">
        <f t="shared" si="24"/>
        <v/>
      </c>
      <c r="AW354" s="1019" t="str">
        <f t="shared" si="25"/>
        <v/>
      </c>
      <c r="AX354" s="1018" t="str">
        <f t="shared" si="26"/>
        <v/>
      </c>
      <c r="AY354" s="1020"/>
      <c r="AZ354" s="1019" t="str">
        <f t="shared" si="27"/>
        <v/>
      </c>
      <c r="BA354" s="1019" t="str">
        <f t="shared" si="28"/>
        <v/>
      </c>
      <c r="BB354" s="1018" t="str">
        <f t="shared" si="29"/>
        <v/>
      </c>
    </row>
    <row r="355" spans="26:54" x14ac:dyDescent="0.3">
      <c r="Z355" s="556"/>
      <c r="AA355" s="731">
        <f t="shared" si="30"/>
        <v>62</v>
      </c>
      <c r="AB355" s="1019" t="str">
        <f>IF(E156="","",E156)</f>
        <v/>
      </c>
      <c r="AC355" s="1019" t="str">
        <f>IF(G156="","",G156)</f>
        <v/>
      </c>
      <c r="AD355" s="1025" t="str">
        <f>IF(L156="","",IF(AC355="","",L156))</f>
        <v/>
      </c>
      <c r="AE355" s="1021" t="str">
        <f t="shared" si="16"/>
        <v/>
      </c>
      <c r="AF355" s="1021"/>
      <c r="AG355" s="1019" t="str">
        <f t="shared" si="17"/>
        <v/>
      </c>
      <c r="AH355" s="1019" t="str">
        <f t="shared" si="18"/>
        <v/>
      </c>
      <c r="AI355" s="1018" t="str">
        <f t="shared" si="19"/>
        <v/>
      </c>
      <c r="AJ355" s="1020"/>
      <c r="AK355" s="1019" t="str">
        <f t="shared" si="20"/>
        <v/>
      </c>
      <c r="AL355" s="1019" t="str">
        <f t="shared" si="21"/>
        <v/>
      </c>
      <c r="AM355" s="1018" t="str">
        <f t="shared" si="22"/>
        <v/>
      </c>
      <c r="AN355" s="556"/>
      <c r="AO355" s="556"/>
      <c r="AP355" s="731">
        <f t="shared" si="31"/>
        <v>62</v>
      </c>
      <c r="AQ355" s="1019" t="str">
        <f>IF(H156="","",H156)</f>
        <v/>
      </c>
      <c r="AR355" s="1019" t="str">
        <f>IF(J156="","",J156)</f>
        <v/>
      </c>
      <c r="AS355" s="1025" t="str">
        <f>IF(L156="","",IF(AR355="","",L156))</f>
        <v/>
      </c>
      <c r="AT355" s="1021" t="str">
        <f t="shared" si="23"/>
        <v/>
      </c>
      <c r="AU355" s="1021"/>
      <c r="AV355" s="1019" t="str">
        <f t="shared" si="24"/>
        <v/>
      </c>
      <c r="AW355" s="1019" t="str">
        <f t="shared" si="25"/>
        <v/>
      </c>
      <c r="AX355" s="1018" t="str">
        <f t="shared" si="26"/>
        <v/>
      </c>
      <c r="AY355" s="1020"/>
      <c r="AZ355" s="1019" t="str">
        <f t="shared" si="27"/>
        <v/>
      </c>
      <c r="BA355" s="1019" t="str">
        <f t="shared" si="28"/>
        <v/>
      </c>
      <c r="BB355" s="1018" t="str">
        <f t="shared" si="29"/>
        <v/>
      </c>
    </row>
    <row r="356" spans="26:54" x14ac:dyDescent="0.3">
      <c r="Z356" s="556"/>
      <c r="AA356" s="731">
        <f t="shared" si="30"/>
        <v>63</v>
      </c>
      <c r="AB356" s="1019" t="str">
        <f>IF(E158="","",E158)</f>
        <v/>
      </c>
      <c r="AC356" s="1019" t="str">
        <f>IF(G158="","",G158)</f>
        <v/>
      </c>
      <c r="AD356" s="1025" t="str">
        <f>IF(L158="","",IF(AC356="","",L158))</f>
        <v/>
      </c>
      <c r="AE356" s="1021" t="str">
        <f t="shared" si="16"/>
        <v/>
      </c>
      <c r="AF356" s="1021"/>
      <c r="AG356" s="1019" t="str">
        <f t="shared" si="17"/>
        <v/>
      </c>
      <c r="AH356" s="1019" t="str">
        <f t="shared" si="18"/>
        <v/>
      </c>
      <c r="AI356" s="1018" t="str">
        <f t="shared" si="19"/>
        <v/>
      </c>
      <c r="AJ356" s="1020"/>
      <c r="AK356" s="1019" t="str">
        <f t="shared" si="20"/>
        <v/>
      </c>
      <c r="AL356" s="1019" t="str">
        <f t="shared" si="21"/>
        <v/>
      </c>
      <c r="AM356" s="1018" t="str">
        <f t="shared" si="22"/>
        <v/>
      </c>
      <c r="AN356" s="556"/>
      <c r="AO356" s="556"/>
      <c r="AP356" s="731">
        <f t="shared" si="31"/>
        <v>63</v>
      </c>
      <c r="AQ356" s="1019" t="str">
        <f>IF(H158="","",H158)</f>
        <v/>
      </c>
      <c r="AR356" s="1019" t="str">
        <f>IF(J158="","",J158)</f>
        <v/>
      </c>
      <c r="AS356" s="1025" t="str">
        <f>IF(L158="","",IF(AR356="","",L158))</f>
        <v/>
      </c>
      <c r="AT356" s="1021" t="str">
        <f t="shared" si="23"/>
        <v/>
      </c>
      <c r="AU356" s="1021"/>
      <c r="AV356" s="1019" t="str">
        <f t="shared" si="24"/>
        <v/>
      </c>
      <c r="AW356" s="1019" t="str">
        <f t="shared" si="25"/>
        <v/>
      </c>
      <c r="AX356" s="1018" t="str">
        <f t="shared" si="26"/>
        <v/>
      </c>
      <c r="AY356" s="1020"/>
      <c r="AZ356" s="1019" t="str">
        <f t="shared" si="27"/>
        <v/>
      </c>
      <c r="BA356" s="1019" t="str">
        <f t="shared" si="28"/>
        <v/>
      </c>
      <c r="BB356" s="1018" t="str">
        <f t="shared" si="29"/>
        <v/>
      </c>
    </row>
    <row r="357" spans="26:54" x14ac:dyDescent="0.3">
      <c r="Z357" s="556"/>
      <c r="AA357" s="731">
        <f t="shared" si="30"/>
        <v>64</v>
      </c>
      <c r="AB357" s="1019" t="str">
        <f>IF(E160="","",E160)</f>
        <v/>
      </c>
      <c r="AC357" s="1019" t="str">
        <f>IF(G160="","",G160)</f>
        <v/>
      </c>
      <c r="AD357" s="1025" t="str">
        <f>IF(L160="","",IF(AC357="","",L160))</f>
        <v/>
      </c>
      <c r="AE357" s="1021" t="str">
        <f t="shared" si="16"/>
        <v/>
      </c>
      <c r="AF357" s="1021"/>
      <c r="AG357" s="1019" t="str">
        <f t="shared" si="17"/>
        <v/>
      </c>
      <c r="AH357" s="1019" t="str">
        <f t="shared" si="18"/>
        <v/>
      </c>
      <c r="AI357" s="1018" t="str">
        <f t="shared" si="19"/>
        <v/>
      </c>
      <c r="AJ357" s="1020"/>
      <c r="AK357" s="1019" t="str">
        <f t="shared" si="20"/>
        <v/>
      </c>
      <c r="AL357" s="1019" t="str">
        <f t="shared" si="21"/>
        <v/>
      </c>
      <c r="AM357" s="1018" t="str">
        <f t="shared" si="22"/>
        <v/>
      </c>
      <c r="AN357" s="556"/>
      <c r="AO357" s="556"/>
      <c r="AP357" s="731">
        <f t="shared" si="31"/>
        <v>64</v>
      </c>
      <c r="AQ357" s="1019" t="str">
        <f>IF(H160="","",H160)</f>
        <v/>
      </c>
      <c r="AR357" s="1019" t="str">
        <f>IF(J160="","",J160)</f>
        <v/>
      </c>
      <c r="AS357" s="1025" t="str">
        <f>IF(L160="","",IF(AR357="","",L160))</f>
        <v/>
      </c>
      <c r="AT357" s="1021" t="str">
        <f t="shared" si="23"/>
        <v/>
      </c>
      <c r="AU357" s="1021"/>
      <c r="AV357" s="1019" t="str">
        <f t="shared" si="24"/>
        <v/>
      </c>
      <c r="AW357" s="1019" t="str">
        <f t="shared" si="25"/>
        <v/>
      </c>
      <c r="AX357" s="1018" t="str">
        <f t="shared" si="26"/>
        <v/>
      </c>
      <c r="AY357" s="1020"/>
      <c r="AZ357" s="1019" t="str">
        <f t="shared" si="27"/>
        <v/>
      </c>
      <c r="BA357" s="1019" t="str">
        <f t="shared" si="28"/>
        <v/>
      </c>
      <c r="BB357" s="1018" t="str">
        <f t="shared" si="29"/>
        <v/>
      </c>
    </row>
    <row r="358" spans="26:54" x14ac:dyDescent="0.3">
      <c r="Z358" s="556"/>
      <c r="AA358" s="731">
        <f t="shared" si="30"/>
        <v>65</v>
      </c>
      <c r="AB358" s="1019" t="str">
        <f>IF(E162="","",E162)</f>
        <v/>
      </c>
      <c r="AC358" s="1019" t="str">
        <f>IF(G162="","",G162)</f>
        <v/>
      </c>
      <c r="AD358" s="1025" t="str">
        <f>IF(L162="","",IF(AC358="","",L162))</f>
        <v/>
      </c>
      <c r="AE358" s="1021" t="str">
        <f t="shared" ref="AE358:AE389" si="32">IF(AC358&lt;&gt;"",YEAR(AC358),"")</f>
        <v/>
      </c>
      <c r="AF358" s="1021"/>
      <c r="AG358" s="1019" t="str">
        <f t="shared" ref="AG358:AG389" si="33">IF(AND($AE358&lt;&gt;"",$AE358=$K$30),AB358,"")</f>
        <v/>
      </c>
      <c r="AH358" s="1019" t="str">
        <f t="shared" ref="AH358:AH389" si="34">IF(AND($AE358&lt;&gt;"",$AE358=$K$30),AC358,"")</f>
        <v/>
      </c>
      <c r="AI358" s="1018" t="str">
        <f t="shared" ref="AI358:AI389" si="35">IF(AND($AE358&lt;&gt;"",$AE358=$K$30),AD358,"")</f>
        <v/>
      </c>
      <c r="AJ358" s="1020"/>
      <c r="AK358" s="1019" t="str">
        <f t="shared" ref="AK358:AK389" si="36">IF(AE358="","",IF(AND($AE358&lt;&gt;"",$AE358=($K$30-1)),AB358,""))</f>
        <v/>
      </c>
      <c r="AL358" s="1019" t="str">
        <f t="shared" ref="AL358:AL389" si="37">IF(AE358="","",IF(AND($AE358&lt;&gt;"",$AE358=($K$30-1)),AC358,""))</f>
        <v/>
      </c>
      <c r="AM358" s="1018" t="str">
        <f t="shared" ref="AM358:AM389" si="38">IF(AE358="","",IF(AND($AE358&lt;&gt;"",$AE358=($K$30-1)),AD358,""))</f>
        <v/>
      </c>
      <c r="AN358" s="556"/>
      <c r="AO358" s="556"/>
      <c r="AP358" s="731">
        <f t="shared" si="31"/>
        <v>65</v>
      </c>
      <c r="AQ358" s="1019" t="str">
        <f>IF(H162="","",H162)</f>
        <v/>
      </c>
      <c r="AR358" s="1019" t="str">
        <f>IF(J162="","",J162)</f>
        <v/>
      </c>
      <c r="AS358" s="1025" t="str">
        <f>IF(L162="","",IF(AR358="","",L162))</f>
        <v/>
      </c>
      <c r="AT358" s="1021" t="str">
        <f t="shared" ref="AT358:AT389" si="39">IF(AR358&lt;&gt;"",YEAR(AR358),"")</f>
        <v/>
      </c>
      <c r="AU358" s="1021"/>
      <c r="AV358" s="1019" t="str">
        <f t="shared" ref="AV358:AV389" si="40">IF(AND($AT358&lt;&gt;"",$AT358=$K$32),AQ358,"")</f>
        <v/>
      </c>
      <c r="AW358" s="1019" t="str">
        <f t="shared" ref="AW358:AW389" si="41">IF(AND($AT358&lt;&gt;"",$AT358=$K$32),AR358,"")</f>
        <v/>
      </c>
      <c r="AX358" s="1018" t="str">
        <f t="shared" ref="AX358:AX389" si="42">IF(AND($AT358&lt;&gt;"",$AT358=$K$32),AS358,"")</f>
        <v/>
      </c>
      <c r="AY358" s="1020"/>
      <c r="AZ358" s="1019" t="str">
        <f t="shared" ref="AZ358:AZ389" si="43">IF(AT358="","",IF(AND($AT358&lt;&gt;"",$AT358=($K$32-1)),AQ358,""))</f>
        <v/>
      </c>
      <c r="BA358" s="1019" t="str">
        <f t="shared" ref="BA358:BA389" si="44">IF(AT358="","",IF(AND($AT358&lt;&gt;"",$AT358=($K$32-1)),AR358,""))</f>
        <v/>
      </c>
      <c r="BB358" s="1018" t="str">
        <f t="shared" ref="BB358:BB389" si="45">IF(AT358="","",IF(AND($AT358&lt;&gt;"",$AT358=($K$32-1)),AS358,""))</f>
        <v/>
      </c>
    </row>
    <row r="359" spans="26:54" x14ac:dyDescent="0.3">
      <c r="Z359" s="556"/>
      <c r="AA359" s="731">
        <f t="shared" ref="AA359:AA390" si="46">AA358+1</f>
        <v>66</v>
      </c>
      <c r="AB359" s="1019" t="str">
        <f>IF(E164="","",E164)</f>
        <v/>
      </c>
      <c r="AC359" s="1019" t="str">
        <f>IF(G164="","",G164)</f>
        <v/>
      </c>
      <c r="AD359" s="1025" t="str">
        <f>IF(L164="","",IF(AC359="","",L164))</f>
        <v/>
      </c>
      <c r="AE359" s="1021" t="str">
        <f t="shared" si="32"/>
        <v/>
      </c>
      <c r="AF359" s="1021"/>
      <c r="AG359" s="1019" t="str">
        <f t="shared" si="33"/>
        <v/>
      </c>
      <c r="AH359" s="1019" t="str">
        <f t="shared" si="34"/>
        <v/>
      </c>
      <c r="AI359" s="1018" t="str">
        <f t="shared" si="35"/>
        <v/>
      </c>
      <c r="AJ359" s="1020"/>
      <c r="AK359" s="1019" t="str">
        <f t="shared" si="36"/>
        <v/>
      </c>
      <c r="AL359" s="1019" t="str">
        <f t="shared" si="37"/>
        <v/>
      </c>
      <c r="AM359" s="1018" t="str">
        <f t="shared" si="38"/>
        <v/>
      </c>
      <c r="AN359" s="556"/>
      <c r="AO359" s="556"/>
      <c r="AP359" s="731">
        <f t="shared" ref="AP359:AP390" si="47">AP358+1</f>
        <v>66</v>
      </c>
      <c r="AQ359" s="1019" t="str">
        <f>IF(H164="","",H164)</f>
        <v/>
      </c>
      <c r="AR359" s="1019" t="str">
        <f>IF(J164="","",J164)</f>
        <v/>
      </c>
      <c r="AS359" s="1025" t="str">
        <f>IF(L164="","",IF(AR359="","",L164))</f>
        <v/>
      </c>
      <c r="AT359" s="1021" t="str">
        <f t="shared" si="39"/>
        <v/>
      </c>
      <c r="AU359" s="1021"/>
      <c r="AV359" s="1019" t="str">
        <f t="shared" si="40"/>
        <v/>
      </c>
      <c r="AW359" s="1019" t="str">
        <f t="shared" si="41"/>
        <v/>
      </c>
      <c r="AX359" s="1018" t="str">
        <f t="shared" si="42"/>
        <v/>
      </c>
      <c r="AY359" s="1020"/>
      <c r="AZ359" s="1019" t="str">
        <f t="shared" si="43"/>
        <v/>
      </c>
      <c r="BA359" s="1019" t="str">
        <f t="shared" si="44"/>
        <v/>
      </c>
      <c r="BB359" s="1018" t="str">
        <f t="shared" si="45"/>
        <v/>
      </c>
    </row>
    <row r="360" spans="26:54" x14ac:dyDescent="0.3">
      <c r="Z360" s="556"/>
      <c r="AA360" s="731">
        <f t="shared" si="46"/>
        <v>67</v>
      </c>
      <c r="AB360" s="1019" t="str">
        <f>IF(E166="","",E166)</f>
        <v/>
      </c>
      <c r="AC360" s="1019" t="str">
        <f>IF(G166="","",G166)</f>
        <v/>
      </c>
      <c r="AD360" s="1025" t="str">
        <f>IF(L166="","",IF(AC360="","",L166))</f>
        <v/>
      </c>
      <c r="AE360" s="1021" t="str">
        <f t="shared" si="32"/>
        <v/>
      </c>
      <c r="AF360" s="1021"/>
      <c r="AG360" s="1019" t="str">
        <f t="shared" si="33"/>
        <v/>
      </c>
      <c r="AH360" s="1019" t="str">
        <f t="shared" si="34"/>
        <v/>
      </c>
      <c r="AI360" s="1018" t="str">
        <f t="shared" si="35"/>
        <v/>
      </c>
      <c r="AJ360" s="1020"/>
      <c r="AK360" s="1019" t="str">
        <f t="shared" si="36"/>
        <v/>
      </c>
      <c r="AL360" s="1019" t="str">
        <f t="shared" si="37"/>
        <v/>
      </c>
      <c r="AM360" s="1018" t="str">
        <f t="shared" si="38"/>
        <v/>
      </c>
      <c r="AN360" s="556"/>
      <c r="AO360" s="556"/>
      <c r="AP360" s="731">
        <f t="shared" si="47"/>
        <v>67</v>
      </c>
      <c r="AQ360" s="1019" t="str">
        <f>IF(H166="","",H166)</f>
        <v/>
      </c>
      <c r="AR360" s="1019" t="str">
        <f>IF(J166="","",J166)</f>
        <v/>
      </c>
      <c r="AS360" s="1025" t="str">
        <f>IF(L166="","",IF(AR360="","",L166))</f>
        <v/>
      </c>
      <c r="AT360" s="1021" t="str">
        <f t="shared" si="39"/>
        <v/>
      </c>
      <c r="AU360" s="1021"/>
      <c r="AV360" s="1019" t="str">
        <f t="shared" si="40"/>
        <v/>
      </c>
      <c r="AW360" s="1019" t="str">
        <f t="shared" si="41"/>
        <v/>
      </c>
      <c r="AX360" s="1018" t="str">
        <f t="shared" si="42"/>
        <v/>
      </c>
      <c r="AY360" s="1020"/>
      <c r="AZ360" s="1019" t="str">
        <f t="shared" si="43"/>
        <v/>
      </c>
      <c r="BA360" s="1019" t="str">
        <f t="shared" si="44"/>
        <v/>
      </c>
      <c r="BB360" s="1018" t="str">
        <f t="shared" si="45"/>
        <v/>
      </c>
    </row>
    <row r="361" spans="26:54" x14ac:dyDescent="0.3">
      <c r="Z361" s="556"/>
      <c r="AA361" s="731">
        <f t="shared" si="46"/>
        <v>68</v>
      </c>
      <c r="AB361" s="1019" t="str">
        <f>IF(E168="","",E168)</f>
        <v/>
      </c>
      <c r="AC361" s="1019" t="str">
        <f>IF(G168="","",G168)</f>
        <v/>
      </c>
      <c r="AD361" s="1025" t="str">
        <f>IF(L168="","",IF(AC361="","",L168))</f>
        <v/>
      </c>
      <c r="AE361" s="1021" t="str">
        <f t="shared" si="32"/>
        <v/>
      </c>
      <c r="AF361" s="1021"/>
      <c r="AG361" s="1019" t="str">
        <f t="shared" si="33"/>
        <v/>
      </c>
      <c r="AH361" s="1019" t="str">
        <f t="shared" si="34"/>
        <v/>
      </c>
      <c r="AI361" s="1018" t="str">
        <f t="shared" si="35"/>
        <v/>
      </c>
      <c r="AJ361" s="1020"/>
      <c r="AK361" s="1019" t="str">
        <f t="shared" si="36"/>
        <v/>
      </c>
      <c r="AL361" s="1019" t="str">
        <f t="shared" si="37"/>
        <v/>
      </c>
      <c r="AM361" s="1018" t="str">
        <f t="shared" si="38"/>
        <v/>
      </c>
      <c r="AN361" s="556"/>
      <c r="AO361" s="556"/>
      <c r="AP361" s="731">
        <f t="shared" si="47"/>
        <v>68</v>
      </c>
      <c r="AQ361" s="1019" t="str">
        <f>IF(H168="","",H168)</f>
        <v/>
      </c>
      <c r="AR361" s="1019" t="str">
        <f>IF(J168="","",J168)</f>
        <v/>
      </c>
      <c r="AS361" s="1025" t="str">
        <f>IF(L168="","",IF(AR361="","",L168))</f>
        <v/>
      </c>
      <c r="AT361" s="1021" t="str">
        <f t="shared" si="39"/>
        <v/>
      </c>
      <c r="AU361" s="1021"/>
      <c r="AV361" s="1019" t="str">
        <f t="shared" si="40"/>
        <v/>
      </c>
      <c r="AW361" s="1019" t="str">
        <f t="shared" si="41"/>
        <v/>
      </c>
      <c r="AX361" s="1018" t="str">
        <f t="shared" si="42"/>
        <v/>
      </c>
      <c r="AY361" s="1020"/>
      <c r="AZ361" s="1019" t="str">
        <f t="shared" si="43"/>
        <v/>
      </c>
      <c r="BA361" s="1019" t="str">
        <f t="shared" si="44"/>
        <v/>
      </c>
      <c r="BB361" s="1018" t="str">
        <f t="shared" si="45"/>
        <v/>
      </c>
    </row>
    <row r="362" spans="26:54" x14ac:dyDescent="0.3">
      <c r="Z362" s="556"/>
      <c r="AA362" s="731">
        <f t="shared" si="46"/>
        <v>69</v>
      </c>
      <c r="AB362" s="1019" t="str">
        <f>IF(E170="","",E170)</f>
        <v/>
      </c>
      <c r="AC362" s="1019" t="str">
        <f>IF(G170="","",G170)</f>
        <v/>
      </c>
      <c r="AD362" s="1025" t="str">
        <f>IF(L170="","",IF(AC362="","",L170))</f>
        <v/>
      </c>
      <c r="AE362" s="1021" t="str">
        <f t="shared" si="32"/>
        <v/>
      </c>
      <c r="AF362" s="1021"/>
      <c r="AG362" s="1019" t="str">
        <f t="shared" si="33"/>
        <v/>
      </c>
      <c r="AH362" s="1019" t="str">
        <f t="shared" si="34"/>
        <v/>
      </c>
      <c r="AI362" s="1018" t="str">
        <f t="shared" si="35"/>
        <v/>
      </c>
      <c r="AJ362" s="1020"/>
      <c r="AK362" s="1019" t="str">
        <f t="shared" si="36"/>
        <v/>
      </c>
      <c r="AL362" s="1019" t="str">
        <f t="shared" si="37"/>
        <v/>
      </c>
      <c r="AM362" s="1018" t="str">
        <f t="shared" si="38"/>
        <v/>
      </c>
      <c r="AN362" s="556"/>
      <c r="AO362" s="556"/>
      <c r="AP362" s="731">
        <f t="shared" si="47"/>
        <v>69</v>
      </c>
      <c r="AQ362" s="1019" t="str">
        <f>IF(H170="","",H170)</f>
        <v/>
      </c>
      <c r="AR362" s="1019" t="str">
        <f>IF(J170="","",J170)</f>
        <v/>
      </c>
      <c r="AS362" s="1025" t="str">
        <f>IF(L170="","",IF(AR362="","",L170))</f>
        <v/>
      </c>
      <c r="AT362" s="1021" t="str">
        <f t="shared" si="39"/>
        <v/>
      </c>
      <c r="AU362" s="1021"/>
      <c r="AV362" s="1019" t="str">
        <f t="shared" si="40"/>
        <v/>
      </c>
      <c r="AW362" s="1019" t="str">
        <f t="shared" si="41"/>
        <v/>
      </c>
      <c r="AX362" s="1018" t="str">
        <f t="shared" si="42"/>
        <v/>
      </c>
      <c r="AY362" s="1020"/>
      <c r="AZ362" s="1019" t="str">
        <f t="shared" si="43"/>
        <v/>
      </c>
      <c r="BA362" s="1019" t="str">
        <f t="shared" si="44"/>
        <v/>
      </c>
      <c r="BB362" s="1018" t="str">
        <f t="shared" si="45"/>
        <v/>
      </c>
    </row>
    <row r="363" spans="26:54" x14ac:dyDescent="0.3">
      <c r="Z363" s="556"/>
      <c r="AA363" s="731">
        <f t="shared" si="46"/>
        <v>70</v>
      </c>
      <c r="AB363" s="1019" t="str">
        <f>IF(E172="","",E172)</f>
        <v/>
      </c>
      <c r="AC363" s="1019" t="str">
        <f>IF(G172="","",G172)</f>
        <v/>
      </c>
      <c r="AD363" s="1025" t="str">
        <f>IF(L172="","",IF(AC363="","",L172))</f>
        <v/>
      </c>
      <c r="AE363" s="1021" t="str">
        <f t="shared" si="32"/>
        <v/>
      </c>
      <c r="AF363" s="1021"/>
      <c r="AG363" s="1019" t="str">
        <f t="shared" si="33"/>
        <v/>
      </c>
      <c r="AH363" s="1019" t="str">
        <f t="shared" si="34"/>
        <v/>
      </c>
      <c r="AI363" s="1018" t="str">
        <f t="shared" si="35"/>
        <v/>
      </c>
      <c r="AJ363" s="1020"/>
      <c r="AK363" s="1019" t="str">
        <f t="shared" si="36"/>
        <v/>
      </c>
      <c r="AL363" s="1019" t="str">
        <f t="shared" si="37"/>
        <v/>
      </c>
      <c r="AM363" s="1018" t="str">
        <f t="shared" si="38"/>
        <v/>
      </c>
      <c r="AN363" s="556"/>
      <c r="AO363" s="556"/>
      <c r="AP363" s="731">
        <f t="shared" si="47"/>
        <v>70</v>
      </c>
      <c r="AQ363" s="1019" t="str">
        <f>IF(H172="","",H172)</f>
        <v/>
      </c>
      <c r="AR363" s="1019" t="str">
        <f>IF(J172="","",J172)</f>
        <v/>
      </c>
      <c r="AS363" s="1025" t="str">
        <f>IF(L172="","",IF(AR363="","",L172))</f>
        <v/>
      </c>
      <c r="AT363" s="1021" t="str">
        <f t="shared" si="39"/>
        <v/>
      </c>
      <c r="AU363" s="1021"/>
      <c r="AV363" s="1019" t="str">
        <f t="shared" si="40"/>
        <v/>
      </c>
      <c r="AW363" s="1019" t="str">
        <f t="shared" si="41"/>
        <v/>
      </c>
      <c r="AX363" s="1018" t="str">
        <f t="shared" si="42"/>
        <v/>
      </c>
      <c r="AY363" s="1020"/>
      <c r="AZ363" s="1019" t="str">
        <f t="shared" si="43"/>
        <v/>
      </c>
      <c r="BA363" s="1019" t="str">
        <f t="shared" si="44"/>
        <v/>
      </c>
      <c r="BB363" s="1018" t="str">
        <f t="shared" si="45"/>
        <v/>
      </c>
    </row>
    <row r="364" spans="26:54" x14ac:dyDescent="0.3">
      <c r="Z364" s="556"/>
      <c r="AA364" s="731">
        <f t="shared" si="46"/>
        <v>71</v>
      </c>
      <c r="AB364" s="1019" t="str">
        <f>IF(E174="","",E174)</f>
        <v/>
      </c>
      <c r="AC364" s="1019" t="str">
        <f>IF(G174="","",G174)</f>
        <v/>
      </c>
      <c r="AD364" s="1025" t="str">
        <f>IF(L174="","",IF(AC364="","",L174))</f>
        <v/>
      </c>
      <c r="AE364" s="1021" t="str">
        <f t="shared" si="32"/>
        <v/>
      </c>
      <c r="AF364" s="1021"/>
      <c r="AG364" s="1019" t="str">
        <f t="shared" si="33"/>
        <v/>
      </c>
      <c r="AH364" s="1019" t="str">
        <f t="shared" si="34"/>
        <v/>
      </c>
      <c r="AI364" s="1018" t="str">
        <f t="shared" si="35"/>
        <v/>
      </c>
      <c r="AJ364" s="1020"/>
      <c r="AK364" s="1019" t="str">
        <f t="shared" si="36"/>
        <v/>
      </c>
      <c r="AL364" s="1019" t="str">
        <f t="shared" si="37"/>
        <v/>
      </c>
      <c r="AM364" s="1018" t="str">
        <f t="shared" si="38"/>
        <v/>
      </c>
      <c r="AN364" s="556"/>
      <c r="AO364" s="556"/>
      <c r="AP364" s="731">
        <f t="shared" si="47"/>
        <v>71</v>
      </c>
      <c r="AQ364" s="1019" t="str">
        <f>IF(H174="","",H174)</f>
        <v/>
      </c>
      <c r="AR364" s="1019" t="str">
        <f>IF(J174="","",J174)</f>
        <v/>
      </c>
      <c r="AS364" s="1025" t="str">
        <f>IF(L174="","",IF(AR364="","",L174))</f>
        <v/>
      </c>
      <c r="AT364" s="1021" t="str">
        <f t="shared" si="39"/>
        <v/>
      </c>
      <c r="AU364" s="1021"/>
      <c r="AV364" s="1019" t="str">
        <f t="shared" si="40"/>
        <v/>
      </c>
      <c r="AW364" s="1019" t="str">
        <f t="shared" si="41"/>
        <v/>
      </c>
      <c r="AX364" s="1018" t="str">
        <f t="shared" si="42"/>
        <v/>
      </c>
      <c r="AY364" s="1020"/>
      <c r="AZ364" s="1019" t="str">
        <f t="shared" si="43"/>
        <v/>
      </c>
      <c r="BA364" s="1019" t="str">
        <f t="shared" si="44"/>
        <v/>
      </c>
      <c r="BB364" s="1018" t="str">
        <f t="shared" si="45"/>
        <v/>
      </c>
    </row>
    <row r="365" spans="26:54" x14ac:dyDescent="0.3">
      <c r="Z365" s="556"/>
      <c r="AA365" s="731">
        <f t="shared" si="46"/>
        <v>72</v>
      </c>
      <c r="AB365" s="1019" t="str">
        <f>IF(E176="","",E176)</f>
        <v/>
      </c>
      <c r="AC365" s="1019" t="str">
        <f>IF(G176="","",G176)</f>
        <v/>
      </c>
      <c r="AD365" s="1025" t="str">
        <f>IF(L176="","",IF(AC365="","",L176))</f>
        <v/>
      </c>
      <c r="AE365" s="1021" t="str">
        <f t="shared" si="32"/>
        <v/>
      </c>
      <c r="AF365" s="1021"/>
      <c r="AG365" s="1019" t="str">
        <f t="shared" si="33"/>
        <v/>
      </c>
      <c r="AH365" s="1019" t="str">
        <f t="shared" si="34"/>
        <v/>
      </c>
      <c r="AI365" s="1018" t="str">
        <f t="shared" si="35"/>
        <v/>
      </c>
      <c r="AJ365" s="1020"/>
      <c r="AK365" s="1019" t="str">
        <f t="shared" si="36"/>
        <v/>
      </c>
      <c r="AL365" s="1019" t="str">
        <f t="shared" si="37"/>
        <v/>
      </c>
      <c r="AM365" s="1018" t="str">
        <f t="shared" si="38"/>
        <v/>
      </c>
      <c r="AN365" s="556"/>
      <c r="AO365" s="556"/>
      <c r="AP365" s="731">
        <f t="shared" si="47"/>
        <v>72</v>
      </c>
      <c r="AQ365" s="1019" t="str">
        <f>IF(H176="","",H176)</f>
        <v/>
      </c>
      <c r="AR365" s="1019" t="str">
        <f>IF(J176="","",J176)</f>
        <v/>
      </c>
      <c r="AS365" s="1025" t="str">
        <f>IF(L176="","",IF(AR365="","",L176))</f>
        <v/>
      </c>
      <c r="AT365" s="1021" t="str">
        <f t="shared" si="39"/>
        <v/>
      </c>
      <c r="AU365" s="1021"/>
      <c r="AV365" s="1019" t="str">
        <f t="shared" si="40"/>
        <v/>
      </c>
      <c r="AW365" s="1019" t="str">
        <f t="shared" si="41"/>
        <v/>
      </c>
      <c r="AX365" s="1018" t="str">
        <f t="shared" si="42"/>
        <v/>
      </c>
      <c r="AY365" s="1020"/>
      <c r="AZ365" s="1019" t="str">
        <f t="shared" si="43"/>
        <v/>
      </c>
      <c r="BA365" s="1019" t="str">
        <f t="shared" si="44"/>
        <v/>
      </c>
      <c r="BB365" s="1018" t="str">
        <f t="shared" si="45"/>
        <v/>
      </c>
    </row>
    <row r="366" spans="26:54" x14ac:dyDescent="0.3">
      <c r="Z366" s="556"/>
      <c r="AA366" s="731">
        <f t="shared" si="46"/>
        <v>73</v>
      </c>
      <c r="AB366" s="1019" t="str">
        <f>IF(E178="","",E178)</f>
        <v/>
      </c>
      <c r="AC366" s="1019" t="str">
        <f>IF(G178="","",G178)</f>
        <v/>
      </c>
      <c r="AD366" s="1025" t="str">
        <f>IF(L178="","",IF(AC366="","",L178))</f>
        <v/>
      </c>
      <c r="AE366" s="1021" t="str">
        <f t="shared" si="32"/>
        <v/>
      </c>
      <c r="AF366" s="1021"/>
      <c r="AG366" s="1019" t="str">
        <f t="shared" si="33"/>
        <v/>
      </c>
      <c r="AH366" s="1019" t="str">
        <f t="shared" si="34"/>
        <v/>
      </c>
      <c r="AI366" s="1018" t="str">
        <f t="shared" si="35"/>
        <v/>
      </c>
      <c r="AJ366" s="1020"/>
      <c r="AK366" s="1019" t="str">
        <f t="shared" si="36"/>
        <v/>
      </c>
      <c r="AL366" s="1019" t="str">
        <f t="shared" si="37"/>
        <v/>
      </c>
      <c r="AM366" s="1018" t="str">
        <f t="shared" si="38"/>
        <v/>
      </c>
      <c r="AN366" s="556"/>
      <c r="AO366" s="556"/>
      <c r="AP366" s="731">
        <f t="shared" si="47"/>
        <v>73</v>
      </c>
      <c r="AQ366" s="1019" t="str">
        <f>IF(H178="","",H178)</f>
        <v/>
      </c>
      <c r="AR366" s="1019" t="str">
        <f>IF(J178="","",J178)</f>
        <v/>
      </c>
      <c r="AS366" s="1025" t="str">
        <f>IF(L178="","",IF(AR366="","",L178))</f>
        <v/>
      </c>
      <c r="AT366" s="1021" t="str">
        <f t="shared" si="39"/>
        <v/>
      </c>
      <c r="AU366" s="1021"/>
      <c r="AV366" s="1019" t="str">
        <f t="shared" si="40"/>
        <v/>
      </c>
      <c r="AW366" s="1019" t="str">
        <f t="shared" si="41"/>
        <v/>
      </c>
      <c r="AX366" s="1018" t="str">
        <f t="shared" si="42"/>
        <v/>
      </c>
      <c r="AY366" s="1020"/>
      <c r="AZ366" s="1019" t="str">
        <f t="shared" si="43"/>
        <v/>
      </c>
      <c r="BA366" s="1019" t="str">
        <f t="shared" si="44"/>
        <v/>
      </c>
      <c r="BB366" s="1018" t="str">
        <f t="shared" si="45"/>
        <v/>
      </c>
    </row>
    <row r="367" spans="26:54" x14ac:dyDescent="0.3">
      <c r="Z367" s="556"/>
      <c r="AA367" s="731">
        <f t="shared" si="46"/>
        <v>74</v>
      </c>
      <c r="AB367" s="1019" t="str">
        <f>IF(E180="","",E180)</f>
        <v/>
      </c>
      <c r="AC367" s="1019" t="str">
        <f>IF(G180="","",G180)</f>
        <v/>
      </c>
      <c r="AD367" s="1025" t="str">
        <f>IF(L180="","",IF(AC367="","",L180))</f>
        <v/>
      </c>
      <c r="AE367" s="1021" t="str">
        <f t="shared" si="32"/>
        <v/>
      </c>
      <c r="AF367" s="1021"/>
      <c r="AG367" s="1019" t="str">
        <f t="shared" si="33"/>
        <v/>
      </c>
      <c r="AH367" s="1019" t="str">
        <f t="shared" si="34"/>
        <v/>
      </c>
      <c r="AI367" s="1018" t="str">
        <f t="shared" si="35"/>
        <v/>
      </c>
      <c r="AJ367" s="1020"/>
      <c r="AK367" s="1019" t="str">
        <f t="shared" si="36"/>
        <v/>
      </c>
      <c r="AL367" s="1019" t="str">
        <f t="shared" si="37"/>
        <v/>
      </c>
      <c r="AM367" s="1018" t="str">
        <f t="shared" si="38"/>
        <v/>
      </c>
      <c r="AN367" s="556"/>
      <c r="AO367" s="556"/>
      <c r="AP367" s="731">
        <f t="shared" si="47"/>
        <v>74</v>
      </c>
      <c r="AQ367" s="1019" t="str">
        <f>IF(H180="","",H180)</f>
        <v/>
      </c>
      <c r="AR367" s="1019" t="str">
        <f>IF(J180="","",J180)</f>
        <v/>
      </c>
      <c r="AS367" s="1025" t="str">
        <f>IF(L180="","",IF(AR367="","",L180))</f>
        <v/>
      </c>
      <c r="AT367" s="1021" t="str">
        <f t="shared" si="39"/>
        <v/>
      </c>
      <c r="AU367" s="1021"/>
      <c r="AV367" s="1019" t="str">
        <f t="shared" si="40"/>
        <v/>
      </c>
      <c r="AW367" s="1019" t="str">
        <f t="shared" si="41"/>
        <v/>
      </c>
      <c r="AX367" s="1018" t="str">
        <f t="shared" si="42"/>
        <v/>
      </c>
      <c r="AY367" s="1020"/>
      <c r="AZ367" s="1019" t="str">
        <f t="shared" si="43"/>
        <v/>
      </c>
      <c r="BA367" s="1019" t="str">
        <f t="shared" si="44"/>
        <v/>
      </c>
      <c r="BB367" s="1018" t="str">
        <f t="shared" si="45"/>
        <v/>
      </c>
    </row>
    <row r="368" spans="26:54" x14ac:dyDescent="0.3">
      <c r="Z368" s="556"/>
      <c r="AA368" s="731">
        <f t="shared" si="46"/>
        <v>75</v>
      </c>
      <c r="AB368" s="1019" t="str">
        <f>IF(E182="","",E182)</f>
        <v/>
      </c>
      <c r="AC368" s="1019" t="str">
        <f>IF(G182="","",G182)</f>
        <v/>
      </c>
      <c r="AD368" s="1025" t="str">
        <f>IF(L182="","",IF(AC368="","",L182))</f>
        <v/>
      </c>
      <c r="AE368" s="1021" t="str">
        <f t="shared" si="32"/>
        <v/>
      </c>
      <c r="AF368" s="1021"/>
      <c r="AG368" s="1019" t="str">
        <f t="shared" si="33"/>
        <v/>
      </c>
      <c r="AH368" s="1019" t="str">
        <f t="shared" si="34"/>
        <v/>
      </c>
      <c r="AI368" s="1018" t="str">
        <f t="shared" si="35"/>
        <v/>
      </c>
      <c r="AJ368" s="1020"/>
      <c r="AK368" s="1019" t="str">
        <f t="shared" si="36"/>
        <v/>
      </c>
      <c r="AL368" s="1019" t="str">
        <f t="shared" si="37"/>
        <v/>
      </c>
      <c r="AM368" s="1018" t="str">
        <f t="shared" si="38"/>
        <v/>
      </c>
      <c r="AN368" s="556"/>
      <c r="AO368" s="556"/>
      <c r="AP368" s="731">
        <f t="shared" si="47"/>
        <v>75</v>
      </c>
      <c r="AQ368" s="1019" t="str">
        <f>IF(H182="","",H182)</f>
        <v/>
      </c>
      <c r="AR368" s="1019" t="str">
        <f>IF(J182="","",J182)</f>
        <v/>
      </c>
      <c r="AS368" s="1025" t="str">
        <f>IF(L182="","",IF(AR368="","",L182))</f>
        <v/>
      </c>
      <c r="AT368" s="1021" t="str">
        <f t="shared" si="39"/>
        <v/>
      </c>
      <c r="AU368" s="1021"/>
      <c r="AV368" s="1019" t="str">
        <f t="shared" si="40"/>
        <v/>
      </c>
      <c r="AW368" s="1019" t="str">
        <f t="shared" si="41"/>
        <v/>
      </c>
      <c r="AX368" s="1018" t="str">
        <f t="shared" si="42"/>
        <v/>
      </c>
      <c r="AY368" s="1020"/>
      <c r="AZ368" s="1019" t="str">
        <f t="shared" si="43"/>
        <v/>
      </c>
      <c r="BA368" s="1019" t="str">
        <f t="shared" si="44"/>
        <v/>
      </c>
      <c r="BB368" s="1018" t="str">
        <f t="shared" si="45"/>
        <v/>
      </c>
    </row>
    <row r="369" spans="26:54" x14ac:dyDescent="0.3">
      <c r="Z369" s="556"/>
      <c r="AA369" s="731">
        <f t="shared" si="46"/>
        <v>76</v>
      </c>
      <c r="AB369" s="1019" t="str">
        <f>IF(E184="","",E184)</f>
        <v/>
      </c>
      <c r="AC369" s="1019" t="str">
        <f>IF(G184="","",G184)</f>
        <v/>
      </c>
      <c r="AD369" s="1025" t="str">
        <f>IF(L184="","",IF(AC369="","",L184))</f>
        <v/>
      </c>
      <c r="AE369" s="1021" t="str">
        <f t="shared" si="32"/>
        <v/>
      </c>
      <c r="AF369" s="1021"/>
      <c r="AG369" s="1019" t="str">
        <f t="shared" si="33"/>
        <v/>
      </c>
      <c r="AH369" s="1019" t="str">
        <f t="shared" si="34"/>
        <v/>
      </c>
      <c r="AI369" s="1018" t="str">
        <f t="shared" si="35"/>
        <v/>
      </c>
      <c r="AJ369" s="1020"/>
      <c r="AK369" s="1019" t="str">
        <f t="shared" si="36"/>
        <v/>
      </c>
      <c r="AL369" s="1019" t="str">
        <f t="shared" si="37"/>
        <v/>
      </c>
      <c r="AM369" s="1018" t="str">
        <f t="shared" si="38"/>
        <v/>
      </c>
      <c r="AN369" s="556"/>
      <c r="AO369" s="556"/>
      <c r="AP369" s="731">
        <f t="shared" si="47"/>
        <v>76</v>
      </c>
      <c r="AQ369" s="1019" t="str">
        <f>IF(H184="","",H184)</f>
        <v/>
      </c>
      <c r="AR369" s="1019" t="str">
        <f>IF(J184="","",J184)</f>
        <v/>
      </c>
      <c r="AS369" s="1025" t="str">
        <f>IF(L184="","",IF(AR369="","",L184))</f>
        <v/>
      </c>
      <c r="AT369" s="1021" t="str">
        <f t="shared" si="39"/>
        <v/>
      </c>
      <c r="AU369" s="1021"/>
      <c r="AV369" s="1019" t="str">
        <f t="shared" si="40"/>
        <v/>
      </c>
      <c r="AW369" s="1019" t="str">
        <f t="shared" si="41"/>
        <v/>
      </c>
      <c r="AX369" s="1018" t="str">
        <f t="shared" si="42"/>
        <v/>
      </c>
      <c r="AY369" s="1020"/>
      <c r="AZ369" s="1019" t="str">
        <f t="shared" si="43"/>
        <v/>
      </c>
      <c r="BA369" s="1019" t="str">
        <f t="shared" si="44"/>
        <v/>
      </c>
      <c r="BB369" s="1018" t="str">
        <f t="shared" si="45"/>
        <v/>
      </c>
    </row>
    <row r="370" spans="26:54" x14ac:dyDescent="0.3">
      <c r="Z370" s="556"/>
      <c r="AA370" s="731">
        <f t="shared" si="46"/>
        <v>77</v>
      </c>
      <c r="AB370" s="1019" t="str">
        <f>IF(E186="","",E186)</f>
        <v/>
      </c>
      <c r="AC370" s="1019" t="str">
        <f>IF(G186="","",G186)</f>
        <v/>
      </c>
      <c r="AD370" s="1025" t="str">
        <f>IF(L186="","",IF(AC370="","",L186))</f>
        <v/>
      </c>
      <c r="AE370" s="1021" t="str">
        <f t="shared" si="32"/>
        <v/>
      </c>
      <c r="AF370" s="1021"/>
      <c r="AG370" s="1019" t="str">
        <f t="shared" si="33"/>
        <v/>
      </c>
      <c r="AH370" s="1019" t="str">
        <f t="shared" si="34"/>
        <v/>
      </c>
      <c r="AI370" s="1018" t="str">
        <f t="shared" si="35"/>
        <v/>
      </c>
      <c r="AJ370" s="1020"/>
      <c r="AK370" s="1019" t="str">
        <f t="shared" si="36"/>
        <v/>
      </c>
      <c r="AL370" s="1019" t="str">
        <f t="shared" si="37"/>
        <v/>
      </c>
      <c r="AM370" s="1018" t="str">
        <f t="shared" si="38"/>
        <v/>
      </c>
      <c r="AN370" s="556"/>
      <c r="AO370" s="556"/>
      <c r="AP370" s="731">
        <f t="shared" si="47"/>
        <v>77</v>
      </c>
      <c r="AQ370" s="1019" t="str">
        <f>IF(H186="","",H186)</f>
        <v/>
      </c>
      <c r="AR370" s="1019" t="str">
        <f>IF(J186="","",J186)</f>
        <v/>
      </c>
      <c r="AS370" s="1025" t="str">
        <f>IF(L186="","",IF(AR370="","",L186))</f>
        <v/>
      </c>
      <c r="AT370" s="1021" t="str">
        <f t="shared" si="39"/>
        <v/>
      </c>
      <c r="AU370" s="1021"/>
      <c r="AV370" s="1019" t="str">
        <f t="shared" si="40"/>
        <v/>
      </c>
      <c r="AW370" s="1019" t="str">
        <f t="shared" si="41"/>
        <v/>
      </c>
      <c r="AX370" s="1018" t="str">
        <f t="shared" si="42"/>
        <v/>
      </c>
      <c r="AY370" s="1020"/>
      <c r="AZ370" s="1019" t="str">
        <f t="shared" si="43"/>
        <v/>
      </c>
      <c r="BA370" s="1019" t="str">
        <f t="shared" si="44"/>
        <v/>
      </c>
      <c r="BB370" s="1018" t="str">
        <f t="shared" si="45"/>
        <v/>
      </c>
    </row>
    <row r="371" spans="26:54" x14ac:dyDescent="0.3">
      <c r="Z371" s="556"/>
      <c r="AA371" s="731">
        <f t="shared" si="46"/>
        <v>78</v>
      </c>
      <c r="AB371" s="1019" t="str">
        <f>IF(E188="","",E188)</f>
        <v/>
      </c>
      <c r="AC371" s="1019" t="str">
        <f>IF(G188="","",G188)</f>
        <v/>
      </c>
      <c r="AD371" s="1025" t="str">
        <f>IF(L188="","",IF(AC371="","",L188))</f>
        <v/>
      </c>
      <c r="AE371" s="1021" t="str">
        <f t="shared" si="32"/>
        <v/>
      </c>
      <c r="AF371" s="1021"/>
      <c r="AG371" s="1019" t="str">
        <f t="shared" si="33"/>
        <v/>
      </c>
      <c r="AH371" s="1019" t="str">
        <f t="shared" si="34"/>
        <v/>
      </c>
      <c r="AI371" s="1018" t="str">
        <f t="shared" si="35"/>
        <v/>
      </c>
      <c r="AJ371" s="1020"/>
      <c r="AK371" s="1019" t="str">
        <f t="shared" si="36"/>
        <v/>
      </c>
      <c r="AL371" s="1019" t="str">
        <f t="shared" si="37"/>
        <v/>
      </c>
      <c r="AM371" s="1018" t="str">
        <f t="shared" si="38"/>
        <v/>
      </c>
      <c r="AN371" s="556"/>
      <c r="AO371" s="556"/>
      <c r="AP371" s="731">
        <f t="shared" si="47"/>
        <v>78</v>
      </c>
      <c r="AQ371" s="1019" t="str">
        <f>IF(H188="","",H188)</f>
        <v/>
      </c>
      <c r="AR371" s="1019" t="str">
        <f>IF(J188="","",J188)</f>
        <v/>
      </c>
      <c r="AS371" s="1025" t="str">
        <f>IF(L188="","",IF(AR371="","",L188))</f>
        <v/>
      </c>
      <c r="AT371" s="1021" t="str">
        <f t="shared" si="39"/>
        <v/>
      </c>
      <c r="AU371" s="1021"/>
      <c r="AV371" s="1019" t="str">
        <f t="shared" si="40"/>
        <v/>
      </c>
      <c r="AW371" s="1019" t="str">
        <f t="shared" si="41"/>
        <v/>
      </c>
      <c r="AX371" s="1018" t="str">
        <f t="shared" si="42"/>
        <v/>
      </c>
      <c r="AY371" s="1020"/>
      <c r="AZ371" s="1019" t="str">
        <f t="shared" si="43"/>
        <v/>
      </c>
      <c r="BA371" s="1019" t="str">
        <f t="shared" si="44"/>
        <v/>
      </c>
      <c r="BB371" s="1018" t="str">
        <f t="shared" si="45"/>
        <v/>
      </c>
    </row>
    <row r="372" spans="26:54" x14ac:dyDescent="0.3">
      <c r="Z372" s="556"/>
      <c r="AA372" s="731">
        <f t="shared" si="46"/>
        <v>79</v>
      </c>
      <c r="AB372" s="1019" t="str">
        <f>IF(E190="","",E190)</f>
        <v/>
      </c>
      <c r="AC372" s="1019" t="str">
        <f>IF(G190="","",G190)</f>
        <v/>
      </c>
      <c r="AD372" s="1025" t="str">
        <f>IF(L190="","",IF(AC372="","",L190))</f>
        <v/>
      </c>
      <c r="AE372" s="1021" t="str">
        <f t="shared" si="32"/>
        <v/>
      </c>
      <c r="AF372" s="1021"/>
      <c r="AG372" s="1019" t="str">
        <f t="shared" si="33"/>
        <v/>
      </c>
      <c r="AH372" s="1019" t="str">
        <f t="shared" si="34"/>
        <v/>
      </c>
      <c r="AI372" s="1018" t="str">
        <f t="shared" si="35"/>
        <v/>
      </c>
      <c r="AJ372" s="1020"/>
      <c r="AK372" s="1019" t="str">
        <f t="shared" si="36"/>
        <v/>
      </c>
      <c r="AL372" s="1019" t="str">
        <f t="shared" si="37"/>
        <v/>
      </c>
      <c r="AM372" s="1018" t="str">
        <f t="shared" si="38"/>
        <v/>
      </c>
      <c r="AN372" s="556"/>
      <c r="AO372" s="556"/>
      <c r="AP372" s="731">
        <f t="shared" si="47"/>
        <v>79</v>
      </c>
      <c r="AQ372" s="1019" t="str">
        <f>IF(H190="","",H190)</f>
        <v/>
      </c>
      <c r="AR372" s="1019" t="str">
        <f>IF(J190="","",J190)</f>
        <v/>
      </c>
      <c r="AS372" s="1025" t="str">
        <f>IF(L190="","",IF(AR372="","",L190))</f>
        <v/>
      </c>
      <c r="AT372" s="1021" t="str">
        <f t="shared" si="39"/>
        <v/>
      </c>
      <c r="AU372" s="1021"/>
      <c r="AV372" s="1019" t="str">
        <f t="shared" si="40"/>
        <v/>
      </c>
      <c r="AW372" s="1019" t="str">
        <f t="shared" si="41"/>
        <v/>
      </c>
      <c r="AX372" s="1018" t="str">
        <f t="shared" si="42"/>
        <v/>
      </c>
      <c r="AY372" s="1020"/>
      <c r="AZ372" s="1019" t="str">
        <f t="shared" si="43"/>
        <v/>
      </c>
      <c r="BA372" s="1019" t="str">
        <f t="shared" si="44"/>
        <v/>
      </c>
      <c r="BB372" s="1018" t="str">
        <f t="shared" si="45"/>
        <v/>
      </c>
    </row>
    <row r="373" spans="26:54" x14ac:dyDescent="0.3">
      <c r="Z373" s="556"/>
      <c r="AA373" s="731">
        <f t="shared" si="46"/>
        <v>80</v>
      </c>
      <c r="AB373" s="1019" t="str">
        <f>IF(E192="","",E192)</f>
        <v/>
      </c>
      <c r="AC373" s="1019" t="str">
        <f>IF(G192="","",G192)</f>
        <v/>
      </c>
      <c r="AD373" s="1025" t="str">
        <f>IF(L192="","",IF(AC373="","",L192))</f>
        <v/>
      </c>
      <c r="AE373" s="1021" t="str">
        <f t="shared" si="32"/>
        <v/>
      </c>
      <c r="AF373" s="1021"/>
      <c r="AG373" s="1019" t="str">
        <f t="shared" si="33"/>
        <v/>
      </c>
      <c r="AH373" s="1019" t="str">
        <f t="shared" si="34"/>
        <v/>
      </c>
      <c r="AI373" s="1018" t="str">
        <f t="shared" si="35"/>
        <v/>
      </c>
      <c r="AJ373" s="1020"/>
      <c r="AK373" s="1019" t="str">
        <f t="shared" si="36"/>
        <v/>
      </c>
      <c r="AL373" s="1019" t="str">
        <f t="shared" si="37"/>
        <v/>
      </c>
      <c r="AM373" s="1018" t="str">
        <f t="shared" si="38"/>
        <v/>
      </c>
      <c r="AN373" s="556"/>
      <c r="AO373" s="556"/>
      <c r="AP373" s="731">
        <f t="shared" si="47"/>
        <v>80</v>
      </c>
      <c r="AQ373" s="1019" t="str">
        <f>IF(H192="","",H192)</f>
        <v/>
      </c>
      <c r="AR373" s="1019" t="str">
        <f>IF(J192="","",J192)</f>
        <v/>
      </c>
      <c r="AS373" s="1025" t="str">
        <f>IF(L192="","",IF(AR373="","",L192))</f>
        <v/>
      </c>
      <c r="AT373" s="1021" t="str">
        <f t="shared" si="39"/>
        <v/>
      </c>
      <c r="AU373" s="1021"/>
      <c r="AV373" s="1019" t="str">
        <f t="shared" si="40"/>
        <v/>
      </c>
      <c r="AW373" s="1019" t="str">
        <f t="shared" si="41"/>
        <v/>
      </c>
      <c r="AX373" s="1018" t="str">
        <f t="shared" si="42"/>
        <v/>
      </c>
      <c r="AY373" s="1020"/>
      <c r="AZ373" s="1019" t="str">
        <f t="shared" si="43"/>
        <v/>
      </c>
      <c r="BA373" s="1019" t="str">
        <f t="shared" si="44"/>
        <v/>
      </c>
      <c r="BB373" s="1018" t="str">
        <f t="shared" si="45"/>
        <v/>
      </c>
    </row>
    <row r="374" spans="26:54" x14ac:dyDescent="0.3">
      <c r="Z374" s="556"/>
      <c r="AA374" s="731">
        <f t="shared" si="46"/>
        <v>81</v>
      </c>
      <c r="AB374" s="1019" t="str">
        <f>IF(E194="","",E194)</f>
        <v/>
      </c>
      <c r="AC374" s="1019" t="str">
        <f>IF(G194="","",G194)</f>
        <v/>
      </c>
      <c r="AD374" s="1025" t="str">
        <f>IF(L194="","",IF(AC374="","",L194))</f>
        <v/>
      </c>
      <c r="AE374" s="1021" t="str">
        <f t="shared" si="32"/>
        <v/>
      </c>
      <c r="AF374" s="1021"/>
      <c r="AG374" s="1019" t="str">
        <f t="shared" si="33"/>
        <v/>
      </c>
      <c r="AH374" s="1019" t="str">
        <f t="shared" si="34"/>
        <v/>
      </c>
      <c r="AI374" s="1018" t="str">
        <f t="shared" si="35"/>
        <v/>
      </c>
      <c r="AJ374" s="1020"/>
      <c r="AK374" s="1019" t="str">
        <f t="shared" si="36"/>
        <v/>
      </c>
      <c r="AL374" s="1019" t="str">
        <f t="shared" si="37"/>
        <v/>
      </c>
      <c r="AM374" s="1018" t="str">
        <f t="shared" si="38"/>
        <v/>
      </c>
      <c r="AN374" s="556"/>
      <c r="AO374" s="556"/>
      <c r="AP374" s="731">
        <f t="shared" si="47"/>
        <v>81</v>
      </c>
      <c r="AQ374" s="1019" t="str">
        <f>IF(H194="","",H194)</f>
        <v/>
      </c>
      <c r="AR374" s="1019" t="str">
        <f>IF(J194="","",J194)</f>
        <v/>
      </c>
      <c r="AS374" s="1025" t="str">
        <f>IF(L194="","",IF(AR374="","",L194))</f>
        <v/>
      </c>
      <c r="AT374" s="1021" t="str">
        <f t="shared" si="39"/>
        <v/>
      </c>
      <c r="AU374" s="1021"/>
      <c r="AV374" s="1019" t="str">
        <f t="shared" si="40"/>
        <v/>
      </c>
      <c r="AW374" s="1019" t="str">
        <f t="shared" si="41"/>
        <v/>
      </c>
      <c r="AX374" s="1018" t="str">
        <f t="shared" si="42"/>
        <v/>
      </c>
      <c r="AY374" s="1020"/>
      <c r="AZ374" s="1019" t="str">
        <f t="shared" si="43"/>
        <v/>
      </c>
      <c r="BA374" s="1019" t="str">
        <f t="shared" si="44"/>
        <v/>
      </c>
      <c r="BB374" s="1018" t="str">
        <f t="shared" si="45"/>
        <v/>
      </c>
    </row>
    <row r="375" spans="26:54" x14ac:dyDescent="0.3">
      <c r="Z375" s="556"/>
      <c r="AA375" s="731">
        <f t="shared" si="46"/>
        <v>82</v>
      </c>
      <c r="AB375" s="1019" t="str">
        <f>IF(E196="","",E196)</f>
        <v/>
      </c>
      <c r="AC375" s="1019" t="str">
        <f>IF(G196="","",G196)</f>
        <v/>
      </c>
      <c r="AD375" s="1025" t="str">
        <f>IF(L196="","",IF(AC375="","",L196))</f>
        <v/>
      </c>
      <c r="AE375" s="1021" t="str">
        <f t="shared" si="32"/>
        <v/>
      </c>
      <c r="AF375" s="1021"/>
      <c r="AG375" s="1019" t="str">
        <f t="shared" si="33"/>
        <v/>
      </c>
      <c r="AH375" s="1019" t="str">
        <f t="shared" si="34"/>
        <v/>
      </c>
      <c r="AI375" s="1018" t="str">
        <f t="shared" si="35"/>
        <v/>
      </c>
      <c r="AJ375" s="1020"/>
      <c r="AK375" s="1019" t="str">
        <f t="shared" si="36"/>
        <v/>
      </c>
      <c r="AL375" s="1019" t="str">
        <f t="shared" si="37"/>
        <v/>
      </c>
      <c r="AM375" s="1018" t="str">
        <f t="shared" si="38"/>
        <v/>
      </c>
      <c r="AN375" s="556"/>
      <c r="AO375" s="556"/>
      <c r="AP375" s="731">
        <f t="shared" si="47"/>
        <v>82</v>
      </c>
      <c r="AQ375" s="1019" t="str">
        <f>IF(H196="","",H196)</f>
        <v/>
      </c>
      <c r="AR375" s="1019" t="str">
        <f>IF(J196="","",J196)</f>
        <v/>
      </c>
      <c r="AS375" s="1025" t="str">
        <f>IF(L196="","",IF(AR375="","",L196))</f>
        <v/>
      </c>
      <c r="AT375" s="1021" t="str">
        <f t="shared" si="39"/>
        <v/>
      </c>
      <c r="AU375" s="1021"/>
      <c r="AV375" s="1019" t="str">
        <f t="shared" si="40"/>
        <v/>
      </c>
      <c r="AW375" s="1019" t="str">
        <f t="shared" si="41"/>
        <v/>
      </c>
      <c r="AX375" s="1018" t="str">
        <f t="shared" si="42"/>
        <v/>
      </c>
      <c r="AY375" s="1020"/>
      <c r="AZ375" s="1019" t="str">
        <f t="shared" si="43"/>
        <v/>
      </c>
      <c r="BA375" s="1019" t="str">
        <f t="shared" si="44"/>
        <v/>
      </c>
      <c r="BB375" s="1018" t="str">
        <f t="shared" si="45"/>
        <v/>
      </c>
    </row>
    <row r="376" spans="26:54" x14ac:dyDescent="0.3">
      <c r="Z376" s="556"/>
      <c r="AA376" s="731">
        <f t="shared" si="46"/>
        <v>83</v>
      </c>
      <c r="AB376" s="1019" t="str">
        <f>IF(E198="","",E198)</f>
        <v/>
      </c>
      <c r="AC376" s="1019" t="str">
        <f>IF(G198="","",G198)</f>
        <v/>
      </c>
      <c r="AD376" s="1025" t="str">
        <f>IF(L198="","",IF(AC376="","",L198))</f>
        <v/>
      </c>
      <c r="AE376" s="1021" t="str">
        <f t="shared" si="32"/>
        <v/>
      </c>
      <c r="AF376" s="1021"/>
      <c r="AG376" s="1019" t="str">
        <f t="shared" si="33"/>
        <v/>
      </c>
      <c r="AH376" s="1019" t="str">
        <f t="shared" si="34"/>
        <v/>
      </c>
      <c r="AI376" s="1018" t="str">
        <f t="shared" si="35"/>
        <v/>
      </c>
      <c r="AJ376" s="1020"/>
      <c r="AK376" s="1019" t="str">
        <f t="shared" si="36"/>
        <v/>
      </c>
      <c r="AL376" s="1019" t="str">
        <f t="shared" si="37"/>
        <v/>
      </c>
      <c r="AM376" s="1018" t="str">
        <f t="shared" si="38"/>
        <v/>
      </c>
      <c r="AN376" s="556"/>
      <c r="AO376" s="556"/>
      <c r="AP376" s="731">
        <f t="shared" si="47"/>
        <v>83</v>
      </c>
      <c r="AQ376" s="1019" t="str">
        <f>IF(H198="","",H198)</f>
        <v/>
      </c>
      <c r="AR376" s="1019" t="str">
        <f>IF(J198="","",J198)</f>
        <v/>
      </c>
      <c r="AS376" s="1025" t="str">
        <f>IF(L198="","",IF(AR376="","",L198))</f>
        <v/>
      </c>
      <c r="AT376" s="1021" t="str">
        <f t="shared" si="39"/>
        <v/>
      </c>
      <c r="AU376" s="1021"/>
      <c r="AV376" s="1019" t="str">
        <f t="shared" si="40"/>
        <v/>
      </c>
      <c r="AW376" s="1019" t="str">
        <f t="shared" si="41"/>
        <v/>
      </c>
      <c r="AX376" s="1018" t="str">
        <f t="shared" si="42"/>
        <v/>
      </c>
      <c r="AY376" s="1020"/>
      <c r="AZ376" s="1019" t="str">
        <f t="shared" si="43"/>
        <v/>
      </c>
      <c r="BA376" s="1019" t="str">
        <f t="shared" si="44"/>
        <v/>
      </c>
      <c r="BB376" s="1018" t="str">
        <f t="shared" si="45"/>
        <v/>
      </c>
    </row>
    <row r="377" spans="26:54" x14ac:dyDescent="0.3">
      <c r="Z377" s="556"/>
      <c r="AA377" s="731">
        <f t="shared" si="46"/>
        <v>84</v>
      </c>
      <c r="AB377" s="1019" t="str">
        <f>IF(E200="","",E200)</f>
        <v/>
      </c>
      <c r="AC377" s="1019" t="str">
        <f>IF(G200="","",G200)</f>
        <v/>
      </c>
      <c r="AD377" s="1025" t="str">
        <f>IF(L200="","",IF(AC377="","",L200))</f>
        <v/>
      </c>
      <c r="AE377" s="1021" t="str">
        <f t="shared" si="32"/>
        <v/>
      </c>
      <c r="AF377" s="1021"/>
      <c r="AG377" s="1019" t="str">
        <f t="shared" si="33"/>
        <v/>
      </c>
      <c r="AH377" s="1019" t="str">
        <f t="shared" si="34"/>
        <v/>
      </c>
      <c r="AI377" s="1018" t="str">
        <f t="shared" si="35"/>
        <v/>
      </c>
      <c r="AJ377" s="1020"/>
      <c r="AK377" s="1019" t="str">
        <f t="shared" si="36"/>
        <v/>
      </c>
      <c r="AL377" s="1019" t="str">
        <f t="shared" si="37"/>
        <v/>
      </c>
      <c r="AM377" s="1018" t="str">
        <f t="shared" si="38"/>
        <v/>
      </c>
      <c r="AN377" s="556"/>
      <c r="AO377" s="556"/>
      <c r="AP377" s="731">
        <f t="shared" si="47"/>
        <v>84</v>
      </c>
      <c r="AQ377" s="1019" t="str">
        <f>IF(H200="","",H200)</f>
        <v/>
      </c>
      <c r="AR377" s="1019" t="str">
        <f>IF(J200="","",J200)</f>
        <v/>
      </c>
      <c r="AS377" s="1025" t="str">
        <f>IF(L200="","",IF(AR377="","",L200))</f>
        <v/>
      </c>
      <c r="AT377" s="1021" t="str">
        <f t="shared" si="39"/>
        <v/>
      </c>
      <c r="AU377" s="1021"/>
      <c r="AV377" s="1019" t="str">
        <f t="shared" si="40"/>
        <v/>
      </c>
      <c r="AW377" s="1019" t="str">
        <f t="shared" si="41"/>
        <v/>
      </c>
      <c r="AX377" s="1018" t="str">
        <f t="shared" si="42"/>
        <v/>
      </c>
      <c r="AY377" s="1020"/>
      <c r="AZ377" s="1019" t="str">
        <f t="shared" si="43"/>
        <v/>
      </c>
      <c r="BA377" s="1019" t="str">
        <f t="shared" si="44"/>
        <v/>
      </c>
      <c r="BB377" s="1018" t="str">
        <f t="shared" si="45"/>
        <v/>
      </c>
    </row>
    <row r="378" spans="26:54" x14ac:dyDescent="0.3">
      <c r="Z378" s="556"/>
      <c r="AA378" s="731">
        <f t="shared" si="46"/>
        <v>85</v>
      </c>
      <c r="AB378" s="1019" t="str">
        <f>IF(E202="","",E202)</f>
        <v/>
      </c>
      <c r="AC378" s="1019" t="str">
        <f>IF(G202="","",G202)</f>
        <v/>
      </c>
      <c r="AD378" s="1025" t="str">
        <f>IF(L202="","",IF(AC378="","",L202))</f>
        <v/>
      </c>
      <c r="AE378" s="1021" t="str">
        <f t="shared" si="32"/>
        <v/>
      </c>
      <c r="AF378" s="1021"/>
      <c r="AG378" s="1019" t="str">
        <f t="shared" si="33"/>
        <v/>
      </c>
      <c r="AH378" s="1019" t="str">
        <f t="shared" si="34"/>
        <v/>
      </c>
      <c r="AI378" s="1018" t="str">
        <f t="shared" si="35"/>
        <v/>
      </c>
      <c r="AJ378" s="1020"/>
      <c r="AK378" s="1019" t="str">
        <f t="shared" si="36"/>
        <v/>
      </c>
      <c r="AL378" s="1019" t="str">
        <f t="shared" si="37"/>
        <v/>
      </c>
      <c r="AM378" s="1018" t="str">
        <f t="shared" si="38"/>
        <v/>
      </c>
      <c r="AN378" s="556"/>
      <c r="AO378" s="556"/>
      <c r="AP378" s="731">
        <f t="shared" si="47"/>
        <v>85</v>
      </c>
      <c r="AQ378" s="1019" t="str">
        <f>IF(H202="","",H202)</f>
        <v/>
      </c>
      <c r="AR378" s="1019" t="str">
        <f>IF(J202="","",J202)</f>
        <v/>
      </c>
      <c r="AS378" s="1025" t="str">
        <f>IF(L202="","",IF(AR378="","",L202))</f>
        <v/>
      </c>
      <c r="AT378" s="1021" t="str">
        <f t="shared" si="39"/>
        <v/>
      </c>
      <c r="AU378" s="1021"/>
      <c r="AV378" s="1019" t="str">
        <f t="shared" si="40"/>
        <v/>
      </c>
      <c r="AW378" s="1019" t="str">
        <f t="shared" si="41"/>
        <v/>
      </c>
      <c r="AX378" s="1018" t="str">
        <f t="shared" si="42"/>
        <v/>
      </c>
      <c r="AY378" s="1020"/>
      <c r="AZ378" s="1019" t="str">
        <f t="shared" si="43"/>
        <v/>
      </c>
      <c r="BA378" s="1019" t="str">
        <f t="shared" si="44"/>
        <v/>
      </c>
      <c r="BB378" s="1018" t="str">
        <f t="shared" si="45"/>
        <v/>
      </c>
    </row>
    <row r="379" spans="26:54" x14ac:dyDescent="0.3">
      <c r="Z379" s="556"/>
      <c r="AA379" s="731">
        <f t="shared" si="46"/>
        <v>86</v>
      </c>
      <c r="AB379" s="1019" t="str">
        <f>IF(E204="","",E204)</f>
        <v/>
      </c>
      <c r="AC379" s="1019" t="str">
        <f>IF(G204="","",G204)</f>
        <v/>
      </c>
      <c r="AD379" s="1025" t="str">
        <f>IF(L204="","",IF(AC379="","",L204))</f>
        <v/>
      </c>
      <c r="AE379" s="1021" t="str">
        <f t="shared" si="32"/>
        <v/>
      </c>
      <c r="AF379" s="1021"/>
      <c r="AG379" s="1019" t="str">
        <f t="shared" si="33"/>
        <v/>
      </c>
      <c r="AH379" s="1019" t="str">
        <f t="shared" si="34"/>
        <v/>
      </c>
      <c r="AI379" s="1018" t="str">
        <f t="shared" si="35"/>
        <v/>
      </c>
      <c r="AJ379" s="1020"/>
      <c r="AK379" s="1019" t="str">
        <f t="shared" si="36"/>
        <v/>
      </c>
      <c r="AL379" s="1019" t="str">
        <f t="shared" si="37"/>
        <v/>
      </c>
      <c r="AM379" s="1018" t="str">
        <f t="shared" si="38"/>
        <v/>
      </c>
      <c r="AN379" s="556"/>
      <c r="AO379" s="556"/>
      <c r="AP379" s="731">
        <f t="shared" si="47"/>
        <v>86</v>
      </c>
      <c r="AQ379" s="1019" t="str">
        <f>IF(H204="","",H204)</f>
        <v/>
      </c>
      <c r="AR379" s="1019" t="str">
        <f>IF(J204="","",J204)</f>
        <v/>
      </c>
      <c r="AS379" s="1025" t="str">
        <f>IF(L204="","",IF(AR379="","",L204))</f>
        <v/>
      </c>
      <c r="AT379" s="1021" t="str">
        <f t="shared" si="39"/>
        <v/>
      </c>
      <c r="AU379" s="1021"/>
      <c r="AV379" s="1019" t="str">
        <f t="shared" si="40"/>
        <v/>
      </c>
      <c r="AW379" s="1019" t="str">
        <f t="shared" si="41"/>
        <v/>
      </c>
      <c r="AX379" s="1018" t="str">
        <f t="shared" si="42"/>
        <v/>
      </c>
      <c r="AY379" s="1020"/>
      <c r="AZ379" s="1019" t="str">
        <f t="shared" si="43"/>
        <v/>
      </c>
      <c r="BA379" s="1019" t="str">
        <f t="shared" si="44"/>
        <v/>
      </c>
      <c r="BB379" s="1018" t="str">
        <f t="shared" si="45"/>
        <v/>
      </c>
    </row>
    <row r="380" spans="26:54" x14ac:dyDescent="0.3">
      <c r="Z380" s="556"/>
      <c r="AA380" s="731">
        <f t="shared" si="46"/>
        <v>87</v>
      </c>
      <c r="AB380" s="1019" t="str">
        <f>IF(E209="","",E209)</f>
        <v/>
      </c>
      <c r="AC380" s="1019" t="str">
        <f>IF(G209="","",G209)</f>
        <v/>
      </c>
      <c r="AD380" s="1025" t="str">
        <f>IF(L209="","",IF(AC380="","",L209))</f>
        <v/>
      </c>
      <c r="AE380" s="1021" t="str">
        <f t="shared" si="32"/>
        <v/>
      </c>
      <c r="AF380" s="1021"/>
      <c r="AG380" s="1019" t="str">
        <f t="shared" si="33"/>
        <v/>
      </c>
      <c r="AH380" s="1019" t="str">
        <f t="shared" si="34"/>
        <v/>
      </c>
      <c r="AI380" s="1018" t="str">
        <f t="shared" si="35"/>
        <v/>
      </c>
      <c r="AJ380" s="1020"/>
      <c r="AK380" s="1019" t="str">
        <f t="shared" si="36"/>
        <v/>
      </c>
      <c r="AL380" s="1019" t="str">
        <f t="shared" si="37"/>
        <v/>
      </c>
      <c r="AM380" s="1018" t="str">
        <f t="shared" si="38"/>
        <v/>
      </c>
      <c r="AN380" s="556"/>
      <c r="AO380" s="556"/>
      <c r="AP380" s="731">
        <f t="shared" si="47"/>
        <v>87</v>
      </c>
      <c r="AQ380" s="1019" t="str">
        <f>IF(H209="","",H209)</f>
        <v/>
      </c>
      <c r="AR380" s="1019" t="str">
        <f>IF(J209="","",J209)</f>
        <v/>
      </c>
      <c r="AS380" s="1025" t="str">
        <f>IF(L209="","",IF(AR380="","",L209))</f>
        <v/>
      </c>
      <c r="AT380" s="1021" t="str">
        <f t="shared" si="39"/>
        <v/>
      </c>
      <c r="AU380" s="1021"/>
      <c r="AV380" s="1019" t="str">
        <f t="shared" si="40"/>
        <v/>
      </c>
      <c r="AW380" s="1019" t="str">
        <f t="shared" si="41"/>
        <v/>
      </c>
      <c r="AX380" s="1018" t="str">
        <f t="shared" si="42"/>
        <v/>
      </c>
      <c r="AY380" s="1020"/>
      <c r="AZ380" s="1019" t="str">
        <f t="shared" si="43"/>
        <v/>
      </c>
      <c r="BA380" s="1019" t="str">
        <f t="shared" si="44"/>
        <v/>
      </c>
      <c r="BB380" s="1018" t="str">
        <f t="shared" si="45"/>
        <v/>
      </c>
    </row>
    <row r="381" spans="26:54" x14ac:dyDescent="0.3">
      <c r="Z381" s="556"/>
      <c r="AA381" s="731">
        <f t="shared" si="46"/>
        <v>88</v>
      </c>
      <c r="AB381" s="1019" t="str">
        <f>IF(E211="","",E211)</f>
        <v/>
      </c>
      <c r="AC381" s="1019" t="str">
        <f>IF(G211="","",G211)</f>
        <v/>
      </c>
      <c r="AD381" s="1025" t="str">
        <f>IF(L211="","",IF(AC381="","",L211))</f>
        <v/>
      </c>
      <c r="AE381" s="1021" t="str">
        <f t="shared" si="32"/>
        <v/>
      </c>
      <c r="AF381" s="1021"/>
      <c r="AG381" s="1019" t="str">
        <f t="shared" si="33"/>
        <v/>
      </c>
      <c r="AH381" s="1019" t="str">
        <f t="shared" si="34"/>
        <v/>
      </c>
      <c r="AI381" s="1018" t="str">
        <f t="shared" si="35"/>
        <v/>
      </c>
      <c r="AJ381" s="1020"/>
      <c r="AK381" s="1019" t="str">
        <f t="shared" si="36"/>
        <v/>
      </c>
      <c r="AL381" s="1019" t="str">
        <f t="shared" si="37"/>
        <v/>
      </c>
      <c r="AM381" s="1018" t="str">
        <f t="shared" si="38"/>
        <v/>
      </c>
      <c r="AN381" s="556"/>
      <c r="AO381" s="556"/>
      <c r="AP381" s="731">
        <f t="shared" si="47"/>
        <v>88</v>
      </c>
      <c r="AQ381" s="1019" t="str">
        <f>IF(H211="","",H211)</f>
        <v/>
      </c>
      <c r="AR381" s="1019" t="str">
        <f>IF(J211="","",J211)</f>
        <v/>
      </c>
      <c r="AS381" s="1025" t="str">
        <f>IF(L211="","",IF(AR381="","",L211))</f>
        <v/>
      </c>
      <c r="AT381" s="1021" t="str">
        <f t="shared" si="39"/>
        <v/>
      </c>
      <c r="AU381" s="1021"/>
      <c r="AV381" s="1019" t="str">
        <f t="shared" si="40"/>
        <v/>
      </c>
      <c r="AW381" s="1019" t="str">
        <f t="shared" si="41"/>
        <v/>
      </c>
      <c r="AX381" s="1018" t="str">
        <f t="shared" si="42"/>
        <v/>
      </c>
      <c r="AY381" s="1020"/>
      <c r="AZ381" s="1019" t="str">
        <f t="shared" si="43"/>
        <v/>
      </c>
      <c r="BA381" s="1019" t="str">
        <f t="shared" si="44"/>
        <v/>
      </c>
      <c r="BB381" s="1018" t="str">
        <f t="shared" si="45"/>
        <v/>
      </c>
    </row>
    <row r="382" spans="26:54" x14ac:dyDescent="0.3">
      <c r="Z382" s="556"/>
      <c r="AA382" s="731">
        <f t="shared" si="46"/>
        <v>89</v>
      </c>
      <c r="AB382" s="1019" t="str">
        <f>IF(E213="","",E213)</f>
        <v/>
      </c>
      <c r="AC382" s="1019" t="str">
        <f>IF(G213="","",G213)</f>
        <v/>
      </c>
      <c r="AD382" s="1025" t="str">
        <f>IF(L213="","",IF(AC382="","",L213))</f>
        <v/>
      </c>
      <c r="AE382" s="1021" t="str">
        <f t="shared" si="32"/>
        <v/>
      </c>
      <c r="AF382" s="1021"/>
      <c r="AG382" s="1019" t="str">
        <f t="shared" si="33"/>
        <v/>
      </c>
      <c r="AH382" s="1019" t="str">
        <f t="shared" si="34"/>
        <v/>
      </c>
      <c r="AI382" s="1018" t="str">
        <f t="shared" si="35"/>
        <v/>
      </c>
      <c r="AJ382" s="1020"/>
      <c r="AK382" s="1019" t="str">
        <f t="shared" si="36"/>
        <v/>
      </c>
      <c r="AL382" s="1019" t="str">
        <f t="shared" si="37"/>
        <v/>
      </c>
      <c r="AM382" s="1018" t="str">
        <f t="shared" si="38"/>
        <v/>
      </c>
      <c r="AN382" s="556"/>
      <c r="AO382" s="556"/>
      <c r="AP382" s="731">
        <f t="shared" si="47"/>
        <v>89</v>
      </c>
      <c r="AQ382" s="1019" t="str">
        <f>IF(H213="","",H213)</f>
        <v/>
      </c>
      <c r="AR382" s="1019" t="str">
        <f>IF(J213="","",J213)</f>
        <v/>
      </c>
      <c r="AS382" s="1025" t="str">
        <f>IF(L213="","",IF(AR382="","",L213))</f>
        <v/>
      </c>
      <c r="AT382" s="1021" t="str">
        <f t="shared" si="39"/>
        <v/>
      </c>
      <c r="AU382" s="1021"/>
      <c r="AV382" s="1019" t="str">
        <f t="shared" si="40"/>
        <v/>
      </c>
      <c r="AW382" s="1019" t="str">
        <f t="shared" si="41"/>
        <v/>
      </c>
      <c r="AX382" s="1018" t="str">
        <f t="shared" si="42"/>
        <v/>
      </c>
      <c r="AY382" s="1020"/>
      <c r="AZ382" s="1019" t="str">
        <f t="shared" si="43"/>
        <v/>
      </c>
      <c r="BA382" s="1019" t="str">
        <f t="shared" si="44"/>
        <v/>
      </c>
      <c r="BB382" s="1018" t="str">
        <f t="shared" si="45"/>
        <v/>
      </c>
    </row>
    <row r="383" spans="26:54" x14ac:dyDescent="0.3">
      <c r="Z383" s="556"/>
      <c r="AA383" s="731">
        <f t="shared" si="46"/>
        <v>90</v>
      </c>
      <c r="AB383" s="1019" t="str">
        <f>IF(E215="","",E215)</f>
        <v/>
      </c>
      <c r="AC383" s="1019" t="str">
        <f>IF(G215="","",G215)</f>
        <v/>
      </c>
      <c r="AD383" s="1025" t="str">
        <f>IF(L215="","",IF(AC383="","",L215))</f>
        <v/>
      </c>
      <c r="AE383" s="1021" t="str">
        <f t="shared" si="32"/>
        <v/>
      </c>
      <c r="AF383" s="1021"/>
      <c r="AG383" s="1019" t="str">
        <f t="shared" si="33"/>
        <v/>
      </c>
      <c r="AH383" s="1019" t="str">
        <f t="shared" si="34"/>
        <v/>
      </c>
      <c r="AI383" s="1018" t="str">
        <f t="shared" si="35"/>
        <v/>
      </c>
      <c r="AJ383" s="1020"/>
      <c r="AK383" s="1019" t="str">
        <f t="shared" si="36"/>
        <v/>
      </c>
      <c r="AL383" s="1019" t="str">
        <f t="shared" si="37"/>
        <v/>
      </c>
      <c r="AM383" s="1018" t="str">
        <f t="shared" si="38"/>
        <v/>
      </c>
      <c r="AN383" s="556"/>
      <c r="AO383" s="556"/>
      <c r="AP383" s="731">
        <f t="shared" si="47"/>
        <v>90</v>
      </c>
      <c r="AQ383" s="1019" t="str">
        <f>IF(H215="","",H215)</f>
        <v/>
      </c>
      <c r="AR383" s="1019" t="str">
        <f>IF(J215="","",J215)</f>
        <v/>
      </c>
      <c r="AS383" s="1025" t="str">
        <f>IF(L215="","",IF(AR383="","",L215))</f>
        <v/>
      </c>
      <c r="AT383" s="1021" t="str">
        <f t="shared" si="39"/>
        <v/>
      </c>
      <c r="AU383" s="1021"/>
      <c r="AV383" s="1019" t="str">
        <f t="shared" si="40"/>
        <v/>
      </c>
      <c r="AW383" s="1019" t="str">
        <f t="shared" si="41"/>
        <v/>
      </c>
      <c r="AX383" s="1018" t="str">
        <f t="shared" si="42"/>
        <v/>
      </c>
      <c r="AY383" s="1020"/>
      <c r="AZ383" s="1019" t="str">
        <f t="shared" si="43"/>
        <v/>
      </c>
      <c r="BA383" s="1019" t="str">
        <f t="shared" si="44"/>
        <v/>
      </c>
      <c r="BB383" s="1018" t="str">
        <f t="shared" si="45"/>
        <v/>
      </c>
    </row>
    <row r="384" spans="26:54" x14ac:dyDescent="0.3">
      <c r="Z384" s="556"/>
      <c r="AA384" s="731">
        <f t="shared" si="46"/>
        <v>91</v>
      </c>
      <c r="AB384" s="1019" t="str">
        <f>IF(E217="","",E217)</f>
        <v/>
      </c>
      <c r="AC384" s="1019" t="str">
        <f>IF(G217="","",G217)</f>
        <v/>
      </c>
      <c r="AD384" s="1025" t="str">
        <f>IF(L217="","",IF(AC384="","",L217))</f>
        <v/>
      </c>
      <c r="AE384" s="1021" t="str">
        <f t="shared" si="32"/>
        <v/>
      </c>
      <c r="AF384" s="1021"/>
      <c r="AG384" s="1019" t="str">
        <f t="shared" si="33"/>
        <v/>
      </c>
      <c r="AH384" s="1019" t="str">
        <f t="shared" si="34"/>
        <v/>
      </c>
      <c r="AI384" s="1018" t="str">
        <f t="shared" si="35"/>
        <v/>
      </c>
      <c r="AJ384" s="1020"/>
      <c r="AK384" s="1019" t="str">
        <f t="shared" si="36"/>
        <v/>
      </c>
      <c r="AL384" s="1019" t="str">
        <f t="shared" si="37"/>
        <v/>
      </c>
      <c r="AM384" s="1018" t="str">
        <f t="shared" si="38"/>
        <v/>
      </c>
      <c r="AN384" s="556"/>
      <c r="AO384" s="556"/>
      <c r="AP384" s="731">
        <f t="shared" si="47"/>
        <v>91</v>
      </c>
      <c r="AQ384" s="1019" t="str">
        <f>IF(H217="","",H217)</f>
        <v/>
      </c>
      <c r="AR384" s="1019" t="str">
        <f>IF(J217="","",J217)</f>
        <v/>
      </c>
      <c r="AS384" s="1025" t="str">
        <f>IF(L217="","",IF(AR384="","",L217))</f>
        <v/>
      </c>
      <c r="AT384" s="1021" t="str">
        <f t="shared" si="39"/>
        <v/>
      </c>
      <c r="AU384" s="1021"/>
      <c r="AV384" s="1019" t="str">
        <f t="shared" si="40"/>
        <v/>
      </c>
      <c r="AW384" s="1019" t="str">
        <f t="shared" si="41"/>
        <v/>
      </c>
      <c r="AX384" s="1018" t="str">
        <f t="shared" si="42"/>
        <v/>
      </c>
      <c r="AY384" s="1020"/>
      <c r="AZ384" s="1019" t="str">
        <f t="shared" si="43"/>
        <v/>
      </c>
      <c r="BA384" s="1019" t="str">
        <f t="shared" si="44"/>
        <v/>
      </c>
      <c r="BB384" s="1018" t="str">
        <f t="shared" si="45"/>
        <v/>
      </c>
    </row>
    <row r="385" spans="26:54" x14ac:dyDescent="0.3">
      <c r="Z385" s="556"/>
      <c r="AA385" s="731">
        <f t="shared" si="46"/>
        <v>92</v>
      </c>
      <c r="AB385" s="1019" t="str">
        <f>IF(E219="","",E219)</f>
        <v/>
      </c>
      <c r="AC385" s="1019" t="str">
        <f>IF(G219="","",G219)</f>
        <v/>
      </c>
      <c r="AD385" s="1025" t="str">
        <f>IF(L219="","",IF(AC385="","",L219))</f>
        <v/>
      </c>
      <c r="AE385" s="1021" t="str">
        <f t="shared" si="32"/>
        <v/>
      </c>
      <c r="AF385" s="1021"/>
      <c r="AG385" s="1019" t="str">
        <f t="shared" si="33"/>
        <v/>
      </c>
      <c r="AH385" s="1019" t="str">
        <f t="shared" si="34"/>
        <v/>
      </c>
      <c r="AI385" s="1018" t="str">
        <f t="shared" si="35"/>
        <v/>
      </c>
      <c r="AJ385" s="1020"/>
      <c r="AK385" s="1019" t="str">
        <f t="shared" si="36"/>
        <v/>
      </c>
      <c r="AL385" s="1019" t="str">
        <f t="shared" si="37"/>
        <v/>
      </c>
      <c r="AM385" s="1018" t="str">
        <f t="shared" si="38"/>
        <v/>
      </c>
      <c r="AN385" s="556"/>
      <c r="AO385" s="556"/>
      <c r="AP385" s="731">
        <f t="shared" si="47"/>
        <v>92</v>
      </c>
      <c r="AQ385" s="1019" t="str">
        <f>IF(H219="","",H219)</f>
        <v/>
      </c>
      <c r="AR385" s="1019" t="str">
        <f>IF(J219="","",J219)</f>
        <v/>
      </c>
      <c r="AS385" s="1025" t="str">
        <f>IF(L219="","",IF(AR385="","",L219))</f>
        <v/>
      </c>
      <c r="AT385" s="1021" t="str">
        <f t="shared" si="39"/>
        <v/>
      </c>
      <c r="AU385" s="1021"/>
      <c r="AV385" s="1019" t="str">
        <f t="shared" si="40"/>
        <v/>
      </c>
      <c r="AW385" s="1019" t="str">
        <f t="shared" si="41"/>
        <v/>
      </c>
      <c r="AX385" s="1018" t="str">
        <f t="shared" si="42"/>
        <v/>
      </c>
      <c r="AY385" s="1020"/>
      <c r="AZ385" s="1019" t="str">
        <f t="shared" si="43"/>
        <v/>
      </c>
      <c r="BA385" s="1019" t="str">
        <f t="shared" si="44"/>
        <v/>
      </c>
      <c r="BB385" s="1018" t="str">
        <f t="shared" si="45"/>
        <v/>
      </c>
    </row>
    <row r="386" spans="26:54" x14ac:dyDescent="0.3">
      <c r="Z386" s="556"/>
      <c r="AA386" s="731">
        <f t="shared" si="46"/>
        <v>93</v>
      </c>
      <c r="AB386" s="1019" t="str">
        <f>IF(E221="","",E221)</f>
        <v/>
      </c>
      <c r="AC386" s="1019" t="str">
        <f>IF(G221="","",G221)</f>
        <v/>
      </c>
      <c r="AD386" s="1025" t="str">
        <f>IF(L221="","",IF(AC386="","",L221))</f>
        <v/>
      </c>
      <c r="AE386" s="1021" t="str">
        <f t="shared" si="32"/>
        <v/>
      </c>
      <c r="AF386" s="1021"/>
      <c r="AG386" s="1019" t="str">
        <f t="shared" si="33"/>
        <v/>
      </c>
      <c r="AH386" s="1019" t="str">
        <f t="shared" si="34"/>
        <v/>
      </c>
      <c r="AI386" s="1018" t="str">
        <f t="shared" si="35"/>
        <v/>
      </c>
      <c r="AJ386" s="1020"/>
      <c r="AK386" s="1019" t="str">
        <f t="shared" si="36"/>
        <v/>
      </c>
      <c r="AL386" s="1019" t="str">
        <f t="shared" si="37"/>
        <v/>
      </c>
      <c r="AM386" s="1018" t="str">
        <f t="shared" si="38"/>
        <v/>
      </c>
      <c r="AN386" s="556"/>
      <c r="AO386" s="556"/>
      <c r="AP386" s="731">
        <f t="shared" si="47"/>
        <v>93</v>
      </c>
      <c r="AQ386" s="1019" t="str">
        <f>IF(H221="","",H221)</f>
        <v/>
      </c>
      <c r="AR386" s="1019" t="str">
        <f>IF(J221="","",J221)</f>
        <v/>
      </c>
      <c r="AS386" s="1025" t="str">
        <f>IF(L221="","",IF(AR386="","",L221))</f>
        <v/>
      </c>
      <c r="AT386" s="1021" t="str">
        <f t="shared" si="39"/>
        <v/>
      </c>
      <c r="AU386" s="1021"/>
      <c r="AV386" s="1019" t="str">
        <f t="shared" si="40"/>
        <v/>
      </c>
      <c r="AW386" s="1019" t="str">
        <f t="shared" si="41"/>
        <v/>
      </c>
      <c r="AX386" s="1018" t="str">
        <f t="shared" si="42"/>
        <v/>
      </c>
      <c r="AY386" s="1020"/>
      <c r="AZ386" s="1019" t="str">
        <f t="shared" si="43"/>
        <v/>
      </c>
      <c r="BA386" s="1019" t="str">
        <f t="shared" si="44"/>
        <v/>
      </c>
      <c r="BB386" s="1018" t="str">
        <f t="shared" si="45"/>
        <v/>
      </c>
    </row>
    <row r="387" spans="26:54" x14ac:dyDescent="0.3">
      <c r="Z387" s="556"/>
      <c r="AA387" s="731">
        <f t="shared" si="46"/>
        <v>94</v>
      </c>
      <c r="AB387" s="1019" t="str">
        <f>IF(E223="","",E223)</f>
        <v/>
      </c>
      <c r="AC387" s="1019" t="str">
        <f>IF(G223="","",G223)</f>
        <v/>
      </c>
      <c r="AD387" s="1025" t="str">
        <f>IF(L223="","",IF(AC387="","",L223))</f>
        <v/>
      </c>
      <c r="AE387" s="1021" t="str">
        <f t="shared" si="32"/>
        <v/>
      </c>
      <c r="AF387" s="1021"/>
      <c r="AG387" s="1019" t="str">
        <f t="shared" si="33"/>
        <v/>
      </c>
      <c r="AH387" s="1019" t="str">
        <f t="shared" si="34"/>
        <v/>
      </c>
      <c r="AI387" s="1018" t="str">
        <f t="shared" si="35"/>
        <v/>
      </c>
      <c r="AJ387" s="1020"/>
      <c r="AK387" s="1019" t="str">
        <f t="shared" si="36"/>
        <v/>
      </c>
      <c r="AL387" s="1019" t="str">
        <f t="shared" si="37"/>
        <v/>
      </c>
      <c r="AM387" s="1018" t="str">
        <f t="shared" si="38"/>
        <v/>
      </c>
      <c r="AN387" s="556"/>
      <c r="AO387" s="556"/>
      <c r="AP387" s="731">
        <f t="shared" si="47"/>
        <v>94</v>
      </c>
      <c r="AQ387" s="1019" t="str">
        <f>IF(H223="","",H223)</f>
        <v/>
      </c>
      <c r="AR387" s="1019" t="str">
        <f>IF(J223="","",J223)</f>
        <v/>
      </c>
      <c r="AS387" s="1025" t="str">
        <f>IF(L223="","",IF(AR387="","",L223))</f>
        <v/>
      </c>
      <c r="AT387" s="1021" t="str">
        <f t="shared" si="39"/>
        <v/>
      </c>
      <c r="AU387" s="1021"/>
      <c r="AV387" s="1019" t="str">
        <f t="shared" si="40"/>
        <v/>
      </c>
      <c r="AW387" s="1019" t="str">
        <f t="shared" si="41"/>
        <v/>
      </c>
      <c r="AX387" s="1018" t="str">
        <f t="shared" si="42"/>
        <v/>
      </c>
      <c r="AY387" s="1020"/>
      <c r="AZ387" s="1019" t="str">
        <f t="shared" si="43"/>
        <v/>
      </c>
      <c r="BA387" s="1019" t="str">
        <f t="shared" si="44"/>
        <v/>
      </c>
      <c r="BB387" s="1018" t="str">
        <f t="shared" si="45"/>
        <v/>
      </c>
    </row>
    <row r="388" spans="26:54" x14ac:dyDescent="0.3">
      <c r="Z388" s="556"/>
      <c r="AA388" s="731">
        <f t="shared" si="46"/>
        <v>95</v>
      </c>
      <c r="AB388" s="1019" t="str">
        <f>IF(E225="","",E225)</f>
        <v/>
      </c>
      <c r="AC388" s="1019" t="str">
        <f>IF(G225="","",G225)</f>
        <v/>
      </c>
      <c r="AD388" s="1025" t="str">
        <f>IF(L225="","",IF(AC388="","",L225))</f>
        <v/>
      </c>
      <c r="AE388" s="1021" t="str">
        <f t="shared" si="32"/>
        <v/>
      </c>
      <c r="AF388" s="1021"/>
      <c r="AG388" s="1019" t="str">
        <f t="shared" si="33"/>
        <v/>
      </c>
      <c r="AH388" s="1019" t="str">
        <f t="shared" si="34"/>
        <v/>
      </c>
      <c r="AI388" s="1018" t="str">
        <f t="shared" si="35"/>
        <v/>
      </c>
      <c r="AJ388" s="1020"/>
      <c r="AK388" s="1019" t="str">
        <f t="shared" si="36"/>
        <v/>
      </c>
      <c r="AL388" s="1019" t="str">
        <f t="shared" si="37"/>
        <v/>
      </c>
      <c r="AM388" s="1018" t="str">
        <f t="shared" si="38"/>
        <v/>
      </c>
      <c r="AN388" s="556"/>
      <c r="AO388" s="556"/>
      <c r="AP388" s="731">
        <f t="shared" si="47"/>
        <v>95</v>
      </c>
      <c r="AQ388" s="1019" t="str">
        <f>IF(H225="","",H225)</f>
        <v/>
      </c>
      <c r="AR388" s="1019" t="str">
        <f>IF(J225="","",J225)</f>
        <v/>
      </c>
      <c r="AS388" s="1025" t="str">
        <f>IF(L225="","",IF(AR388="","",L225))</f>
        <v/>
      </c>
      <c r="AT388" s="1021" t="str">
        <f t="shared" si="39"/>
        <v/>
      </c>
      <c r="AU388" s="1021"/>
      <c r="AV388" s="1019" t="str">
        <f t="shared" si="40"/>
        <v/>
      </c>
      <c r="AW388" s="1019" t="str">
        <f t="shared" si="41"/>
        <v/>
      </c>
      <c r="AX388" s="1018" t="str">
        <f t="shared" si="42"/>
        <v/>
      </c>
      <c r="AY388" s="1020"/>
      <c r="AZ388" s="1019" t="str">
        <f t="shared" si="43"/>
        <v/>
      </c>
      <c r="BA388" s="1019" t="str">
        <f t="shared" si="44"/>
        <v/>
      </c>
      <c r="BB388" s="1018" t="str">
        <f t="shared" si="45"/>
        <v/>
      </c>
    </row>
    <row r="389" spans="26:54" x14ac:dyDescent="0.3">
      <c r="Z389" s="556"/>
      <c r="AA389" s="731">
        <f t="shared" si="46"/>
        <v>96</v>
      </c>
      <c r="AB389" s="1019" t="str">
        <f>IF(E227="","",E227)</f>
        <v/>
      </c>
      <c r="AC389" s="1019" t="str">
        <f>IF(G227="","",G227)</f>
        <v/>
      </c>
      <c r="AD389" s="1025" t="str">
        <f>IF(L227="","",IF(AC389="","",L227))</f>
        <v/>
      </c>
      <c r="AE389" s="1021" t="str">
        <f t="shared" si="32"/>
        <v/>
      </c>
      <c r="AF389" s="1021"/>
      <c r="AG389" s="1019" t="str">
        <f t="shared" si="33"/>
        <v/>
      </c>
      <c r="AH389" s="1019" t="str">
        <f t="shared" si="34"/>
        <v/>
      </c>
      <c r="AI389" s="1018" t="str">
        <f t="shared" si="35"/>
        <v/>
      </c>
      <c r="AJ389" s="1020"/>
      <c r="AK389" s="1019" t="str">
        <f t="shared" si="36"/>
        <v/>
      </c>
      <c r="AL389" s="1019" t="str">
        <f t="shared" si="37"/>
        <v/>
      </c>
      <c r="AM389" s="1018" t="str">
        <f t="shared" si="38"/>
        <v/>
      </c>
      <c r="AN389" s="556"/>
      <c r="AO389" s="556"/>
      <c r="AP389" s="731">
        <f t="shared" si="47"/>
        <v>96</v>
      </c>
      <c r="AQ389" s="1019" t="str">
        <f>IF(H227="","",H227)</f>
        <v/>
      </c>
      <c r="AR389" s="1019" t="str">
        <f>IF(J227="","",J227)</f>
        <v/>
      </c>
      <c r="AS389" s="1025" t="str">
        <f>IF(L227="","",IF(AR389="","",L227))</f>
        <v/>
      </c>
      <c r="AT389" s="1021" t="str">
        <f t="shared" si="39"/>
        <v/>
      </c>
      <c r="AU389" s="1021"/>
      <c r="AV389" s="1019" t="str">
        <f t="shared" si="40"/>
        <v/>
      </c>
      <c r="AW389" s="1019" t="str">
        <f t="shared" si="41"/>
        <v/>
      </c>
      <c r="AX389" s="1018" t="str">
        <f t="shared" si="42"/>
        <v/>
      </c>
      <c r="AY389" s="1020"/>
      <c r="AZ389" s="1019" t="str">
        <f t="shared" si="43"/>
        <v/>
      </c>
      <c r="BA389" s="1019" t="str">
        <f t="shared" si="44"/>
        <v/>
      </c>
      <c r="BB389" s="1018" t="str">
        <f t="shared" si="45"/>
        <v/>
      </c>
    </row>
    <row r="390" spans="26:54" x14ac:dyDescent="0.3">
      <c r="Z390" s="556"/>
      <c r="AA390" s="731">
        <f t="shared" si="46"/>
        <v>97</v>
      </c>
      <c r="AB390" s="1019" t="str">
        <f>IF(E229="","",E229)</f>
        <v/>
      </c>
      <c r="AC390" s="1019" t="str">
        <f>IF(G229="","",G229)</f>
        <v/>
      </c>
      <c r="AD390" s="1025" t="str">
        <f>IF(L229="","",IF(AC390="","",L229))</f>
        <v/>
      </c>
      <c r="AE390" s="1021" t="str">
        <f t="shared" ref="AE390:AE397" si="48">IF(AC390&lt;&gt;"",YEAR(AC390),"")</f>
        <v/>
      </c>
      <c r="AF390" s="1021"/>
      <c r="AG390" s="1019" t="str">
        <f t="shared" ref="AG390:AG397" si="49">IF(AND($AE390&lt;&gt;"",$AE390=$K$30),AB390,"")</f>
        <v/>
      </c>
      <c r="AH390" s="1019" t="str">
        <f t="shared" ref="AH390:AH397" si="50">IF(AND($AE390&lt;&gt;"",$AE390=$K$30),AC390,"")</f>
        <v/>
      </c>
      <c r="AI390" s="1018" t="str">
        <f t="shared" ref="AI390:AI397" si="51">IF(AND($AE390&lt;&gt;"",$AE390=$K$30),AD390,"")</f>
        <v/>
      </c>
      <c r="AJ390" s="1020"/>
      <c r="AK390" s="1019" t="str">
        <f t="shared" ref="AK390:AK397" si="52">IF(AE390="","",IF(AND($AE390&lt;&gt;"",$AE390=($K$30-1)),AB390,""))</f>
        <v/>
      </c>
      <c r="AL390" s="1019" t="str">
        <f t="shared" ref="AL390:AL397" si="53">IF(AE390="","",IF(AND($AE390&lt;&gt;"",$AE390=($K$30-1)),AC390,""))</f>
        <v/>
      </c>
      <c r="AM390" s="1018" t="str">
        <f t="shared" ref="AM390:AM397" si="54">IF(AE390="","",IF(AND($AE390&lt;&gt;"",$AE390=($K$30-1)),AD390,""))</f>
        <v/>
      </c>
      <c r="AN390" s="556"/>
      <c r="AO390" s="556"/>
      <c r="AP390" s="731">
        <f t="shared" si="47"/>
        <v>97</v>
      </c>
      <c r="AQ390" s="1019" t="str">
        <f>IF(H229="","",H229)</f>
        <v/>
      </c>
      <c r="AR390" s="1019" t="str">
        <f>IF(J229="","",J229)</f>
        <v/>
      </c>
      <c r="AS390" s="1025" t="str">
        <f>IF(L229="","",IF(AR390="","",L229))</f>
        <v/>
      </c>
      <c r="AT390" s="1021" t="str">
        <f t="shared" ref="AT390:AT397" si="55">IF(AR390&lt;&gt;"",YEAR(AR390),"")</f>
        <v/>
      </c>
      <c r="AU390" s="1021"/>
      <c r="AV390" s="1019" t="str">
        <f t="shared" ref="AV390:AV397" si="56">IF(AND($AT390&lt;&gt;"",$AT390=$K$32),AQ390,"")</f>
        <v/>
      </c>
      <c r="AW390" s="1019" t="str">
        <f t="shared" ref="AW390:AW397" si="57">IF(AND($AT390&lt;&gt;"",$AT390=$K$32),AR390,"")</f>
        <v/>
      </c>
      <c r="AX390" s="1018" t="str">
        <f t="shared" ref="AX390:AX397" si="58">IF(AND($AT390&lt;&gt;"",$AT390=$K$32),AS390,"")</f>
        <v/>
      </c>
      <c r="AY390" s="1020"/>
      <c r="AZ390" s="1019" t="str">
        <f t="shared" ref="AZ390:AZ397" si="59">IF(AT390="","",IF(AND($AT390&lt;&gt;"",$AT390=($K$32-1)),AQ390,""))</f>
        <v/>
      </c>
      <c r="BA390" s="1019" t="str">
        <f t="shared" ref="BA390:BA397" si="60">IF(AT390="","",IF(AND($AT390&lt;&gt;"",$AT390=($K$32-1)),AR390,""))</f>
        <v/>
      </c>
      <c r="BB390" s="1018" t="str">
        <f t="shared" ref="BB390:BB397" si="61">IF(AT390="","",IF(AND($AT390&lt;&gt;"",$AT390=($K$32-1)),AS390,""))</f>
        <v/>
      </c>
    </row>
    <row r="391" spans="26:54" x14ac:dyDescent="0.3">
      <c r="Z391" s="556"/>
      <c r="AA391" s="731">
        <f t="shared" ref="AA391:AA397" si="62">AA390+1</f>
        <v>98</v>
      </c>
      <c r="AB391" s="1019" t="str">
        <f>IF(E231="","",E231)</f>
        <v/>
      </c>
      <c r="AC391" s="1019" t="str">
        <f>IF(G231="","",G231)</f>
        <v/>
      </c>
      <c r="AD391" s="1025" t="str">
        <f>IF(L231="","",IF(AC391="","",L231))</f>
        <v/>
      </c>
      <c r="AE391" s="1021" t="str">
        <f t="shared" si="48"/>
        <v/>
      </c>
      <c r="AF391" s="1021"/>
      <c r="AG391" s="1019" t="str">
        <f t="shared" si="49"/>
        <v/>
      </c>
      <c r="AH391" s="1019" t="str">
        <f t="shared" si="50"/>
        <v/>
      </c>
      <c r="AI391" s="1018" t="str">
        <f t="shared" si="51"/>
        <v/>
      </c>
      <c r="AJ391" s="1020"/>
      <c r="AK391" s="1019" t="str">
        <f t="shared" si="52"/>
        <v/>
      </c>
      <c r="AL391" s="1019" t="str">
        <f t="shared" si="53"/>
        <v/>
      </c>
      <c r="AM391" s="1018" t="str">
        <f t="shared" si="54"/>
        <v/>
      </c>
      <c r="AN391" s="556"/>
      <c r="AO391" s="556"/>
      <c r="AP391" s="731">
        <f t="shared" ref="AP391:AP397" si="63">AP390+1</f>
        <v>98</v>
      </c>
      <c r="AQ391" s="1019" t="str">
        <f>IF(H231="","",H231)</f>
        <v/>
      </c>
      <c r="AR391" s="1019" t="str">
        <f>IF(J231="","",J231)</f>
        <v/>
      </c>
      <c r="AS391" s="1025" t="str">
        <f>IF(L231="","",IF(AR391="","",L231))</f>
        <v/>
      </c>
      <c r="AT391" s="1021" t="str">
        <f t="shared" si="55"/>
        <v/>
      </c>
      <c r="AU391" s="1021"/>
      <c r="AV391" s="1019" t="str">
        <f t="shared" si="56"/>
        <v/>
      </c>
      <c r="AW391" s="1019" t="str">
        <f t="shared" si="57"/>
        <v/>
      </c>
      <c r="AX391" s="1018" t="str">
        <f t="shared" si="58"/>
        <v/>
      </c>
      <c r="AY391" s="1020"/>
      <c r="AZ391" s="1019" t="str">
        <f t="shared" si="59"/>
        <v/>
      </c>
      <c r="BA391" s="1019" t="str">
        <f t="shared" si="60"/>
        <v/>
      </c>
      <c r="BB391" s="1018" t="str">
        <f t="shared" si="61"/>
        <v/>
      </c>
    </row>
    <row r="392" spans="26:54" x14ac:dyDescent="0.3">
      <c r="Z392" s="556"/>
      <c r="AA392" s="731">
        <f t="shared" si="62"/>
        <v>99</v>
      </c>
      <c r="AB392" s="1019" t="str">
        <f>IF(E233="","",E233)</f>
        <v/>
      </c>
      <c r="AC392" s="1019" t="str">
        <f>IF(G233="","",G233)</f>
        <v/>
      </c>
      <c r="AD392" s="1025" t="str">
        <f>IF(L233="","",IF(AC392="","",L233))</f>
        <v/>
      </c>
      <c r="AE392" s="1021" t="str">
        <f t="shared" si="48"/>
        <v/>
      </c>
      <c r="AF392" s="1021"/>
      <c r="AG392" s="1019" t="str">
        <f t="shared" si="49"/>
        <v/>
      </c>
      <c r="AH392" s="1019" t="str">
        <f t="shared" si="50"/>
        <v/>
      </c>
      <c r="AI392" s="1018" t="str">
        <f t="shared" si="51"/>
        <v/>
      </c>
      <c r="AJ392" s="1020"/>
      <c r="AK392" s="1019" t="str">
        <f t="shared" si="52"/>
        <v/>
      </c>
      <c r="AL392" s="1019" t="str">
        <f t="shared" si="53"/>
        <v/>
      </c>
      <c r="AM392" s="1018" t="str">
        <f t="shared" si="54"/>
        <v/>
      </c>
      <c r="AN392" s="556"/>
      <c r="AO392" s="556"/>
      <c r="AP392" s="731">
        <f t="shared" si="63"/>
        <v>99</v>
      </c>
      <c r="AQ392" s="1019" t="str">
        <f>IF(H233="","",H233)</f>
        <v/>
      </c>
      <c r="AR392" s="1019" t="str">
        <f>IF(J233="","",J233)</f>
        <v/>
      </c>
      <c r="AS392" s="1025" t="str">
        <f>IF(L233="","",IF(AR392="","",L233))</f>
        <v/>
      </c>
      <c r="AT392" s="1021" t="str">
        <f t="shared" si="55"/>
        <v/>
      </c>
      <c r="AU392" s="1021"/>
      <c r="AV392" s="1019" t="str">
        <f t="shared" si="56"/>
        <v/>
      </c>
      <c r="AW392" s="1019" t="str">
        <f t="shared" si="57"/>
        <v/>
      </c>
      <c r="AX392" s="1018" t="str">
        <f t="shared" si="58"/>
        <v/>
      </c>
      <c r="AY392" s="1020"/>
      <c r="AZ392" s="1019" t="str">
        <f t="shared" si="59"/>
        <v/>
      </c>
      <c r="BA392" s="1019" t="str">
        <f t="shared" si="60"/>
        <v/>
      </c>
      <c r="BB392" s="1018" t="str">
        <f t="shared" si="61"/>
        <v/>
      </c>
    </row>
    <row r="393" spans="26:54" x14ac:dyDescent="0.3">
      <c r="Z393" s="556"/>
      <c r="AA393" s="731">
        <f t="shared" si="62"/>
        <v>100</v>
      </c>
      <c r="AB393" s="1019" t="str">
        <f>IF(E235="","",E235)</f>
        <v/>
      </c>
      <c r="AC393" s="1019" t="str">
        <f>IF(G235="","",G235)</f>
        <v/>
      </c>
      <c r="AD393" s="1025" t="str">
        <f>IF(L235="","",IF(AC393="","",L235))</f>
        <v/>
      </c>
      <c r="AE393" s="1021" t="str">
        <f t="shared" si="48"/>
        <v/>
      </c>
      <c r="AF393" s="1021"/>
      <c r="AG393" s="1019" t="str">
        <f t="shared" si="49"/>
        <v/>
      </c>
      <c r="AH393" s="1019" t="str">
        <f t="shared" si="50"/>
        <v/>
      </c>
      <c r="AI393" s="1018" t="str">
        <f t="shared" si="51"/>
        <v/>
      </c>
      <c r="AJ393" s="1020"/>
      <c r="AK393" s="1019" t="str">
        <f t="shared" si="52"/>
        <v/>
      </c>
      <c r="AL393" s="1019" t="str">
        <f t="shared" si="53"/>
        <v/>
      </c>
      <c r="AM393" s="1018" t="str">
        <f t="shared" si="54"/>
        <v/>
      </c>
      <c r="AN393" s="556"/>
      <c r="AO393" s="556"/>
      <c r="AP393" s="731">
        <f t="shared" si="63"/>
        <v>100</v>
      </c>
      <c r="AQ393" s="1019" t="str">
        <f>IF(H235="","",H235)</f>
        <v/>
      </c>
      <c r="AR393" s="1019" t="str">
        <f>IF(J235="","",J235)</f>
        <v/>
      </c>
      <c r="AS393" s="1025" t="str">
        <f>IF(L235="","",IF(AR393="","",L235))</f>
        <v/>
      </c>
      <c r="AT393" s="1021" t="str">
        <f t="shared" si="55"/>
        <v/>
      </c>
      <c r="AU393" s="1021"/>
      <c r="AV393" s="1019" t="str">
        <f t="shared" si="56"/>
        <v/>
      </c>
      <c r="AW393" s="1019" t="str">
        <f t="shared" si="57"/>
        <v/>
      </c>
      <c r="AX393" s="1018" t="str">
        <f t="shared" si="58"/>
        <v/>
      </c>
      <c r="AY393" s="1020"/>
      <c r="AZ393" s="1019" t="str">
        <f t="shared" si="59"/>
        <v/>
      </c>
      <c r="BA393" s="1019" t="str">
        <f t="shared" si="60"/>
        <v/>
      </c>
      <c r="BB393" s="1018" t="str">
        <f t="shared" si="61"/>
        <v/>
      </c>
    </row>
    <row r="394" spans="26:54" x14ac:dyDescent="0.3">
      <c r="Z394" s="556"/>
      <c r="AA394" s="731">
        <f t="shared" si="62"/>
        <v>101</v>
      </c>
      <c r="AB394" s="1019" t="str">
        <f>IF(E237="","",E237)</f>
        <v/>
      </c>
      <c r="AC394" s="1019" t="str">
        <f>IF(G237="","",G237)</f>
        <v/>
      </c>
      <c r="AD394" s="1025" t="str">
        <f>IF(L237="","",IF(AC394="","",L237))</f>
        <v/>
      </c>
      <c r="AE394" s="1021" t="str">
        <f t="shared" si="48"/>
        <v/>
      </c>
      <c r="AF394" s="1021"/>
      <c r="AG394" s="1019" t="str">
        <f t="shared" si="49"/>
        <v/>
      </c>
      <c r="AH394" s="1019" t="str">
        <f t="shared" si="50"/>
        <v/>
      </c>
      <c r="AI394" s="1018" t="str">
        <f t="shared" si="51"/>
        <v/>
      </c>
      <c r="AJ394" s="1020"/>
      <c r="AK394" s="1019" t="str">
        <f t="shared" si="52"/>
        <v/>
      </c>
      <c r="AL394" s="1019" t="str">
        <f t="shared" si="53"/>
        <v/>
      </c>
      <c r="AM394" s="1018" t="str">
        <f t="shared" si="54"/>
        <v/>
      </c>
      <c r="AN394" s="556"/>
      <c r="AO394" s="556"/>
      <c r="AP394" s="731">
        <f t="shared" si="63"/>
        <v>101</v>
      </c>
      <c r="AQ394" s="1019" t="str">
        <f>IF(H237="","",H237)</f>
        <v/>
      </c>
      <c r="AR394" s="1019" t="str">
        <f>IF(J237="","",J237)</f>
        <v/>
      </c>
      <c r="AS394" s="1025" t="str">
        <f>IF(L237="","",IF(AR394="","",L237))</f>
        <v/>
      </c>
      <c r="AT394" s="1021" t="str">
        <f t="shared" si="55"/>
        <v/>
      </c>
      <c r="AU394" s="1021"/>
      <c r="AV394" s="1019" t="str">
        <f t="shared" si="56"/>
        <v/>
      </c>
      <c r="AW394" s="1019" t="str">
        <f t="shared" si="57"/>
        <v/>
      </c>
      <c r="AX394" s="1018" t="str">
        <f t="shared" si="58"/>
        <v/>
      </c>
      <c r="AY394" s="1020"/>
      <c r="AZ394" s="1019" t="str">
        <f t="shared" si="59"/>
        <v/>
      </c>
      <c r="BA394" s="1019" t="str">
        <f t="shared" si="60"/>
        <v/>
      </c>
      <c r="BB394" s="1018" t="str">
        <f t="shared" si="61"/>
        <v/>
      </c>
    </row>
    <row r="395" spans="26:54" x14ac:dyDescent="0.3">
      <c r="Z395" s="556"/>
      <c r="AA395" s="731">
        <f t="shared" si="62"/>
        <v>102</v>
      </c>
      <c r="AB395" s="1019" t="str">
        <f>IF(E239="","",E239)</f>
        <v/>
      </c>
      <c r="AC395" s="1019" t="str">
        <f>IF(G239="","",G239)</f>
        <v/>
      </c>
      <c r="AD395" s="1025" t="str">
        <f>IF(L239="","",IF(AC395="","",L239))</f>
        <v/>
      </c>
      <c r="AE395" s="1021" t="str">
        <f t="shared" si="48"/>
        <v/>
      </c>
      <c r="AF395" s="1021"/>
      <c r="AG395" s="1019" t="str">
        <f t="shared" si="49"/>
        <v/>
      </c>
      <c r="AH395" s="1019" t="str">
        <f t="shared" si="50"/>
        <v/>
      </c>
      <c r="AI395" s="1018" t="str">
        <f t="shared" si="51"/>
        <v/>
      </c>
      <c r="AJ395" s="1020"/>
      <c r="AK395" s="1019" t="str">
        <f t="shared" si="52"/>
        <v/>
      </c>
      <c r="AL395" s="1019" t="str">
        <f t="shared" si="53"/>
        <v/>
      </c>
      <c r="AM395" s="1018" t="str">
        <f t="shared" si="54"/>
        <v/>
      </c>
      <c r="AN395" s="556"/>
      <c r="AO395" s="556"/>
      <c r="AP395" s="731">
        <f t="shared" si="63"/>
        <v>102</v>
      </c>
      <c r="AQ395" s="1019" t="str">
        <f>IF(H239="","",H239)</f>
        <v/>
      </c>
      <c r="AR395" s="1019" t="str">
        <f>IF(J239="","",J239)</f>
        <v/>
      </c>
      <c r="AS395" s="1025" t="str">
        <f>IF(L239="","",IF(AR395="","",L239))</f>
        <v/>
      </c>
      <c r="AT395" s="1021" t="str">
        <f t="shared" si="55"/>
        <v/>
      </c>
      <c r="AU395" s="1021"/>
      <c r="AV395" s="1019" t="str">
        <f t="shared" si="56"/>
        <v/>
      </c>
      <c r="AW395" s="1019" t="str">
        <f t="shared" si="57"/>
        <v/>
      </c>
      <c r="AX395" s="1018" t="str">
        <f t="shared" si="58"/>
        <v/>
      </c>
      <c r="AY395" s="1020"/>
      <c r="AZ395" s="1019" t="str">
        <f t="shared" si="59"/>
        <v/>
      </c>
      <c r="BA395" s="1019" t="str">
        <f t="shared" si="60"/>
        <v/>
      </c>
      <c r="BB395" s="1018" t="str">
        <f t="shared" si="61"/>
        <v/>
      </c>
    </row>
    <row r="396" spans="26:54" x14ac:dyDescent="0.3">
      <c r="Z396" s="556"/>
      <c r="AA396" s="731">
        <f t="shared" si="62"/>
        <v>103</v>
      </c>
      <c r="AB396" s="1019" t="str">
        <f>IF(E241="","",E241)</f>
        <v/>
      </c>
      <c r="AC396" s="1019" t="str">
        <f>IF(G241="","",G241)</f>
        <v/>
      </c>
      <c r="AD396" s="1025" t="str">
        <f>IF(L241="","",IF(AC396="","",L241))</f>
        <v/>
      </c>
      <c r="AE396" s="1021" t="str">
        <f t="shared" si="48"/>
        <v/>
      </c>
      <c r="AF396" s="1021"/>
      <c r="AG396" s="1019" t="str">
        <f t="shared" si="49"/>
        <v/>
      </c>
      <c r="AH396" s="1019" t="str">
        <f t="shared" si="50"/>
        <v/>
      </c>
      <c r="AI396" s="1018" t="str">
        <f t="shared" si="51"/>
        <v/>
      </c>
      <c r="AJ396" s="1020"/>
      <c r="AK396" s="1019" t="str">
        <f t="shared" si="52"/>
        <v/>
      </c>
      <c r="AL396" s="1019" t="str">
        <f t="shared" si="53"/>
        <v/>
      </c>
      <c r="AM396" s="1018" t="str">
        <f t="shared" si="54"/>
        <v/>
      </c>
      <c r="AN396" s="556"/>
      <c r="AO396" s="556"/>
      <c r="AP396" s="731">
        <f t="shared" si="63"/>
        <v>103</v>
      </c>
      <c r="AQ396" s="1019" t="str">
        <f>IF(H241="","",H241)</f>
        <v/>
      </c>
      <c r="AR396" s="1019" t="str">
        <f>IF(J241="","",J241)</f>
        <v/>
      </c>
      <c r="AS396" s="1025" t="str">
        <f>IF(L241="","",IF(AR396="","",L241))</f>
        <v/>
      </c>
      <c r="AT396" s="1021" t="str">
        <f t="shared" si="55"/>
        <v/>
      </c>
      <c r="AU396" s="1021"/>
      <c r="AV396" s="1019" t="str">
        <f t="shared" si="56"/>
        <v/>
      </c>
      <c r="AW396" s="1019" t="str">
        <f t="shared" si="57"/>
        <v/>
      </c>
      <c r="AX396" s="1018" t="str">
        <f t="shared" si="58"/>
        <v/>
      </c>
      <c r="AY396" s="1020"/>
      <c r="AZ396" s="1019" t="str">
        <f t="shared" si="59"/>
        <v/>
      </c>
      <c r="BA396" s="1019" t="str">
        <f t="shared" si="60"/>
        <v/>
      </c>
      <c r="BB396" s="1018" t="str">
        <f t="shared" si="61"/>
        <v/>
      </c>
    </row>
    <row r="397" spans="26:54" x14ac:dyDescent="0.3">
      <c r="Z397" s="556"/>
      <c r="AA397" s="1003">
        <f t="shared" si="62"/>
        <v>104</v>
      </c>
      <c r="AB397" s="1024" t="str">
        <f>IF(E243="","",E243)</f>
        <v/>
      </c>
      <c r="AC397" s="1024" t="str">
        <f>IF(G243="","",G243)</f>
        <v/>
      </c>
      <c r="AD397" s="1023" t="str">
        <f>IF(L243="","",IF(AC397="","",L243))</f>
        <v/>
      </c>
      <c r="AE397" s="1022" t="str">
        <f t="shared" si="48"/>
        <v/>
      </c>
      <c r="AF397" s="1021"/>
      <c r="AG397" s="1019" t="str">
        <f t="shared" si="49"/>
        <v/>
      </c>
      <c r="AH397" s="1019" t="str">
        <f t="shared" si="50"/>
        <v/>
      </c>
      <c r="AI397" s="1018" t="str">
        <f t="shared" si="51"/>
        <v/>
      </c>
      <c r="AJ397" s="1020"/>
      <c r="AK397" s="1019" t="str">
        <f t="shared" si="52"/>
        <v/>
      </c>
      <c r="AL397" s="1019" t="str">
        <f t="shared" si="53"/>
        <v/>
      </c>
      <c r="AM397" s="1018" t="str">
        <f t="shared" si="54"/>
        <v/>
      </c>
      <c r="AN397" s="556"/>
      <c r="AO397" s="556"/>
      <c r="AP397" s="1003">
        <f t="shared" si="63"/>
        <v>104</v>
      </c>
      <c r="AQ397" s="1024" t="str">
        <f>IF(H243="","",H243)</f>
        <v/>
      </c>
      <c r="AR397" s="1024" t="str">
        <f>IF(J243="","",J243)</f>
        <v/>
      </c>
      <c r="AS397" s="1023" t="str">
        <f>IF(L243="","",IF(AR397="","",L243))</f>
        <v/>
      </c>
      <c r="AT397" s="1022" t="str">
        <f t="shared" si="55"/>
        <v/>
      </c>
      <c r="AU397" s="1021"/>
      <c r="AV397" s="1019" t="str">
        <f t="shared" si="56"/>
        <v/>
      </c>
      <c r="AW397" s="1019" t="str">
        <f t="shared" si="57"/>
        <v/>
      </c>
      <c r="AX397" s="1018" t="str">
        <f t="shared" si="58"/>
        <v/>
      </c>
      <c r="AY397" s="1020"/>
      <c r="AZ397" s="1019" t="str">
        <f t="shared" si="59"/>
        <v/>
      </c>
      <c r="BA397" s="1019" t="str">
        <f t="shared" si="60"/>
        <v/>
      </c>
      <c r="BB397" s="1018" t="str">
        <f t="shared" si="61"/>
        <v/>
      </c>
    </row>
    <row r="398" spans="26:54" x14ac:dyDescent="0.3">
      <c r="Z398" s="1017"/>
      <c r="AA398" s="1016"/>
      <c r="AB398" s="1136">
        <f>MIN(AB294:AB397)</f>
        <v>0</v>
      </c>
      <c r="AC398" s="1016"/>
      <c r="AD398" s="1015" t="s">
        <v>1267</v>
      </c>
      <c r="AE398" s="1014">
        <f>MIN(AE294:AE397)</f>
        <v>0</v>
      </c>
      <c r="AF398" s="977"/>
      <c r="AG398" s="1013" t="str">
        <f>IF(AB294="","",IF(V19&gt;MIN(AG294:AG397),V19,IF(V19&lt;=MIN(AG294:AG397),MIN(AG294:AG397))))</f>
        <v/>
      </c>
      <c r="AH398" s="1012" t="str">
        <f>IF(AB294="","",MAX(AH294:AH397))</f>
        <v/>
      </c>
      <c r="AI398" s="1011"/>
      <c r="AJ398" s="556"/>
      <c r="AK398" s="1013" t="str">
        <f>IF(AB294="","",IF(V19&gt;MIN(AK294:AK397),V19,IF(V19&lt;=MIN(AK294:AK397),MIN(AK294:AK397))))</f>
        <v/>
      </c>
      <c r="AL398" s="1012" t="str">
        <f>IF(AB294="","",MAX(AL294:AL397))</f>
        <v/>
      </c>
      <c r="AM398" s="1011"/>
      <c r="AN398" s="556"/>
      <c r="AO398" s="1017"/>
      <c r="AP398" s="1016"/>
      <c r="AQ398" s="1016"/>
      <c r="AR398" s="1016"/>
      <c r="AS398" s="1015" t="s">
        <v>1267</v>
      </c>
      <c r="AT398" s="1014">
        <f>MIN(AT294:AT397)</f>
        <v>0</v>
      </c>
      <c r="AU398" s="977"/>
      <c r="AV398" s="1013" t="str">
        <f>IF(AQ294="","",IF(V19&gt;MIN(AV294:AV397),V19,IF(V19&lt;=MIN(AV294:AV397),MIN(AV294:AV397))))</f>
        <v/>
      </c>
      <c r="AW398" s="1012" t="str">
        <f>IF(AQ294="","",MAX(AW294:AW397))</f>
        <v/>
      </c>
      <c r="AX398" s="1011"/>
      <c r="AY398" s="556"/>
      <c r="AZ398" s="1013" t="str">
        <f>IF(AQ294="","",IF(V19&gt;MIN(AZ294:AZ397),V19,IF(V19&lt;=MIN(AZ294:AZ397),MIN(AZ294:AZ397))))</f>
        <v/>
      </c>
      <c r="BA398" s="1012" t="str">
        <f>IF(AQ294="","",MAX(BA294:BA397))</f>
        <v/>
      </c>
      <c r="BB398" s="1011"/>
    </row>
    <row r="399" spans="26:54" x14ac:dyDescent="0.3">
      <c r="Z399" s="1010"/>
      <c r="AA399" s="556"/>
      <c r="AB399" s="556"/>
      <c r="AC399" s="731">
        <f>COUNT(AC294:AC397)</f>
        <v>0</v>
      </c>
      <c r="AD399" s="731">
        <f>COUNT(AD294:AD397)</f>
        <v>0</v>
      </c>
      <c r="AE399" s="1007"/>
      <c r="AF399" s="1006"/>
      <c r="AG399" s="994" t="s">
        <v>1256</v>
      </c>
      <c r="AH399" s="731">
        <f>COUNT(AH294:AH397)</f>
        <v>0</v>
      </c>
      <c r="AI399" s="1003">
        <f>COUNT(AI294:AI397)</f>
        <v>0</v>
      </c>
      <c r="AJ399" s="731"/>
      <c r="AK399" s="994" t="s">
        <v>1256</v>
      </c>
      <c r="AL399" s="731">
        <f>COUNT(AL294:AL397)</f>
        <v>0</v>
      </c>
      <c r="AM399" s="1003">
        <f>COUNT(AM294:AM397)</f>
        <v>0</v>
      </c>
      <c r="AN399" s="731"/>
      <c r="AO399" s="983"/>
      <c r="AP399" s="556"/>
      <c r="AQ399" s="556"/>
      <c r="AR399" s="731">
        <f>COUNT(AR294:AR397)</f>
        <v>0</v>
      </c>
      <c r="AS399" s="731">
        <f>COUNT(AS294:AS397)</f>
        <v>0</v>
      </c>
      <c r="AT399" s="1007"/>
      <c r="AU399" s="1006"/>
      <c r="AV399" s="994" t="s">
        <v>1256</v>
      </c>
      <c r="AW399" s="731">
        <f>COUNT(AW294:AW397)</f>
        <v>0</v>
      </c>
      <c r="AX399" s="1003">
        <f>COUNT(AX294:AX397)</f>
        <v>0</v>
      </c>
      <c r="AY399" s="731"/>
      <c r="AZ399" s="994" t="s">
        <v>1256</v>
      </c>
      <c r="BA399" s="731">
        <f>COUNT(BA294:BA397)</f>
        <v>0</v>
      </c>
      <c r="BB399" s="1003">
        <f>COUNT(BB294:BB397)</f>
        <v>0</v>
      </c>
    </row>
    <row r="400" spans="26:54" x14ac:dyDescent="0.3">
      <c r="Z400" s="994" t="s">
        <v>1257</v>
      </c>
      <c r="AA400" s="556"/>
      <c r="AB400" s="556"/>
      <c r="AC400" s="731"/>
      <c r="AD400" s="1002">
        <f>SUM(AD294:AD397)</f>
        <v>0</v>
      </c>
      <c r="AE400" s="1007"/>
      <c r="AF400" s="1006"/>
      <c r="AG400" s="1009">
        <f>IF(OR(AG398="",AH398="",AG398=0,AH398=0),0,((YEAR(AH398)-YEAR(AG398))*12)-12+(12-MONTH(AG398))+MONTH(AH398)-1+(EOMONTH(AG398,0)-AG398+1)/DAY(EOMONTH(AG398,0))+(1-(EOMONTH(AH398,0)-AH398)/DAY(EOMONTH(AH398,0))))</f>
        <v>0</v>
      </c>
      <c r="AH400" s="556"/>
      <c r="AI400" s="1003">
        <f>SUM(AI294:AI397)</f>
        <v>0</v>
      </c>
      <c r="AJ400" s="731"/>
      <c r="AK400" s="1009">
        <f>IF(OR(AK398="",AL398="",AK398=0,AL398=0),0,((YEAR(AL398)-YEAR(AK398))*12)-12+(12-MONTH(AK398))+MONTH(AL398)-1+(EOMONTH(AK398,0)-AK398+1)/DAY(EOMONTH(AK398,0))+(1-(EOMONTH(AL398,0)-AL398)/DAY(EOMONTH(AL398,0))))</f>
        <v>0</v>
      </c>
      <c r="AL400" s="731"/>
      <c r="AM400" s="1003">
        <f>SUM(AM294:AM397)</f>
        <v>0</v>
      </c>
      <c r="AN400" s="731"/>
      <c r="AO400" s="994" t="s">
        <v>1257</v>
      </c>
      <c r="AP400" s="556"/>
      <c r="AQ400" s="556"/>
      <c r="AR400" s="731"/>
      <c r="AS400" s="1002">
        <f>SUM(AS294:AS397)</f>
        <v>0</v>
      </c>
      <c r="AT400" s="1007"/>
      <c r="AU400" s="1006"/>
      <c r="AV400" s="1008">
        <f>IF(OR(AV398="",AW398=""),0,YEARFRAC(AV398,AW398)*12)</f>
        <v>0</v>
      </c>
      <c r="AW400" s="556"/>
      <c r="AX400" s="1003">
        <f>SUM(AX294:AX397)</f>
        <v>0</v>
      </c>
      <c r="AY400" s="731"/>
      <c r="AZ400" s="1008">
        <f>IF(OR(AZ398="",BA398=""),0,YEARFRAC(AZ398,BA398)*12)</f>
        <v>0</v>
      </c>
      <c r="BA400" s="731"/>
      <c r="BB400" s="1003">
        <f>SUM(BB294:BB397)</f>
        <v>0</v>
      </c>
    </row>
    <row r="401" spans="26:54" x14ac:dyDescent="0.3">
      <c r="Z401" s="991">
        <f>IF(OR(V19="",G30=""),0,((YEAR(G30)-YEAR(V19))*12)-12+(12-MONTH(V19))+MONTH(G30)-1+(EOMONTH(V19,0)-V19+1)/DAY(EOMONTH(V19,0))+(1-(EOMONTH(G30,0)-G30)/DAY(EOMONTH(G30,0))))</f>
        <v>0</v>
      </c>
      <c r="AA401" s="556"/>
      <c r="AB401" s="556"/>
      <c r="AC401" s="731"/>
      <c r="AD401" s="731" t="str">
        <f>IF(OR(AC399=0,AD399=0),"",IF(AND(AC399&gt;0,AD399&gt;0,AC399=AD399),"TRUE","FALSE"))</f>
        <v/>
      </c>
      <c r="AE401" s="1007"/>
      <c r="AF401" s="1006"/>
      <c r="AG401" s="1004"/>
      <c r="AH401" s="731"/>
      <c r="AI401" s="1003"/>
      <c r="AJ401" s="731"/>
      <c r="AK401" s="1004"/>
      <c r="AL401" s="731"/>
      <c r="AM401" s="1003"/>
      <c r="AN401" s="731"/>
      <c r="AO401" s="991">
        <f>IF(OR(V19="",J30=""),0,((YEAR(J30)-YEAR(V19))*12)-12+(12-MONTH(V19))+MONTH(J30)-1+(EOMONTH(V19,0)-V19+1)/DAY(EOMONTH(V19,0))+(1-(EOMONTH(J30,0)-J30)/DAY(EOMONTH(J30,0))))</f>
        <v>0</v>
      </c>
      <c r="AP401" s="556"/>
      <c r="AQ401" s="556"/>
      <c r="AR401" s="731"/>
      <c r="AS401" s="731" t="str">
        <f>IF(OR(AR399=0,AS399=0),"",IF(AND(AR399&gt;0,AS399&gt;0,AR399=AS399),"TRUE","FALSE"))</f>
        <v/>
      </c>
      <c r="AT401" s="1007"/>
      <c r="AU401" s="1006"/>
      <c r="AV401" s="1004"/>
      <c r="AW401" s="731"/>
      <c r="AX401" s="1003"/>
      <c r="AY401" s="731"/>
      <c r="AZ401" s="1004"/>
      <c r="BA401" s="731"/>
      <c r="BB401" s="1003"/>
    </row>
    <row r="402" spans="26:54" ht="15" thickBot="1" x14ac:dyDescent="0.35">
      <c r="Z402" s="983"/>
      <c r="AA402" s="556"/>
      <c r="AB402" s="556"/>
      <c r="AC402" s="731" t="s">
        <v>1365</v>
      </c>
      <c r="AD402" s="1675">
        <f>IF(OR(AD401="",V19="",E30=""),0,IF(AND(AD401="TRUE",V19&gt;AB398),AD400/Z401,0))</f>
        <v>0</v>
      </c>
      <c r="AE402" s="1676"/>
      <c r="AF402" s="988"/>
      <c r="AG402" s="983"/>
      <c r="AH402" s="1005" t="s">
        <v>1261</v>
      </c>
      <c r="AI402" s="987" t="str">
        <f>IF(AH399=0,"",IF(AD401="TRUE",(((AI400/AH399)*Z404)/12),""))</f>
        <v/>
      </c>
      <c r="AJ402" s="731"/>
      <c r="AK402" s="983"/>
      <c r="AL402" s="1005" t="s">
        <v>1261</v>
      </c>
      <c r="AM402" s="985" t="str">
        <f>IF(OR(AL399=0,AK400=0),"",IF(AND(AD401="TRUE",OR(Z401&gt;=24,V19&lt;=AK398)),(((AM400/AL399)*Z404)/12),
IF(AND(AD401="TRUE",AK400&lt;12),AM400/AK400,"")))</f>
        <v/>
      </c>
      <c r="AN402" s="731"/>
      <c r="AO402" s="983"/>
      <c r="AP402" s="556"/>
      <c r="AQ402" s="556"/>
      <c r="AR402" s="731" t="s">
        <v>1365</v>
      </c>
      <c r="AS402" s="1675">
        <f>IF(OR(AS401="",V19="",H30=""),0,IF(AND(AS401="TRUE",AO401&lt;24),AS400/AO401,0))</f>
        <v>0</v>
      </c>
      <c r="AT402" s="1676"/>
      <c r="AU402" s="988"/>
      <c r="AV402" s="983"/>
      <c r="AW402" s="1005" t="s">
        <v>1261</v>
      </c>
      <c r="AX402" s="987" t="str">
        <f>IF(AW399=0,"",IF(AS401="TRUE",(((AX400/AW399)*AO404)/12),""))</f>
        <v/>
      </c>
      <c r="AY402" s="731"/>
      <c r="AZ402" s="983"/>
      <c r="BA402" s="1005" t="s">
        <v>1261</v>
      </c>
      <c r="BB402" s="985" t="str">
        <f>IF(OR(BA399=0,AZ400=0),"",IF(AND(AS401="TRUE",OR(AO401&gt;=24,V19&lt;=AZ398)),(((BB400/BA399)*AO404)/12),
IF(AND(AS401="TRUE",AZ400&lt;12),BB400/AZ400,"")))</f>
        <v/>
      </c>
    </row>
    <row r="403" spans="26:54" ht="15" thickTop="1" x14ac:dyDescent="0.3">
      <c r="Z403" s="1004" t="s">
        <v>1255</v>
      </c>
      <c r="AA403" s="1000"/>
      <c r="AB403" s="1000"/>
      <c r="AC403" s="989" t="s">
        <v>1366</v>
      </c>
      <c r="AD403" s="1675">
        <f>IF(OR(AD401="",V19="",E30=""),0,IF(AND(AD401="TRUE",V19&lt;=AB398),(((AD400/AC399)*Z404)/12),0))</f>
        <v>0</v>
      </c>
      <c r="AE403" s="1676"/>
      <c r="AF403" s="988"/>
      <c r="AG403" s="1004"/>
      <c r="AH403" s="731"/>
      <c r="AI403" s="1003"/>
      <c r="AJ403" s="731"/>
      <c r="AK403" s="1004"/>
      <c r="AL403" s="731"/>
      <c r="AM403" s="1003"/>
      <c r="AN403" s="731"/>
      <c r="AO403" s="1004" t="s">
        <v>1255</v>
      </c>
      <c r="AP403" s="1000"/>
      <c r="AQ403" s="1000"/>
      <c r="AR403" s="989" t="s">
        <v>1366</v>
      </c>
      <c r="AS403" s="1675">
        <f>IF(OR(AS401="",V19="",H30=""),0,IF(AND(AS401="TRUE",AO401&gt;=24),(((AS400/AR399)*AO404)/12),0))</f>
        <v>0</v>
      </c>
      <c r="AT403" s="1676"/>
      <c r="AU403" s="988"/>
      <c r="AV403" s="1004"/>
      <c r="AW403" s="731"/>
      <c r="AX403" s="1003"/>
      <c r="AY403" s="731"/>
      <c r="AZ403" s="1004"/>
      <c r="BA403" s="731"/>
      <c r="BB403" s="1003"/>
    </row>
    <row r="404" spans="26:54" ht="15" thickBot="1" x14ac:dyDescent="0.35">
      <c r="Z404" s="994">
        <f>IF(M19=1,12,IF(M19=2,24,IF(M19=3,26,IF(M19=4,52,0))))</f>
        <v>0</v>
      </c>
      <c r="AA404" s="556"/>
      <c r="AB404" s="556"/>
      <c r="AC404" s="1002" t="s">
        <v>1262</v>
      </c>
      <c r="AD404" s="1560">
        <f>IF(AND(AD402=0,AD403=0),0,
IF(AND(AD402&lt;&gt;0,AD403=0),AD402,
IF(AND(AD403&lt;&gt;0,AD402=0),AD403,0)))</f>
        <v>0</v>
      </c>
      <c r="AE404" s="1561"/>
      <c r="AF404" s="984"/>
      <c r="AG404" s="983"/>
      <c r="AH404" s="556"/>
      <c r="AI404" s="982"/>
      <c r="AJ404" s="556"/>
      <c r="AK404" s="983"/>
      <c r="AL404" s="556"/>
      <c r="AM404" s="982"/>
      <c r="AN404" s="556"/>
      <c r="AO404" s="994">
        <f>IF(M19=1,12,IF(M19=2,24,IF(M19=3,26,IF(M19=4,52,0))))</f>
        <v>0</v>
      </c>
      <c r="AP404" s="556"/>
      <c r="AQ404" s="556"/>
      <c r="AR404" s="1002" t="s">
        <v>1262</v>
      </c>
      <c r="AS404" s="1560">
        <f>IF(AND(AS402=0,AS403=0),0,
IF(AND(AS402&lt;&gt;0,AS403=0),AS402,
IF(AND(AS403&lt;&gt;0,AS402=0),AS403,0)))</f>
        <v>0</v>
      </c>
      <c r="AT404" s="1561"/>
      <c r="AU404" s="984"/>
      <c r="AV404" s="983"/>
      <c r="AW404" s="556"/>
      <c r="AX404" s="982"/>
      <c r="AY404" s="556"/>
      <c r="AZ404" s="983"/>
      <c r="BA404" s="556"/>
      <c r="BB404" s="982"/>
    </row>
    <row r="405" spans="26:54" ht="15" thickTop="1" x14ac:dyDescent="0.3">
      <c r="Z405" s="983"/>
      <c r="AA405" s="1000"/>
      <c r="AB405" s="1000"/>
      <c r="AC405" s="999"/>
      <c r="AD405" s="556"/>
      <c r="AE405" s="998"/>
      <c r="AF405" s="977"/>
      <c r="AG405" s="983"/>
      <c r="AH405" s="556"/>
      <c r="AI405" s="982"/>
      <c r="AJ405" s="556"/>
      <c r="AK405" s="983"/>
      <c r="AL405" s="556"/>
      <c r="AM405" s="982"/>
      <c r="AN405" s="556"/>
      <c r="AO405" s="983"/>
      <c r="AP405" s="1000"/>
      <c r="AQ405" s="1000"/>
      <c r="AR405" s="999"/>
      <c r="AS405" s="556"/>
      <c r="AT405" s="998"/>
      <c r="AU405" s="977"/>
      <c r="AV405" s="983"/>
      <c r="AW405" s="556"/>
      <c r="AX405" s="982"/>
      <c r="AY405" s="556"/>
      <c r="AZ405" s="983"/>
      <c r="BA405" s="556"/>
      <c r="BB405" s="982"/>
    </row>
    <row r="406" spans="26:54" x14ac:dyDescent="0.3">
      <c r="Z406" s="1697" t="s">
        <v>1258</v>
      </c>
      <c r="AA406" s="1698"/>
      <c r="AB406" s="1698"/>
      <c r="AC406" s="1698"/>
      <c r="AD406" s="1698"/>
      <c r="AE406" s="1699"/>
      <c r="AF406" s="1001"/>
      <c r="AG406" s="1549" t="s">
        <v>1258</v>
      </c>
      <c r="AH406" s="1550"/>
      <c r="AI406" s="1551"/>
      <c r="AJ406" s="556"/>
      <c r="AK406" s="1549" t="s">
        <v>1258</v>
      </c>
      <c r="AL406" s="1550"/>
      <c r="AM406" s="1551"/>
      <c r="AN406" s="556"/>
      <c r="AO406" s="1697" t="s">
        <v>1258</v>
      </c>
      <c r="AP406" s="1698"/>
      <c r="AQ406" s="1698"/>
      <c r="AR406" s="1698"/>
      <c r="AS406" s="1698"/>
      <c r="AT406" s="1699"/>
      <c r="AU406" s="1001"/>
      <c r="AV406" s="1549" t="s">
        <v>1258</v>
      </c>
      <c r="AW406" s="1550"/>
      <c r="AX406" s="1551"/>
      <c r="AY406" s="556"/>
      <c r="AZ406" s="1549" t="s">
        <v>1258</v>
      </c>
      <c r="BA406" s="1550"/>
      <c r="BB406" s="1551"/>
    </row>
    <row r="407" spans="26:54" x14ac:dyDescent="0.3">
      <c r="Z407" s="983"/>
      <c r="AA407" s="1000"/>
      <c r="AB407" s="1000"/>
      <c r="AC407" s="999"/>
      <c r="AD407" s="556"/>
      <c r="AE407" s="998"/>
      <c r="AF407" s="977"/>
      <c r="AG407" s="983"/>
      <c r="AH407" s="556"/>
      <c r="AI407" s="982"/>
      <c r="AJ407" s="556"/>
      <c r="AK407" s="983"/>
      <c r="AL407" s="556"/>
      <c r="AM407" s="982"/>
      <c r="AN407" s="556"/>
      <c r="AO407" s="983"/>
      <c r="AP407" s="1000"/>
      <c r="AQ407" s="1000"/>
      <c r="AR407" s="999"/>
      <c r="AS407" s="556"/>
      <c r="AT407" s="998"/>
      <c r="AU407" s="977"/>
      <c r="AV407" s="983"/>
      <c r="AW407" s="556"/>
      <c r="AX407" s="982"/>
      <c r="AY407" s="556"/>
      <c r="AZ407" s="983"/>
      <c r="BA407" s="556"/>
      <c r="BB407" s="982"/>
    </row>
    <row r="408" spans="26:54" x14ac:dyDescent="0.3">
      <c r="Z408" s="994" t="s">
        <v>1257</v>
      </c>
      <c r="AA408" s="1692" t="s">
        <v>1259</v>
      </c>
      <c r="AB408" s="1692"/>
      <c r="AC408" s="1692"/>
      <c r="AD408" s="1693">
        <f>IF(AND(AD399&gt;0,AC399&gt;0),AD399/AC399,0)</f>
        <v>0</v>
      </c>
      <c r="AE408" s="1694"/>
      <c r="AF408" s="996"/>
      <c r="AG408" s="994" t="s">
        <v>1256</v>
      </c>
      <c r="AH408" s="993" t="s">
        <v>1260</v>
      </c>
      <c r="AI408" s="992">
        <f>IF(AND(AI399&gt;0,AH399&gt;0),AI399/AH399,0)</f>
        <v>0</v>
      </c>
      <c r="AJ408" s="995"/>
      <c r="AK408" s="994" t="s">
        <v>1256</v>
      </c>
      <c r="AL408" s="993" t="s">
        <v>1260</v>
      </c>
      <c r="AM408" s="992">
        <f>IF(AND(AM399&gt;0,AL399&gt;0),AM399/AL399,0)</f>
        <v>0</v>
      </c>
      <c r="AN408" s="997"/>
      <c r="AO408" s="994" t="s">
        <v>1257</v>
      </c>
      <c r="AP408" s="1692" t="s">
        <v>1259</v>
      </c>
      <c r="AQ408" s="1692"/>
      <c r="AR408" s="1692"/>
      <c r="AS408" s="1693">
        <f>IF(AND(AS399&gt;0,AR399&gt;0),AS399/AR399,0)</f>
        <v>0</v>
      </c>
      <c r="AT408" s="1694"/>
      <c r="AU408" s="996"/>
      <c r="AV408" s="994" t="s">
        <v>1256</v>
      </c>
      <c r="AW408" s="993" t="s">
        <v>1260</v>
      </c>
      <c r="AX408" s="992">
        <f>IF(AND(AX399&gt;0,AW399&gt;0),AX399/AW399,0)</f>
        <v>0</v>
      </c>
      <c r="AY408" s="995"/>
      <c r="AZ408" s="994" t="s">
        <v>1256</v>
      </c>
      <c r="BA408" s="993" t="s">
        <v>1260</v>
      </c>
      <c r="BB408" s="992">
        <f>IF(AND(BB399&gt;0,BA399&gt;0),BB399/BA399,0)</f>
        <v>0</v>
      </c>
    </row>
    <row r="409" spans="26:54" x14ac:dyDescent="0.3">
      <c r="Z409" s="991">
        <f>IF(OR(V19="",G30=""),0,IF(AD408&lt;=0,0,AD408*((YEAR(G30)-YEAR(V19))*12)-12+(12-MONTH(V19))+MONTH(G30)-1+(EOMONTH(V19,0)-V19+1)/DAY(EOMONTH(V19,0))+(1-(EOMONTH(G30,0)-G30)/DAY(EOMONTH(G30,0)))))</f>
        <v>0</v>
      </c>
      <c r="AA409" s="556"/>
      <c r="AB409" s="556"/>
      <c r="AC409" s="731" t="s">
        <v>1365</v>
      </c>
      <c r="AD409" s="1695">
        <f>IF(OR(V19="",E30=""),0,IF(V19&gt;AB398,AD400/Z409,0))</f>
        <v>0</v>
      </c>
      <c r="AE409" s="1696"/>
      <c r="AF409" s="988"/>
      <c r="AG409" s="990">
        <f>IF(AG400=0,0,IF(AI408&lt;=0,0,AI408*AG400))</f>
        <v>0</v>
      </c>
      <c r="AH409" s="556"/>
      <c r="AI409" s="982"/>
      <c r="AJ409" s="556"/>
      <c r="AK409" s="990">
        <f>IF(AK400=0,0,IF(AM408&lt;=0,0,AM408*AK400))</f>
        <v>0</v>
      </c>
      <c r="AL409" s="556"/>
      <c r="AM409" s="982"/>
      <c r="AN409" s="556"/>
      <c r="AO409" s="991">
        <f>IF(OR(V19="",J30=""),0,IF(AS408&lt;=0,0,AS408*((YEAR(G30)-YEAR(V19))*12)-12+(12-MONTH(V19))+MONTH(G30)-1+(EOMONTH(V19,0)-V19+1)/DAY(EOMONTH(V19,0))+(1-(EOMONTH(J30,0)-J30)/DAY(EOMONTH(J30,0)))))</f>
        <v>0</v>
      </c>
      <c r="AP409" s="556"/>
      <c r="AQ409" s="556"/>
      <c r="AR409" s="731" t="s">
        <v>1365</v>
      </c>
      <c r="AS409" s="1695">
        <f>IF(OR(V19="",H30=""),0,IF(AO409&lt;24,AS400/AO409,0))</f>
        <v>0</v>
      </c>
      <c r="AT409" s="1696"/>
      <c r="AU409" s="988"/>
      <c r="AV409" s="990">
        <f>IF(AV400=0,0,IF(AX408&lt;=0,0,AX408*AV400))</f>
        <v>0</v>
      </c>
      <c r="AW409" s="556"/>
      <c r="AX409" s="982"/>
      <c r="AY409" s="556"/>
      <c r="AZ409" s="990">
        <f>IF(AZ400=0,0,IF(BB408&lt;=0,0,BB408*AZ400))</f>
        <v>0</v>
      </c>
      <c r="BA409" s="556"/>
      <c r="BB409" s="982"/>
    </row>
    <row r="410" spans="26:54" ht="15" thickBot="1" x14ac:dyDescent="0.35">
      <c r="Z410" s="983"/>
      <c r="AA410" s="556"/>
      <c r="AB410" s="556"/>
      <c r="AC410" s="989" t="s">
        <v>1366</v>
      </c>
      <c r="AD410" s="1695">
        <f>IF(OR(V19="",E30=""),0,IF(V19&lt;=AB398,(((AD400/AD399)*Z404)/12),0))</f>
        <v>0</v>
      </c>
      <c r="AE410" s="1696"/>
      <c r="AF410" s="988"/>
      <c r="AG410" s="970"/>
      <c r="AH410" s="986" t="s">
        <v>1261</v>
      </c>
      <c r="AI410" s="987">
        <f>IF(AND(AI399&gt;0,AH399&gt;0),(((AI400/AI399)*Z404)/12),0)</f>
        <v>0</v>
      </c>
      <c r="AJ410" s="556"/>
      <c r="AK410" s="983"/>
      <c r="AL410" s="986" t="s">
        <v>1261</v>
      </c>
      <c r="AM410" s="985">
        <f>IF(AND(AM399&gt;0,AL399&gt;0,Z404&gt;=24),(((AM400/AM399)*Z404)/12),
IF(AND(AM399&gt;0,AL399&gt;0,Z404&lt;24),AM400/AK409,0))</f>
        <v>0</v>
      </c>
      <c r="AN410" s="556"/>
      <c r="AO410" s="983"/>
      <c r="AP410" s="556"/>
      <c r="AQ410" s="556"/>
      <c r="AR410" s="989" t="s">
        <v>1366</v>
      </c>
      <c r="AS410" s="1695">
        <f>IF(OR(V19="",H30=""),0,IF(AO409&gt;=24,(((AS400/AS399)*AO404)/12),0))</f>
        <v>0</v>
      </c>
      <c r="AT410" s="1696"/>
      <c r="AU410" s="988"/>
      <c r="AV410" s="983"/>
      <c r="AW410" s="986" t="s">
        <v>1261</v>
      </c>
      <c r="AX410" s="987">
        <f>IF(AND(AX399&gt;0,AW399&gt;0),(((AX400/AX399)*AO404)/12),0)</f>
        <v>0</v>
      </c>
      <c r="AY410" s="556"/>
      <c r="AZ410" s="983"/>
      <c r="BA410" s="986" t="s">
        <v>1261</v>
      </c>
      <c r="BB410" s="985">
        <f>IF(AND(BB399&gt;0,BA399&gt;0,AO404&gt;=24),(((BB400/BB399)*AO404)/12),
IF(AND(BB399&gt;0,BA399&gt;0,AO404&lt;24),BB400/AZ409,0))</f>
        <v>0</v>
      </c>
    </row>
    <row r="411" spans="26:54" ht="15.6" thickTop="1" thickBot="1" x14ac:dyDescent="0.35">
      <c r="Z411" s="983"/>
      <c r="AA411" s="556"/>
      <c r="AB411" s="556"/>
      <c r="AC411" s="556"/>
      <c r="AD411" s="1560">
        <f>IF(AND(AD409=0,AD410=0),0,
IF(AND(AD409&lt;&gt;0,AD410=0),AD409,
IF(AND(AD410&lt;&gt;0,AD409=0),AD410,0)))</f>
        <v>0</v>
      </c>
      <c r="AE411" s="1561"/>
      <c r="AF411" s="984"/>
      <c r="AG411" s="983"/>
      <c r="AH411" s="556"/>
      <c r="AI411" s="982"/>
      <c r="AJ411" s="556"/>
      <c r="AK411" s="983"/>
      <c r="AL411" s="556"/>
      <c r="AM411" s="982"/>
      <c r="AN411" s="556"/>
      <c r="AO411" s="983"/>
      <c r="AP411" s="556"/>
      <c r="AQ411" s="556"/>
      <c r="AR411" s="556"/>
      <c r="AS411" s="1560">
        <f>IF(AND(AS409=0,AS410=0),0,
IF(AND(AS409&lt;&gt;0,AS410=0),AS409,
IF(AND(AS410&lt;&gt;0,AS409=0),AS410,0)))</f>
        <v>0</v>
      </c>
      <c r="AT411" s="1561"/>
      <c r="AU411" s="984"/>
      <c r="AV411" s="983"/>
      <c r="AW411" s="556"/>
      <c r="AX411" s="982"/>
      <c r="AY411" s="556"/>
      <c r="AZ411" s="983"/>
      <c r="BA411" s="556"/>
      <c r="BB411" s="982"/>
    </row>
    <row r="412" spans="26:54" ht="15" thickTop="1" x14ac:dyDescent="0.3">
      <c r="Z412" s="980"/>
      <c r="AA412" s="979"/>
      <c r="AB412" s="979"/>
      <c r="AC412" s="979"/>
      <c r="AD412" s="979"/>
      <c r="AE412" s="981"/>
      <c r="AF412" s="977"/>
      <c r="AG412" s="980"/>
      <c r="AH412" s="979"/>
      <c r="AI412" s="978"/>
      <c r="AJ412" s="556"/>
      <c r="AK412" s="980"/>
      <c r="AL412" s="979"/>
      <c r="AM412" s="978"/>
      <c r="AN412" s="556"/>
      <c r="AO412" s="980"/>
      <c r="AP412" s="979"/>
      <c r="AQ412" s="979"/>
      <c r="AR412" s="979"/>
      <c r="AS412" s="979"/>
      <c r="AT412" s="981"/>
      <c r="AU412" s="977"/>
      <c r="AV412" s="980"/>
      <c r="AW412" s="979"/>
      <c r="AX412" s="978"/>
      <c r="AY412" s="556"/>
      <c r="AZ412" s="980"/>
      <c r="BA412" s="979"/>
      <c r="BB412" s="978"/>
    </row>
    <row r="413" spans="26:54" x14ac:dyDescent="0.3">
      <c r="Z413" s="556"/>
      <c r="AA413" s="556"/>
      <c r="AB413" s="556"/>
      <c r="AC413" s="556"/>
      <c r="AD413" s="556"/>
      <c r="AE413" s="977"/>
      <c r="AF413" s="977"/>
      <c r="AG413" s="556"/>
      <c r="AH413" s="556"/>
      <c r="AI413" s="556"/>
      <c r="AJ413" s="556"/>
      <c r="AK413" s="556"/>
      <c r="AL413" s="556"/>
      <c r="AM413" s="556"/>
      <c r="AN413" s="556"/>
      <c r="AO413" s="556"/>
      <c r="AP413" s="556"/>
      <c r="AQ413" s="556"/>
      <c r="AR413" s="556"/>
      <c r="AS413" s="556"/>
      <c r="AT413" s="556"/>
      <c r="AU413" s="556"/>
      <c r="AV413" s="556"/>
      <c r="AW413" s="556"/>
      <c r="AX413" s="556"/>
      <c r="AY413" s="556"/>
      <c r="AZ413" s="556"/>
      <c r="BA413" s="556"/>
      <c r="BB413" s="556"/>
    </row>
    <row r="414" spans="26:54" x14ac:dyDescent="0.3">
      <c r="Z414" s="1691"/>
      <c r="AA414" s="1691"/>
      <c r="AB414" s="1691"/>
      <c r="AC414" s="1691"/>
      <c r="AD414" s="1691"/>
      <c r="AE414" s="1691"/>
    </row>
  </sheetData>
  <sheetProtection algorithmName="SHA-512" hashValue="MWov3LjWwCKNJhff1Pu9OqAVbjhVhGtJ2BpW617amq5HyBAUw0Zhrwqmxjnmtz7S54M5Z9/rzCmUXoG9QhuFEA==" saltValue="hS751/UKWL97OHyKJ75Jyg==" spinCount="100000" sheet="1" objects="1" scenarios="1" selectLockedCells="1"/>
  <mergeCells count="208">
    <mergeCell ref="AB291:AM292"/>
    <mergeCell ref="AQ291:BB292"/>
    <mergeCell ref="AQ293:AS293"/>
    <mergeCell ref="AV293:AX293"/>
    <mergeCell ref="AZ293:BB293"/>
    <mergeCell ref="AS402:AT402"/>
    <mergeCell ref="AD402:AE402"/>
    <mergeCell ref="Z414:AE414"/>
    <mergeCell ref="AP408:AR408"/>
    <mergeCell ref="AS408:AT408"/>
    <mergeCell ref="AS409:AT409"/>
    <mergeCell ref="AS410:AT410"/>
    <mergeCell ref="AS411:AT411"/>
    <mergeCell ref="AD409:AE409"/>
    <mergeCell ref="AD410:AE410"/>
    <mergeCell ref="AD411:AE411"/>
    <mergeCell ref="AS403:AT403"/>
    <mergeCell ref="AS404:AT404"/>
    <mergeCell ref="AO406:AT406"/>
    <mergeCell ref="AV406:AX406"/>
    <mergeCell ref="AZ406:BB406"/>
    <mergeCell ref="AA408:AC408"/>
    <mergeCell ref="AD408:AE408"/>
    <mergeCell ref="Z406:AE406"/>
    <mergeCell ref="AD403:AE403"/>
    <mergeCell ref="AG406:AI406"/>
    <mergeCell ref="AA21:AB21"/>
    <mergeCell ref="B23:B24"/>
    <mergeCell ref="L204:M204"/>
    <mergeCell ref="L209:M209"/>
    <mergeCell ref="L211:M211"/>
    <mergeCell ref="L213:M213"/>
    <mergeCell ref="L202:M202"/>
    <mergeCell ref="L198:M198"/>
    <mergeCell ref="L200:M200"/>
    <mergeCell ref="L176:M176"/>
    <mergeCell ref="A291:E291"/>
    <mergeCell ref="L148:M148"/>
    <mergeCell ref="L150:M150"/>
    <mergeCell ref="L152:M152"/>
    <mergeCell ref="L154:M154"/>
    <mergeCell ref="L243:M243"/>
    <mergeCell ref="C208:N208"/>
    <mergeCell ref="L231:M231"/>
    <mergeCell ref="L233:M233"/>
    <mergeCell ref="L235:M235"/>
    <mergeCell ref="L178:M178"/>
    <mergeCell ref="L180:M180"/>
    <mergeCell ref="L225:M225"/>
    <mergeCell ref="L227:M227"/>
    <mergeCell ref="L229:M229"/>
    <mergeCell ref="L184:M184"/>
    <mergeCell ref="L246:M246"/>
    <mergeCell ref="B247:O247"/>
    <mergeCell ref="A281:L281"/>
    <mergeCell ref="A282:Y283"/>
    <mergeCell ref="L164:M164"/>
    <mergeCell ref="L166:M166"/>
    <mergeCell ref="L168:M168"/>
    <mergeCell ref="L170:M170"/>
    <mergeCell ref="L172:M172"/>
    <mergeCell ref="L174:M174"/>
    <mergeCell ref="L237:M237"/>
    <mergeCell ref="L239:M239"/>
    <mergeCell ref="L241:M241"/>
    <mergeCell ref="L219:M219"/>
    <mergeCell ref="L221:M221"/>
    <mergeCell ref="H245:K245"/>
    <mergeCell ref="L196:M196"/>
    <mergeCell ref="L182:M182"/>
    <mergeCell ref="L215:M215"/>
    <mergeCell ref="L217:M217"/>
    <mergeCell ref="L134:M134"/>
    <mergeCell ref="L136:M136"/>
    <mergeCell ref="L186:M186"/>
    <mergeCell ref="L223:M223"/>
    <mergeCell ref="L138:M138"/>
    <mergeCell ref="L140:M140"/>
    <mergeCell ref="L142:M142"/>
    <mergeCell ref="L144:M144"/>
    <mergeCell ref="L146:M146"/>
    <mergeCell ref="L160:M160"/>
    <mergeCell ref="L162:M162"/>
    <mergeCell ref="C205:N205"/>
    <mergeCell ref="L156:M156"/>
    <mergeCell ref="L158:M158"/>
    <mergeCell ref="L188:M188"/>
    <mergeCell ref="L190:M190"/>
    <mergeCell ref="L192:M192"/>
    <mergeCell ref="L194:M194"/>
    <mergeCell ref="L116:M116"/>
    <mergeCell ref="L118:M118"/>
    <mergeCell ref="L120:M120"/>
    <mergeCell ref="L122:M122"/>
    <mergeCell ref="L124:M124"/>
    <mergeCell ref="L126:M126"/>
    <mergeCell ref="L128:M128"/>
    <mergeCell ref="L130:M130"/>
    <mergeCell ref="L132:M132"/>
    <mergeCell ref="C99:N99"/>
    <mergeCell ref="L100:M100"/>
    <mergeCell ref="L102:M102"/>
    <mergeCell ref="L104:M104"/>
    <mergeCell ref="L106:M106"/>
    <mergeCell ref="L108:M108"/>
    <mergeCell ref="L110:M110"/>
    <mergeCell ref="L112:M112"/>
    <mergeCell ref="L114:M114"/>
    <mergeCell ref="L80:M80"/>
    <mergeCell ref="L82:M82"/>
    <mergeCell ref="L84:M84"/>
    <mergeCell ref="L86:M86"/>
    <mergeCell ref="L88:M88"/>
    <mergeCell ref="L90:M90"/>
    <mergeCell ref="L92:M92"/>
    <mergeCell ref="L94:M94"/>
    <mergeCell ref="C95:N95"/>
    <mergeCell ref="G1:U1"/>
    <mergeCell ref="A2:Y2"/>
    <mergeCell ref="A3:Y3"/>
    <mergeCell ref="L4:N4"/>
    <mergeCell ref="L5:N5"/>
    <mergeCell ref="O5:X9"/>
    <mergeCell ref="U47:W50"/>
    <mergeCell ref="L48:M48"/>
    <mergeCell ref="L50:M50"/>
    <mergeCell ref="L40:M40"/>
    <mergeCell ref="L42:M42"/>
    <mergeCell ref="P42:T42"/>
    <mergeCell ref="U42:W44"/>
    <mergeCell ref="P43:T44"/>
    <mergeCell ref="L46:M46"/>
    <mergeCell ref="P47:T51"/>
    <mergeCell ref="A6:C6"/>
    <mergeCell ref="D6:M6"/>
    <mergeCell ref="A8:C8"/>
    <mergeCell ref="D8:M8"/>
    <mergeCell ref="C10:L10"/>
    <mergeCell ref="P15:T15"/>
    <mergeCell ref="L44:M44"/>
    <mergeCell ref="U36:X36"/>
    <mergeCell ref="C12:H12"/>
    <mergeCell ref="D13:K13"/>
    <mergeCell ref="P18:Q18"/>
    <mergeCell ref="P19:U19"/>
    <mergeCell ref="O11:X13"/>
    <mergeCell ref="H25:J28"/>
    <mergeCell ref="C15:K15"/>
    <mergeCell ref="C16:M17"/>
    <mergeCell ref="P25:X25"/>
    <mergeCell ref="C20:M22"/>
    <mergeCell ref="V15:W16"/>
    <mergeCell ref="V19:W19"/>
    <mergeCell ref="V21:W21"/>
    <mergeCell ref="R18:T18"/>
    <mergeCell ref="P21:U21"/>
    <mergeCell ref="P22:U22"/>
    <mergeCell ref="D19:L19"/>
    <mergeCell ref="P16:T16"/>
    <mergeCell ref="C18:M18"/>
    <mergeCell ref="A288:B288"/>
    <mergeCell ref="AG293:AI293"/>
    <mergeCell ref="AB293:AD293"/>
    <mergeCell ref="P35:T36"/>
    <mergeCell ref="U291:Y291"/>
    <mergeCell ref="L30:M30"/>
    <mergeCell ref="U28:W29"/>
    <mergeCell ref="P29:T29"/>
    <mergeCell ref="E24:G24"/>
    <mergeCell ref="H24:J24"/>
    <mergeCell ref="L24:M24"/>
    <mergeCell ref="P28:T28"/>
    <mergeCell ref="E25:G28"/>
    <mergeCell ref="L25:M29"/>
    <mergeCell ref="P27:S27"/>
    <mergeCell ref="T27:X27"/>
    <mergeCell ref="P39:X41"/>
    <mergeCell ref="P31:T34"/>
    <mergeCell ref="L32:M32"/>
    <mergeCell ref="U32:W34"/>
    <mergeCell ref="L34:M34"/>
    <mergeCell ref="L36:M36"/>
    <mergeCell ref="L38:M38"/>
    <mergeCell ref="L56:M56"/>
    <mergeCell ref="L58:M58"/>
    <mergeCell ref="L60:M60"/>
    <mergeCell ref="L62:M62"/>
    <mergeCell ref="L64:M64"/>
    <mergeCell ref="L66:M66"/>
    <mergeCell ref="L68:M68"/>
    <mergeCell ref="AK406:AM406"/>
    <mergeCell ref="R24:U24"/>
    <mergeCell ref="P45:P46"/>
    <mergeCell ref="R45:S46"/>
    <mergeCell ref="Q45:Q46"/>
    <mergeCell ref="T45:T46"/>
    <mergeCell ref="P26:S26"/>
    <mergeCell ref="T26:X26"/>
    <mergeCell ref="AD404:AE404"/>
    <mergeCell ref="AK293:AM293"/>
    <mergeCell ref="L54:M54"/>
    <mergeCell ref="L52:M52"/>
    <mergeCell ref="P52:X52"/>
    <mergeCell ref="L70:M70"/>
    <mergeCell ref="L72:M72"/>
    <mergeCell ref="L74:M74"/>
    <mergeCell ref="L76:M76"/>
    <mergeCell ref="L78:M78"/>
  </mergeCells>
  <conditionalFormatting sqref="B247">
    <cfRule type="expression" dxfId="1258" priority="13">
      <formula>$B$247="Pay Frequency Needed"</formula>
    </cfRule>
  </conditionalFormatting>
  <conditionalFormatting sqref="G1:U1">
    <cfRule type="expression" dxfId="1257" priority="12">
      <formula>$G$1&lt;&gt;""</formula>
    </cfRule>
  </conditionalFormatting>
  <conditionalFormatting sqref="C10:L10">
    <cfRule type="expression" dxfId="1256" priority="5">
      <formula>$C$10="Loan Type does not match I&amp;D worksheet"</formula>
    </cfRule>
    <cfRule type="expression" dxfId="1255" priority="14">
      <formula>$C$10="Income source not eligible for Loan Type (Fannie)"</formula>
    </cfRule>
    <cfRule type="expression" dxfId="1254" priority="15">
      <formula>AND($A$291&lt;&gt;"Variable with Increase",$A$291&lt;&gt;"Variable with Increase (2)")</formula>
    </cfRule>
  </conditionalFormatting>
  <conditionalFormatting sqref="T45:T46">
    <cfRule type="expression" dxfId="1253" priority="16">
      <formula>$T$45&lt;$Q$45</formula>
    </cfRule>
  </conditionalFormatting>
  <conditionalFormatting sqref="T27:X27">
    <cfRule type="expression" dxfId="1252" priority="11">
      <formula>AND($T$27&gt;0,$P$27&gt;$T$27)</formula>
    </cfRule>
  </conditionalFormatting>
  <conditionalFormatting sqref="C20:M22">
    <cfRule type="expression" dxfId="1251" priority="10">
      <formula>AND(P27&gt;0,T27&gt;0,T27&lt;P27)</formula>
    </cfRule>
  </conditionalFormatting>
  <conditionalFormatting sqref="P39:X52">
    <cfRule type="expression" dxfId="1250" priority="3">
      <formula>$Y$286=FALSE</formula>
    </cfRule>
  </conditionalFormatting>
  <conditionalFormatting sqref="E32 E92 E90 E88 E86 E84 E82 E80 E78 E76 E74 E72 E70 E68 E66 E64 E62 E60 E58 E52 E50 E48 E46 E44 E42 E40 E38 E36 E241 E239 E237 E235 E233 E231 E229 E227 E225 E223 E221 E219 E217 E215 E213 E211 E209 E204 E202 E200 E198 E196 E194 E192 E190 E188 E186 E184 E182 E180 E178 E176 E174 E172 E170 E168 E166 E164 E162 E160 E158 E156 E154 E152 E150 E148 E146 E144 E142 E140 E138 E136 E134 E132 E130 E128 E126 E124 E122 E120 E118 E116 E114 E112 E110 E108 E106 E104 E102 E100 G100 G92 G90 G88 G86 G84 G82 G80 G78 G76 G74 G72 G70 G68 G66 G64 G62 G60 G58 G56 G54 G52 G50 G48 G46 G44 G42 G40 G38 G36 G34 G202 G200 G198 G196 G194 G192 G190 G188 G186 G184 G182 G180 G178 G176 G174 G172 G170 G168 G166 G164 G162 G160 G158 G156 G154 G152 G150 G148 G146 G144 G142 G140 G138 G136 G134 G132 G130 G128 G126 G124 G122 G120 G118 G116 G114 G112 G110 G108 G106 G104 G102 G241 G239 G237 G235 G233 G231 G229 G227 G225 G223 G221 G219 G217 G215 G213 G211 G32 E34 E94 E243 G209 G94 G204 G243 E54 E56">
    <cfRule type="expression" dxfId="1249" priority="17">
      <formula>AND($L$13=2,$M$19&gt;=1,$V$19&lt;&gt;"",$V$21&lt;&gt;"",E32="")</formula>
    </cfRule>
  </conditionalFormatting>
  <conditionalFormatting sqref="U32:W34 U47">
    <cfRule type="expression" dxfId="1248" priority="7">
      <formula>$L$13=1</formula>
    </cfRule>
  </conditionalFormatting>
  <conditionalFormatting sqref="L32:M32 L34:M34 L40:M40 L38:M38 L36:M36 L42:M42 L44:M44 L46:M46 L48:M48 L50:M50 L52:M52 L54:M54 L56:M56 L58:M58 L60:M60 L62:M62 L64:M64 L66:M66 L68:M68 L70:M70 L72:M72 L74:M74 L76:M76 L78:M78 L80:M80 L82:M82 L84:M84 L86:M86 L88:M88 L90:M90 L92:M92 L94:M94 L100:M100 L102:M102 L104:M104 L106:M106 L108:M108 L110:M110 L112:M112 L114:M114 L116:M116 L118:M118 L120:M120 L122:M122 L124:M124 L126:M126 L128:M128 L130:M130 L132:M132 L134:M134 L136:M136 L138:M138 L140:M140 L142:M142 L144:M144 L146:M146 L148:M148 L150:M150 L152:M152 L154:M154 L156:M156 L158:M158 L160:M160 L162:M162 L164:M164 L166:M166 L168:M168 L170:M170 L172:M172 L174:M174 L176:M176 L178:M178 L180:M180 L182:M182 L184:M184 L186:M186 L188:M188 L190:M190 L192:M192 L194:M194 L196:M196 L198:M198 L200:M200 L202:M202 L204:M204 L209:M209 L211:M211 L213:M213 L215:M215 L217:M217 L219:M219 L221:M221 L223:M223 L225:M225 L227:M227 L229:M229 L231:M231 L233:M233 L235:M235 L237:M237 L239:M239 L241:M241 L243:M243">
    <cfRule type="expression" dxfId="1247" priority="19">
      <formula>AND($L$13=2,$M$19&gt;=1,$V$19&lt;&gt;"",$V$21&lt;&gt;"",$X$285=FALSE,G32="")</formula>
    </cfRule>
  </conditionalFormatting>
  <conditionalFormatting sqref="R46:T46 P45:T45">
    <cfRule type="expression" dxfId="1246" priority="20">
      <formula>$L$13&lt;&gt;2</formula>
    </cfRule>
  </conditionalFormatting>
  <conditionalFormatting sqref="U32">
    <cfRule type="expression" dxfId="1245" priority="21">
      <formula>AND($L$13=2,T27&gt;=P27,$X$286=TRUE)</formula>
    </cfRule>
    <cfRule type="expression" dxfId="1244" priority="22">
      <formula>AND($L$13=2,P27&gt;0,T27&gt;0,T27&lt;P27,$X$286=FALSE)</formula>
    </cfRule>
  </conditionalFormatting>
  <conditionalFormatting sqref="U47:W50">
    <cfRule type="expression" dxfId="1243" priority="6">
      <formula>$C$10="Loan Type does not match I&amp;D worksheet"</formula>
    </cfRule>
    <cfRule type="expression" dxfId="1242" priority="23">
      <formula>AND($L$13=3,$X$286=TRUE)</formula>
    </cfRule>
    <cfRule type="expression" dxfId="1241" priority="24">
      <formula>AND($L$13=2,P27&gt;0,T27&gt;0,T27&lt;P27,$X$286=FALSE)</formula>
    </cfRule>
    <cfRule type="expression" dxfId="1240" priority="25">
      <formula>AND($L$13=2,T27&gt;=P27,$X$286=TRUE)</formula>
    </cfRule>
  </conditionalFormatting>
  <conditionalFormatting sqref="P25:X27">
    <cfRule type="expression" dxfId="1239" priority="26">
      <formula>$L$13&lt;&gt;2</formula>
    </cfRule>
  </conditionalFormatting>
  <conditionalFormatting sqref="U32:W34">
    <cfRule type="expression" dxfId="1238" priority="4">
      <formula>AND($L$13=2,$V$285=2)</formula>
    </cfRule>
    <cfRule type="expression" dxfId="1237" priority="9">
      <formula>$C$10="Loan Type does not match I&amp;D worksheet"</formula>
    </cfRule>
    <cfRule type="expression" dxfId="1236" priority="18">
      <formula>$C$20="Does not meet length of receipt requirement(s). Must have greater than 12 months receipt, and pay periods (end dates) must elapse 1 year."</formula>
    </cfRule>
    <cfRule type="expression" dxfId="1235" priority="27">
      <formula>AND($L$13=3,$X$286=TRUE)</formula>
    </cfRule>
  </conditionalFormatting>
  <conditionalFormatting sqref="C16:M17">
    <cfRule type="expression" dxfId="1234" priority="8">
      <formula>$C$16="Loan Type Needed Above"</formula>
    </cfRule>
  </conditionalFormatting>
  <conditionalFormatting sqref="M15">
    <cfRule type="expression" dxfId="1233" priority="2">
      <formula>AND($D$13="Conventional - Freddie",$V$285=2)</formula>
    </cfRule>
  </conditionalFormatting>
  <conditionalFormatting sqref="V15:W16">
    <cfRule type="expression" dxfId="1232" priority="1">
      <formula>AND(L13&gt;1,N19&gt;=1,V19&lt;&gt;"",V21&lt;&gt;"",VIZero=0)</formula>
    </cfRule>
  </conditionalFormatting>
  <dataValidations count="2">
    <dataValidation type="list" allowBlank="1" showInputMessage="1" showErrorMessage="1" sqref="D19:L19" xr:uid="{079F77F6-0C30-493E-A543-2AF32622C1AE}">
      <formula1>$Z$13:$Z$16</formula1>
    </dataValidation>
    <dataValidation type="list" allowBlank="1" showInputMessage="1" showErrorMessage="1" sqref="D13:K13" xr:uid="{D036676F-E0C6-4195-8CE2-252E60388385}">
      <formula1>"Conventional - Fannie, Conventional - Freddie, FHA, Other"</formula1>
    </dataValidation>
  </dataValidations>
  <printOptions horizontalCentered="1"/>
  <pageMargins left="0.25" right="0.25" top="0.25" bottom="0.25" header="0.3" footer="0.3"/>
  <pageSetup paperSize="5" scale="8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1526" r:id="rId4" name="Check Box 6">
              <controlPr defaultSize="0" autoFill="0" autoLine="0" autoPict="0">
                <anchor moveWithCells="1">
                  <from>
                    <xdr:col>19</xdr:col>
                    <xdr:colOff>289560</xdr:colOff>
                    <xdr:row>35</xdr:row>
                    <xdr:rowOff>7620</xdr:rowOff>
                  </from>
                  <to>
                    <xdr:col>21</xdr:col>
                    <xdr:colOff>274320</xdr:colOff>
                    <xdr:row>35</xdr:row>
                    <xdr:rowOff>182880</xdr:rowOff>
                  </to>
                </anchor>
              </controlPr>
            </control>
          </mc:Choice>
        </mc:AlternateContent>
        <mc:AlternateContent xmlns:mc="http://schemas.openxmlformats.org/markup-compatibility/2006">
          <mc:Choice Requires="x14">
            <control shapeId="1131528" r:id="rId5" name="Check Box 8">
              <controlPr defaultSize="0" autoFill="0" autoLine="0" autoPict="0">
                <anchor moveWithCells="1">
                  <from>
                    <xdr:col>14</xdr:col>
                    <xdr:colOff>251460</xdr:colOff>
                    <xdr:row>37</xdr:row>
                    <xdr:rowOff>22860</xdr:rowOff>
                  </from>
                  <to>
                    <xdr:col>21</xdr:col>
                    <xdr:colOff>685800</xdr:colOff>
                    <xdr:row>37</xdr:row>
                    <xdr:rowOff>167640</xdr:rowOff>
                  </to>
                </anchor>
              </controlPr>
            </control>
          </mc:Choice>
        </mc:AlternateContent>
        <mc:AlternateContent xmlns:mc="http://schemas.openxmlformats.org/markup-compatibility/2006">
          <mc:Choice Requires="x14">
            <control shapeId="1131529" r:id="rId6" name="Option Button 9">
              <controlPr defaultSize="0" autoFill="0" autoLine="0" autoPict="0">
                <anchor moveWithCells="1">
                  <from>
                    <xdr:col>11</xdr:col>
                    <xdr:colOff>30480</xdr:colOff>
                    <xdr:row>13</xdr:row>
                    <xdr:rowOff>83820</xdr:rowOff>
                  </from>
                  <to>
                    <xdr:col>11</xdr:col>
                    <xdr:colOff>472440</xdr:colOff>
                    <xdr:row>15</xdr:row>
                    <xdr:rowOff>30480</xdr:rowOff>
                  </to>
                </anchor>
              </controlPr>
            </control>
          </mc:Choice>
        </mc:AlternateContent>
        <mc:AlternateContent xmlns:mc="http://schemas.openxmlformats.org/markup-compatibility/2006">
          <mc:Choice Requires="x14">
            <control shapeId="1131530" r:id="rId7" name="Option Button 10">
              <controlPr defaultSize="0" autoFill="0" autoLine="0" autoPict="0">
                <anchor moveWithCells="1">
                  <from>
                    <xdr:col>12</xdr:col>
                    <xdr:colOff>30480</xdr:colOff>
                    <xdr:row>13</xdr:row>
                    <xdr:rowOff>83820</xdr:rowOff>
                  </from>
                  <to>
                    <xdr:col>12</xdr:col>
                    <xdr:colOff>480060</xdr:colOff>
                    <xdr:row>15</xdr:row>
                    <xdr:rowOff>30480</xdr:rowOff>
                  </to>
                </anchor>
              </controlPr>
            </control>
          </mc:Choice>
        </mc:AlternateContent>
        <mc:AlternateContent xmlns:mc="http://schemas.openxmlformats.org/markup-compatibility/2006">
          <mc:Choice Requires="x14">
            <control shapeId="1131531" r:id="rId8" name="Button 11">
              <controlPr defaultSize="0" print="0" autoFill="0" autoPict="0" macro="[0]!IW_Copy">
                <anchor moveWithCells="1" sizeWithCells="1">
                  <from>
                    <xdr:col>2</xdr:col>
                    <xdr:colOff>99060</xdr:colOff>
                    <xdr:row>0</xdr:row>
                    <xdr:rowOff>7620</xdr:rowOff>
                  </from>
                  <to>
                    <xdr:col>4</xdr:col>
                    <xdr:colOff>129540</xdr:colOff>
                    <xdr:row>1</xdr:row>
                    <xdr:rowOff>114300</xdr:rowOff>
                  </to>
                </anchor>
              </controlPr>
            </control>
          </mc:Choice>
        </mc:AlternateContent>
        <mc:AlternateContent xmlns:mc="http://schemas.openxmlformats.org/markup-compatibility/2006">
          <mc:Choice Requires="x14">
            <control shapeId="1131532" r:id="rId9" name="Button 12">
              <controlPr defaultSize="0" print="0" autoFill="0" autoPict="0" macro="[0]!IW_Home">
                <anchor moveWithCells="1" sizeWithCells="1">
                  <from>
                    <xdr:col>0</xdr:col>
                    <xdr:colOff>0</xdr:colOff>
                    <xdr:row>0</xdr:row>
                    <xdr:rowOff>7620</xdr:rowOff>
                  </from>
                  <to>
                    <xdr:col>2</xdr:col>
                    <xdr:colOff>45720</xdr:colOff>
                    <xdr:row>1</xdr:row>
                    <xdr:rowOff>114300</xdr:rowOff>
                  </to>
                </anchor>
              </controlPr>
            </control>
          </mc:Choice>
        </mc:AlternateContent>
        <mc:AlternateContent xmlns:mc="http://schemas.openxmlformats.org/markup-compatibility/2006">
          <mc:Choice Requires="x14">
            <control shapeId="1131533" r:id="rId10" name="Button 13">
              <controlPr defaultSize="0" print="0" autoFill="0" autoPict="0" macro="[0]!VarInc_Clear">
                <anchor moveWithCells="1" sizeWithCells="1">
                  <from>
                    <xdr:col>4</xdr:col>
                    <xdr:colOff>190500</xdr:colOff>
                    <xdr:row>0</xdr:row>
                    <xdr:rowOff>7620</xdr:rowOff>
                  </from>
                  <to>
                    <xdr:col>4</xdr:col>
                    <xdr:colOff>624840</xdr:colOff>
                    <xdr:row>1</xdr:row>
                    <xdr:rowOff>114300</xdr:rowOff>
                  </to>
                </anchor>
              </controlPr>
            </control>
          </mc:Choice>
        </mc:AlternateContent>
        <mc:AlternateContent xmlns:mc="http://schemas.openxmlformats.org/markup-compatibility/2006">
          <mc:Choice Requires="x14">
            <control shapeId="1131534" r:id="rId11" name="Button 14">
              <controlPr defaultSize="0" print="0" autoFill="0" autoPict="0" macro="[0]!VarInc_OmitHide">
                <anchor moveWithCells="1" sizeWithCells="1">
                  <from>
                    <xdr:col>0</xdr:col>
                    <xdr:colOff>7620</xdr:colOff>
                    <xdr:row>1</xdr:row>
                    <xdr:rowOff>167640</xdr:rowOff>
                  </from>
                  <to>
                    <xdr:col>4</xdr:col>
                    <xdr:colOff>38100</xdr:colOff>
                    <xdr:row>2</xdr:row>
                    <xdr:rowOff>7620</xdr:rowOff>
                  </to>
                </anchor>
              </controlPr>
            </control>
          </mc:Choice>
        </mc:AlternateContent>
        <mc:AlternateContent xmlns:mc="http://schemas.openxmlformats.org/markup-compatibility/2006">
          <mc:Choice Requires="x14">
            <control shapeId="1131535" r:id="rId12" name="Check Box 15">
              <controlPr defaultSize="0" autoFill="0" autoLine="0" autoPict="0" macro="[0]!VarInc_ManualDates">
                <anchor moveWithCells="1">
                  <from>
                    <xdr:col>16</xdr:col>
                    <xdr:colOff>312420</xdr:colOff>
                    <xdr:row>16</xdr:row>
                    <xdr:rowOff>91440</xdr:rowOff>
                  </from>
                  <to>
                    <xdr:col>16</xdr:col>
                    <xdr:colOff>487680</xdr:colOff>
                    <xdr:row>17</xdr:row>
                    <xdr:rowOff>175260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E86FE-B9B1-44BF-9C88-C9F68A0E38D3}">
  <sheetPr codeName="Sheet32">
    <tabColor rgb="FFFFDDAB"/>
    <pageSetUpPr fitToPage="1"/>
  </sheetPr>
  <dimension ref="A1:AN87"/>
  <sheetViews>
    <sheetView showGridLines="0" showRowColHeaders="0" showRuler="0" view="pageLayout" zoomScale="90" zoomScaleNormal="100" zoomScalePageLayoutView="90" workbookViewId="0">
      <selection activeCell="D6" sqref="D6:N6"/>
    </sheetView>
  </sheetViews>
  <sheetFormatPr defaultColWidth="9.109375" defaultRowHeight="14.4" x14ac:dyDescent="0.3"/>
  <cols>
    <col min="1" max="1" width="5.109375" style="15" customWidth="1"/>
    <col min="2" max="2" width="2.6640625" customWidth="1"/>
    <col min="3" max="3" width="5.6640625" customWidth="1"/>
    <col min="4" max="4" width="4.44140625" customWidth="1"/>
    <col min="5" max="5" width="4.77734375" customWidth="1"/>
    <col min="6" max="6" width="2.88671875" customWidth="1"/>
    <col min="7" max="7" width="3" customWidth="1"/>
    <col min="8" max="8" width="4.109375" customWidth="1"/>
    <col min="9" max="9" width="4.33203125" customWidth="1"/>
    <col min="10" max="10" width="1.21875" customWidth="1"/>
    <col min="11" max="11" width="7.6640625" customWidth="1"/>
    <col min="12" max="12" width="7.77734375" customWidth="1"/>
    <col min="13" max="13" width="4.109375" customWidth="1"/>
    <col min="14" max="14" width="5" customWidth="1"/>
    <col min="15" max="15" width="7.21875" customWidth="1"/>
    <col min="16" max="16" width="6" customWidth="1"/>
    <col min="17" max="17" width="13.33203125" customWidth="1"/>
    <col min="18" max="18" width="2.33203125" customWidth="1"/>
    <col min="19" max="19" width="1.5546875" customWidth="1"/>
    <col min="20" max="20" width="4" customWidth="1"/>
    <col min="21" max="21" width="1.21875" customWidth="1"/>
    <col min="22" max="22" width="4.21875" customWidth="1"/>
    <col min="23" max="23" width="1.21875" customWidth="1"/>
    <col min="24" max="24" width="9.33203125" customWidth="1"/>
    <col min="25" max="25" width="6.77734375" customWidth="1"/>
    <col min="26" max="26" width="1.21875" customWidth="1"/>
    <col min="27" max="27" width="0.33203125" customWidth="1"/>
    <col min="28" max="28" width="7.44140625" style="556" hidden="1" customWidth="1"/>
    <col min="29" max="29" width="5.6640625" style="556" hidden="1" customWidth="1"/>
    <col min="30" max="30" width="1.33203125" style="556" hidden="1" customWidth="1"/>
    <col min="31" max="31" width="6.88671875" style="556" hidden="1" customWidth="1"/>
    <col min="32" max="32" width="5.6640625" hidden="1" customWidth="1"/>
    <col min="33" max="33" width="9.109375" customWidth="1"/>
  </cols>
  <sheetData>
    <row r="1" spans="1:27" ht="15" customHeight="1" x14ac:dyDescent="0.3">
      <c r="G1" s="1761" t="str">
        <f>IF(OR('I&amp;D Worksheet'!J8="FHA",'I&amp;D Worksheet'!J8="VA",'I&amp;D Worksheet'!J8="USDA"),CONCATENATE("This worksheet is not applicable for the selected Loan Type (",'I&amp;D Worksheet'!J8,")"),"")</f>
        <v/>
      </c>
      <c r="H1" s="1761"/>
      <c r="I1" s="1761"/>
      <c r="J1" s="1761"/>
      <c r="K1" s="1761"/>
      <c r="L1" s="1761"/>
      <c r="M1" s="1761"/>
      <c r="N1" s="1761"/>
      <c r="O1" s="1761"/>
      <c r="P1" s="1761"/>
      <c r="Q1" s="1761"/>
      <c r="R1" s="1761"/>
      <c r="S1" s="1761"/>
      <c r="T1" s="1761"/>
      <c r="U1" s="1509">
        <f>'I&amp;D Worksheet'!J8</f>
        <v>0</v>
      </c>
      <c r="V1" s="1509"/>
      <c r="W1" s="1509"/>
      <c r="X1" s="1509"/>
      <c r="Y1" s="47" t="str">
        <f>IF(U1="Conventional",1,IF(OR(U1="VA",U1="FHA",U1="USDA"),2,""))</f>
        <v/>
      </c>
    </row>
    <row r="2" spans="1:27" ht="36" customHeight="1" x14ac:dyDescent="0.5">
      <c r="A2" s="1321" t="s">
        <v>937</v>
      </c>
      <c r="B2" s="1321"/>
      <c r="C2" s="1321"/>
      <c r="D2" s="1321"/>
      <c r="E2" s="1321"/>
      <c r="F2" s="1321"/>
      <c r="G2" s="1321"/>
      <c r="H2" s="1321"/>
      <c r="I2" s="1321"/>
      <c r="J2" s="1321"/>
      <c r="K2" s="1321"/>
      <c r="L2" s="1321"/>
      <c r="M2" s="1321"/>
      <c r="N2" s="1321"/>
      <c r="O2" s="1321"/>
      <c r="P2" s="1321"/>
      <c r="Q2" s="1321"/>
      <c r="R2" s="1321"/>
      <c r="S2" s="1321"/>
      <c r="T2" s="1321"/>
      <c r="U2" s="1321"/>
      <c r="V2" s="1321"/>
      <c r="W2" s="1321"/>
      <c r="X2" s="1321"/>
      <c r="Y2" s="1321"/>
      <c r="Z2" s="1321"/>
      <c r="AA2" s="1321"/>
    </row>
    <row r="3" spans="1:27" ht="21" x14ac:dyDescent="0.4">
      <c r="A3" s="1322" t="s">
        <v>938</v>
      </c>
      <c r="B3" s="1322"/>
      <c r="C3" s="1322"/>
      <c r="D3" s="1322"/>
      <c r="E3" s="1322"/>
      <c r="F3" s="1322"/>
      <c r="G3" s="1322"/>
      <c r="H3" s="1322"/>
      <c r="I3" s="1322"/>
      <c r="J3" s="1322"/>
      <c r="K3" s="1322"/>
      <c r="L3" s="1322"/>
      <c r="M3" s="1322"/>
      <c r="N3" s="1322"/>
      <c r="O3" s="1322"/>
      <c r="P3" s="1322"/>
      <c r="Q3" s="1322"/>
      <c r="R3" s="1322"/>
      <c r="S3" s="1322"/>
      <c r="T3" s="1322"/>
      <c r="U3" s="1322"/>
      <c r="V3" s="1322"/>
      <c r="W3" s="1322"/>
      <c r="X3" s="1322"/>
      <c r="Y3" s="1322"/>
      <c r="Z3" s="1322"/>
      <c r="AA3" s="1322"/>
    </row>
    <row r="4" spans="1:27" ht="17.399999999999999" customHeight="1" x14ac:dyDescent="0.4">
      <c r="A4" s="1322" t="s">
        <v>939</v>
      </c>
      <c r="B4" s="1322"/>
      <c r="C4" s="1322"/>
      <c r="D4" s="1322"/>
      <c r="E4" s="1322"/>
      <c r="F4" s="1322"/>
      <c r="G4" s="1322"/>
      <c r="H4" s="1322"/>
      <c r="I4" s="1322"/>
      <c r="J4" s="1322"/>
      <c r="K4" s="1322"/>
      <c r="L4" s="1322"/>
      <c r="M4" s="1322"/>
      <c r="N4" s="1322"/>
      <c r="O4" s="1322"/>
      <c r="P4" s="1322"/>
      <c r="Q4" s="1322"/>
      <c r="R4" s="1322"/>
      <c r="S4" s="1322"/>
      <c r="T4" s="1322"/>
      <c r="U4" s="1322"/>
      <c r="V4" s="1322"/>
      <c r="W4" s="1322"/>
      <c r="X4" s="1322"/>
      <c r="Y4" s="1322"/>
      <c r="Z4" s="1322"/>
      <c r="AA4" s="1322"/>
    </row>
    <row r="5" spans="1:27" ht="15.6" x14ac:dyDescent="0.3">
      <c r="A5"/>
      <c r="D5" s="2"/>
      <c r="E5" s="2"/>
      <c r="F5" s="2"/>
      <c r="G5" s="2"/>
      <c r="H5" s="2"/>
      <c r="I5" s="2"/>
      <c r="J5" s="2"/>
      <c r="K5" s="2"/>
      <c r="L5" s="2"/>
      <c r="M5" s="2"/>
      <c r="N5" s="2"/>
      <c r="O5" s="2"/>
      <c r="P5" s="2"/>
      <c r="Q5" s="2"/>
      <c r="R5" s="2"/>
      <c r="S5" s="2"/>
      <c r="T5" s="2"/>
      <c r="U5" s="2"/>
      <c r="V5" s="2"/>
      <c r="W5" s="2"/>
      <c r="X5" s="2"/>
      <c r="Y5" s="2"/>
      <c r="Z5" s="2"/>
    </row>
    <row r="6" spans="1:27" ht="15.6" x14ac:dyDescent="0.3">
      <c r="A6" s="1407" t="s">
        <v>37</v>
      </c>
      <c r="B6" s="1407"/>
      <c r="C6" s="1407"/>
      <c r="D6" s="1359"/>
      <c r="E6" s="1359"/>
      <c r="F6" s="1359"/>
      <c r="G6" s="1359"/>
      <c r="H6" s="1359"/>
      <c r="I6" s="1359"/>
      <c r="J6" s="1359"/>
      <c r="K6" s="1359"/>
      <c r="L6" s="1359"/>
      <c r="M6" s="1359"/>
      <c r="N6" s="1359"/>
      <c r="O6" s="114"/>
      <c r="P6" s="114"/>
      <c r="Q6" s="2"/>
      <c r="R6" s="2"/>
      <c r="S6" s="46" t="str">
        <f>IF(D6="","",D6)</f>
        <v/>
      </c>
      <c r="T6" s="2"/>
      <c r="U6" s="2"/>
      <c r="V6" s="2"/>
      <c r="W6" s="2"/>
      <c r="X6" s="2"/>
      <c r="Y6" s="2"/>
      <c r="Z6" s="2"/>
    </row>
    <row r="7" spans="1:27" ht="4.2" customHeight="1" x14ac:dyDescent="0.3">
      <c r="A7" s="4"/>
      <c r="B7" s="4"/>
      <c r="C7" s="4"/>
      <c r="D7" s="380"/>
      <c r="E7" s="380"/>
      <c r="F7" s="380"/>
      <c r="G7" s="380"/>
      <c r="H7" s="380"/>
      <c r="I7" s="380"/>
      <c r="J7" s="380"/>
      <c r="K7" s="380"/>
      <c r="L7" s="380"/>
      <c r="M7" s="380"/>
      <c r="N7" s="380"/>
      <c r="O7" s="380"/>
      <c r="P7" s="380"/>
      <c r="Q7" s="2"/>
      <c r="R7" s="2"/>
      <c r="S7" s="46"/>
      <c r="T7" s="2"/>
      <c r="U7" s="2"/>
      <c r="V7" s="2"/>
      <c r="W7" s="2"/>
      <c r="X7" s="2"/>
      <c r="Y7" s="2"/>
      <c r="Z7" s="2"/>
    </row>
    <row r="8" spans="1:27" ht="13.2" customHeight="1" x14ac:dyDescent="0.3">
      <c r="A8" s="1661"/>
      <c r="B8" s="1661"/>
      <c r="C8" s="1661"/>
      <c r="D8" s="1704"/>
      <c r="E8" s="1704"/>
      <c r="F8" s="1704"/>
      <c r="G8" s="1704"/>
      <c r="H8" s="1704"/>
      <c r="I8" s="1704"/>
      <c r="J8" s="1704"/>
      <c r="K8" s="1704"/>
      <c r="L8" s="1704"/>
      <c r="M8" s="1704"/>
      <c r="N8" s="1704"/>
      <c r="O8" s="1704"/>
      <c r="P8" s="392"/>
      <c r="Q8" s="2"/>
      <c r="R8" s="2"/>
      <c r="S8" s="46"/>
      <c r="T8" s="2"/>
      <c r="U8" s="2"/>
      <c r="V8" s="2"/>
      <c r="W8" s="2"/>
      <c r="X8" s="2"/>
      <c r="Y8" s="2"/>
      <c r="Z8" s="2"/>
    </row>
    <row r="9" spans="1:27" ht="19.2" customHeight="1" x14ac:dyDescent="0.35">
      <c r="A9" s="1762" t="s">
        <v>940</v>
      </c>
      <c r="B9" s="1762"/>
      <c r="C9" s="1762"/>
      <c r="D9" s="1762"/>
      <c r="E9" s="1762"/>
      <c r="F9" s="1762"/>
      <c r="G9" s="1762"/>
      <c r="H9" s="1762"/>
      <c r="I9" s="1762"/>
      <c r="J9" s="1762"/>
      <c r="K9" s="1762"/>
      <c r="L9" s="1228" t="str">
        <f>IF(OR(AND(Y1=1,F11="Government"),AND(Y1=2,F11="Conventional")),"Loan Type does not match I&amp;D Worksheet","")</f>
        <v/>
      </c>
      <c r="M9" s="1228"/>
      <c r="N9" s="1228"/>
      <c r="O9" s="1228"/>
      <c r="P9" s="1228"/>
      <c r="Q9" s="1228"/>
      <c r="R9" s="1228"/>
      <c r="S9" s="1228"/>
      <c r="T9" s="1228"/>
      <c r="U9" s="1228"/>
      <c r="V9" s="1228"/>
      <c r="W9" s="557"/>
      <c r="Y9" s="557"/>
      <c r="Z9" s="557"/>
      <c r="AA9" s="557"/>
    </row>
    <row r="10" spans="1:27" ht="17.399999999999999" customHeight="1" x14ac:dyDescent="0.3">
      <c r="A10" s="92"/>
      <c r="B10" s="92"/>
      <c r="C10" s="92"/>
      <c r="D10" s="92"/>
      <c r="E10" s="92"/>
      <c r="F10" s="92"/>
      <c r="G10" s="92"/>
      <c r="H10" s="92"/>
      <c r="I10" s="92"/>
      <c r="J10" s="92"/>
      <c r="K10" s="92"/>
      <c r="L10" s="92"/>
      <c r="M10" s="92"/>
      <c r="N10" s="92"/>
      <c r="O10" s="1700" t="s">
        <v>941</v>
      </c>
      <c r="P10" s="1700"/>
      <c r="Q10" s="1700"/>
      <c r="R10" s="1700"/>
      <c r="S10" s="558"/>
      <c r="T10" s="1700" t="s">
        <v>942</v>
      </c>
      <c r="U10" s="1700"/>
      <c r="V10" s="1700"/>
      <c r="W10" s="1700"/>
      <c r="X10" s="1700"/>
      <c r="Y10" s="1700"/>
      <c r="Z10" s="35"/>
    </row>
    <row r="11" spans="1:27" ht="15.6" x14ac:dyDescent="0.3">
      <c r="A11" s="4" t="s">
        <v>1</v>
      </c>
      <c r="B11" s="1701" t="s">
        <v>943</v>
      </c>
      <c r="C11" s="1701"/>
      <c r="D11" s="1701"/>
      <c r="E11" s="1701"/>
      <c r="F11" s="1702"/>
      <c r="G11" s="1702"/>
      <c r="H11" s="1702"/>
      <c r="I11" s="1702"/>
      <c r="J11" s="1702"/>
      <c r="K11" s="1702"/>
      <c r="L11" s="1702"/>
      <c r="M11" s="10"/>
      <c r="N11" s="10"/>
      <c r="O11" s="1703" t="str">
        <f>IF(F11="Conventional","Eligible",IF(F11="Government","Not Eligible on Government",""))</f>
        <v/>
      </c>
      <c r="P11" s="1703"/>
      <c r="Q11" s="1703"/>
      <c r="R11" s="1703"/>
      <c r="S11" s="10"/>
      <c r="T11" s="1703" t="str">
        <f>IF(F11="Conventional","Eligible",IF(F11="Government","",""))</f>
        <v/>
      </c>
      <c r="U11" s="1703"/>
      <c r="V11" s="1703"/>
      <c r="W11" s="1703"/>
      <c r="X11" s="1703"/>
      <c r="Y11" s="1703"/>
      <c r="Z11" s="6"/>
      <c r="AA11" s="3"/>
    </row>
    <row r="12" spans="1:27" ht="7.2" customHeight="1" x14ac:dyDescent="0.3">
      <c r="A12" s="4"/>
      <c r="B12" s="2"/>
      <c r="C12" s="2"/>
      <c r="D12" s="2"/>
      <c r="E12" s="535"/>
      <c r="F12" s="559"/>
      <c r="G12" s="559"/>
      <c r="H12" s="559"/>
      <c r="I12" s="559"/>
      <c r="J12" s="559"/>
      <c r="K12" s="559"/>
      <c r="L12" s="559"/>
      <c r="M12" s="535"/>
      <c r="N12" s="535"/>
      <c r="O12" s="535"/>
      <c r="P12" s="535"/>
      <c r="Q12" s="3"/>
      <c r="R12" s="3"/>
      <c r="S12" s="6"/>
      <c r="T12" s="11"/>
      <c r="U12" s="11"/>
      <c r="V12" s="6"/>
      <c r="W12" s="6"/>
      <c r="X12" s="6"/>
      <c r="Y12" s="6"/>
      <c r="Z12" s="6"/>
      <c r="AA12" s="3"/>
    </row>
    <row r="13" spans="1:27" ht="15.6" x14ac:dyDescent="0.3">
      <c r="A13" s="4" t="s">
        <v>2</v>
      </c>
      <c r="B13" s="1701" t="s">
        <v>944</v>
      </c>
      <c r="C13" s="1701"/>
      <c r="D13" s="1701"/>
      <c r="E13" s="1701"/>
      <c r="F13" s="1702"/>
      <c r="G13" s="1702"/>
      <c r="H13" s="1702"/>
      <c r="I13" s="1702"/>
      <c r="J13" s="1702"/>
      <c r="K13" s="1702"/>
      <c r="L13" s="1702"/>
      <c r="M13" s="535"/>
      <c r="N13" s="535"/>
      <c r="O13" s="1703" t="str">
        <f>IF(F13="Cash-out Refi","Not Eligible",IF(F13="","","Eligible"))</f>
        <v/>
      </c>
      <c r="P13" s="1703"/>
      <c r="Q13" s="1703"/>
      <c r="R13" s="1703"/>
      <c r="S13" s="535"/>
      <c r="T13" s="1703" t="str">
        <f>IF(F13="Cash-out Refi","Not Eligible",IF(F13="","","Eligible"))</f>
        <v/>
      </c>
      <c r="U13" s="1703"/>
      <c r="V13" s="1703"/>
      <c r="W13" s="1703"/>
      <c r="X13" s="1703"/>
      <c r="Y13" s="1703"/>
      <c r="Z13" s="205"/>
      <c r="AA13" s="3"/>
    </row>
    <row r="14" spans="1:27" ht="7.2" customHeight="1" x14ac:dyDescent="0.3">
      <c r="A14" s="4"/>
      <c r="B14" s="214" t="str">
        <f>IF(D8="Schedule C","    expense on Schedule C this can be subtracted, however this is uncommon",IF(D8="1065 (Partnership)","    if multiple owners, use borrower W2 amout for that year)",IF(D8="1120s (S Corporation)","    if multiple owners use borrower W2 amout for that year)",IF(D8="1120 (Full Corporation)","if multiple owners, use W2 amout, unless a Fiscal year in which case use the 1125-E)",""))))</f>
        <v/>
      </c>
      <c r="C14" s="214"/>
      <c r="D14" s="214"/>
      <c r="E14" s="214"/>
      <c r="F14" s="555"/>
      <c r="G14" s="555"/>
      <c r="H14" s="555"/>
      <c r="I14" s="555"/>
      <c r="J14" s="555"/>
      <c r="K14" s="555"/>
      <c r="L14" s="555"/>
      <c r="M14" s="214"/>
      <c r="N14" s="214"/>
      <c r="O14" s="214"/>
      <c r="P14" s="214"/>
      <c r="Q14" s="214"/>
      <c r="R14" s="214"/>
      <c r="S14" s="214"/>
      <c r="T14" s="205"/>
      <c r="U14" s="205"/>
      <c r="V14" s="6"/>
      <c r="W14" s="6"/>
      <c r="X14" s="6"/>
      <c r="Y14" s="6"/>
      <c r="Z14" s="205"/>
      <c r="AA14" s="3"/>
    </row>
    <row r="15" spans="1:27" ht="15.6" x14ac:dyDescent="0.3">
      <c r="A15" s="4" t="s">
        <v>3</v>
      </c>
      <c r="B15" s="1701" t="s">
        <v>945</v>
      </c>
      <c r="C15" s="1701"/>
      <c r="D15" s="1701"/>
      <c r="E15" s="1701"/>
      <c r="F15" s="1702"/>
      <c r="G15" s="1702"/>
      <c r="H15" s="1702"/>
      <c r="I15" s="1702"/>
      <c r="J15" s="1702"/>
      <c r="K15" s="1702"/>
      <c r="L15" s="1702"/>
      <c r="M15" s="535"/>
      <c r="N15" s="535"/>
      <c r="O15" s="1703" t="str">
        <f>IF(F15="Investment","Not Eligible",IF(F15="","","Eligible"))</f>
        <v/>
      </c>
      <c r="P15" s="1703"/>
      <c r="Q15" s="1703"/>
      <c r="R15" s="1703"/>
      <c r="S15" s="11"/>
      <c r="T15" s="1703" t="str">
        <f>IF(F15="Investment","Not Eligible",IF(F15="","","Eligible"))</f>
        <v/>
      </c>
      <c r="U15" s="1703"/>
      <c r="V15" s="1703"/>
      <c r="W15" s="1703"/>
      <c r="X15" s="1703"/>
      <c r="Y15" s="1703"/>
      <c r="Z15" s="11"/>
      <c r="AA15" s="3"/>
    </row>
    <row r="16" spans="1:27" ht="7.2" customHeight="1" x14ac:dyDescent="0.3">
      <c r="A16" s="4"/>
      <c r="B16" s="2"/>
      <c r="C16" s="2"/>
      <c r="D16" s="2"/>
      <c r="E16" s="2"/>
      <c r="F16" s="372"/>
      <c r="G16" s="372"/>
      <c r="H16" s="372"/>
      <c r="I16" s="372"/>
      <c r="J16" s="372"/>
      <c r="K16" s="372"/>
      <c r="L16" s="372"/>
      <c r="M16" s="535"/>
      <c r="N16" s="535"/>
      <c r="O16" s="535"/>
      <c r="P16" s="535"/>
      <c r="Q16" s="3"/>
      <c r="R16" s="3"/>
      <c r="S16" s="11"/>
      <c r="T16" s="11"/>
      <c r="U16" s="11"/>
      <c r="V16" s="14"/>
      <c r="W16" s="14"/>
      <c r="X16" s="14"/>
      <c r="Y16" s="14"/>
      <c r="Z16" s="11"/>
      <c r="AA16" s="3"/>
    </row>
    <row r="17" spans="1:36" ht="15.6" x14ac:dyDescent="0.3">
      <c r="A17" s="4" t="s">
        <v>4</v>
      </c>
      <c r="B17" s="1701" t="s">
        <v>946</v>
      </c>
      <c r="C17" s="1701"/>
      <c r="D17" s="1701"/>
      <c r="E17" s="1701"/>
      <c r="F17" s="1702"/>
      <c r="G17" s="1702"/>
      <c r="H17" s="1702"/>
      <c r="I17" s="1702"/>
      <c r="J17" s="1702"/>
      <c r="K17" s="1702"/>
      <c r="L17" s="1702"/>
      <c r="M17" s="2"/>
      <c r="N17" s="2"/>
      <c r="O17" s="1703" t="str">
        <f>IF(F17="Other","Not Eligible",IF(F17="","","Eligible"))</f>
        <v/>
      </c>
      <c r="P17" s="1703"/>
      <c r="Q17" s="1703"/>
      <c r="R17" s="1703"/>
      <c r="S17" s="11"/>
      <c r="T17" s="1703" t="str">
        <f>IF(F17="Other","Not Eligible",IF(F17="3 or 4 Units","Not Eligible",IF(F17="","","Eligible")))</f>
        <v/>
      </c>
      <c r="U17" s="1703"/>
      <c r="V17" s="1703"/>
      <c r="W17" s="1703"/>
      <c r="X17" s="1703"/>
      <c r="Y17" s="1703"/>
      <c r="Z17" s="11"/>
      <c r="AA17" s="3"/>
    </row>
    <row r="18" spans="1:36" ht="7.2" customHeight="1" x14ac:dyDescent="0.3">
      <c r="A18" s="4"/>
      <c r="B18" s="2"/>
      <c r="C18" s="2"/>
      <c r="D18" s="2"/>
      <c r="E18" s="2"/>
      <c r="F18" s="372"/>
      <c r="G18" s="372"/>
      <c r="H18" s="372"/>
      <c r="I18" s="372"/>
      <c r="J18" s="372"/>
      <c r="K18" s="372"/>
      <c r="L18" s="372"/>
      <c r="M18" s="535"/>
      <c r="N18" s="535"/>
      <c r="O18" s="535"/>
      <c r="P18" s="535"/>
      <c r="Q18" s="3"/>
      <c r="R18" s="3"/>
      <c r="S18" s="11"/>
      <c r="T18" s="11"/>
      <c r="U18" s="11"/>
      <c r="V18" s="14"/>
      <c r="W18" s="14"/>
      <c r="X18" s="14"/>
      <c r="Y18" s="14"/>
      <c r="Z18" s="11"/>
      <c r="AA18" s="3"/>
    </row>
    <row r="19" spans="1:36" ht="15.6" customHeight="1" x14ac:dyDescent="0.3">
      <c r="A19" s="4" t="s">
        <v>5</v>
      </c>
      <c r="B19" s="1701" t="s">
        <v>947</v>
      </c>
      <c r="C19" s="1701"/>
      <c r="D19" s="1701"/>
      <c r="E19" s="1701"/>
      <c r="F19" s="1702"/>
      <c r="G19" s="1702"/>
      <c r="H19" s="1702"/>
      <c r="I19" s="1702"/>
      <c r="J19" s="1702"/>
      <c r="K19" s="1702"/>
      <c r="L19" s="1702"/>
      <c r="M19" s="3"/>
      <c r="N19" s="208"/>
      <c r="O19" s="1703" t="str">
        <f>IF(F19="Greater than 80.00%","Not Eligible",IF(AND(F19="70.01% - 80.00%",Y80=0),"Answer #6 and #7",IF(AND(F19="70.01% - 80.00%",Y80=1),"Eligible",IF(AND(F19="70.01% - 80.00%",Y80=2),"Not Eligible",IF(F19="","","Eligible")))))</f>
        <v/>
      </c>
      <c r="P19" s="1703"/>
      <c r="Q19" s="1703"/>
      <c r="R19" s="1703"/>
      <c r="S19" s="11"/>
      <c r="T19" s="1703" t="str">
        <f>IF(F19="Greater than 80.00%","Not Eligible",IF(F19="","","Eligible"))</f>
        <v/>
      </c>
      <c r="U19" s="1703"/>
      <c r="V19" s="1703"/>
      <c r="W19" s="1703"/>
      <c r="X19" s="1703"/>
      <c r="Y19" s="1703"/>
      <c r="Z19" s="378"/>
      <c r="AA19" s="3"/>
    </row>
    <row r="20" spans="1:36" ht="6.6" customHeight="1" x14ac:dyDescent="0.3">
      <c r="A20" s="116"/>
      <c r="B20" s="45"/>
      <c r="C20" s="45"/>
      <c r="D20" s="45"/>
      <c r="E20" s="45"/>
      <c r="F20" s="553"/>
      <c r="G20" s="553"/>
      <c r="H20" s="553"/>
      <c r="I20" s="553"/>
      <c r="J20" s="553"/>
      <c r="K20" s="553"/>
      <c r="L20" s="553"/>
      <c r="M20" s="45"/>
      <c r="N20" s="45"/>
      <c r="O20" s="560"/>
      <c r="P20" s="529"/>
      <c r="Q20" s="529"/>
      <c r="R20" s="529"/>
      <c r="S20" s="378"/>
      <c r="T20" s="378"/>
      <c r="U20" s="378"/>
      <c r="V20" s="22"/>
      <c r="W20" s="22"/>
      <c r="X20" s="22"/>
      <c r="Y20" s="22"/>
      <c r="Z20" s="378"/>
      <c r="AA20" s="529"/>
    </row>
    <row r="21" spans="1:36" ht="15.6" customHeight="1" x14ac:dyDescent="0.3">
      <c r="A21" s="4" t="s">
        <v>6</v>
      </c>
      <c r="B21" s="1701" t="s">
        <v>948</v>
      </c>
      <c r="C21" s="1701"/>
      <c r="D21" s="1701"/>
      <c r="E21" s="1701"/>
      <c r="F21" s="1705"/>
      <c r="G21" s="1705"/>
      <c r="H21" s="1705"/>
      <c r="I21" s="1705"/>
      <c r="J21" s="1705"/>
      <c r="K21" s="561" t="s">
        <v>949</v>
      </c>
      <c r="L21" s="562" t="str">
        <f>IF(F21&lt;&gt;"",ROUNDDOWN((F22-K22)/365.25,1),"")</f>
        <v/>
      </c>
      <c r="M21" s="563" t="str">
        <f>IF(AND(C82=TRUE,L21&lt;59.5),59.5,L21)</f>
        <v/>
      </c>
      <c r="N21" s="564"/>
      <c r="O21" s="1706" t="str">
        <f>IF(AND(X80=3,A41="Error"),"Error",IF(AND(A41&lt;&gt;"Error",O11="Eligible",O13="Eligible",O15="Eligible",O17="Eligible",O19="Eligible",F21&lt;&gt;"",F11&lt;&gt;"",F13&lt;&gt;"",F15&lt;&gt;"",F17&lt;&gt;"",F19&lt;&gt;""),"Eligible",IF(AND(A41&lt;&gt;"Error",F21&lt;&gt;"",F11&lt;&gt;"",F13&lt;&gt;"",F15&lt;&gt;"",F17&lt;&gt;"",F19&lt;&gt;"",OR(O11="Not Eligible",O13="Not Eligible",O15="Not Eligible",O17="Not Eligible",O19="Not Eligible")),"Not Eligible","Error")))</f>
        <v>Error</v>
      </c>
      <c r="P21" s="1706"/>
      <c r="Q21" s="1706"/>
      <c r="R21" s="1706"/>
      <c r="S21" s="529"/>
      <c r="T21" s="1706" t="str">
        <f>IF(AND(X80=3,A41="Error"),"Error",IF(AND(F21&lt;&gt;"",F11&lt;&gt;"",F13&lt;&gt;"",F15&lt;&gt;"",F17&lt;&gt;"",F19&lt;&gt;"",A41&lt;&gt;"Error",T11="Eligible",T13="Eligible",T15="Eligible",T17="Eligible",T19="Eligible"),"Eligible",IF(AND(A41&lt;&gt;"Error",F21&lt;&gt;"",F11&lt;&gt;"",F13&lt;&gt;"",F15&lt;&gt;"",F17&lt;&gt;"",F19&lt;&gt;"",OR(T11="Not Eligible",T13="Not Eligible",T15="Not Eligible",T17="Not Eligible",T19="Not Eligible")),"Not Eligible","Error")))</f>
        <v>Error</v>
      </c>
      <c r="U21" s="1706"/>
      <c r="V21" s="1706"/>
      <c r="W21" s="1706"/>
      <c r="X21" s="1706"/>
      <c r="Y21" s="1706"/>
      <c r="Z21" s="378"/>
      <c r="AA21" s="529"/>
    </row>
    <row r="22" spans="1:36" ht="7.8" customHeight="1" x14ac:dyDescent="0.3">
      <c r="A22" s="116"/>
      <c r="B22" s="529"/>
      <c r="C22" s="565"/>
      <c r="D22" s="565"/>
      <c r="E22" s="565"/>
      <c r="F22" s="566">
        <f ca="1">TODAY()</f>
        <v>46050</v>
      </c>
      <c r="G22" s="566"/>
      <c r="H22" s="566"/>
      <c r="I22" s="566"/>
      <c r="J22" s="566"/>
      <c r="K22" s="566">
        <f>F21</f>
        <v>0</v>
      </c>
      <c r="L22" s="567"/>
      <c r="M22" s="565"/>
      <c r="N22" s="565"/>
      <c r="O22" s="1707"/>
      <c r="P22" s="1707"/>
      <c r="Q22" s="1707"/>
      <c r="R22" s="568"/>
      <c r="S22" s="45"/>
      <c r="T22" s="569"/>
      <c r="U22" s="569"/>
      <c r="V22" s="569"/>
      <c r="W22" s="569"/>
      <c r="X22" s="569"/>
      <c r="Y22" s="569"/>
      <c r="Z22" s="378"/>
      <c r="AA22" s="529"/>
    </row>
    <row r="23" spans="1:36" ht="13.8" customHeight="1" x14ac:dyDescent="0.3">
      <c r="A23" s="1708" t="s">
        <v>7</v>
      </c>
      <c r="B23" s="1709" t="s">
        <v>950</v>
      </c>
      <c r="C23" s="1710"/>
      <c r="D23" s="1710"/>
      <c r="E23" s="1710"/>
      <c r="F23" s="1710"/>
      <c r="G23" s="1710"/>
      <c r="H23" s="1710"/>
      <c r="I23" s="1710"/>
      <c r="J23" s="1710"/>
      <c r="K23" s="1710"/>
      <c r="L23" s="1710"/>
      <c r="M23" s="1710"/>
      <c r="N23" s="1710"/>
      <c r="O23" s="1710"/>
      <c r="P23" s="1710"/>
      <c r="Q23" s="1710"/>
      <c r="R23" s="1711" t="str">
        <f>IF(AND(Y80=1,L21&lt;62),"Borrower is not 62;","")</f>
        <v/>
      </c>
      <c r="S23" s="1711"/>
      <c r="T23" s="1711"/>
      <c r="U23" s="1711"/>
      <c r="V23" s="1711"/>
      <c r="W23" s="1711"/>
      <c r="X23" s="1711"/>
      <c r="Y23" s="1711"/>
      <c r="Z23" s="570"/>
      <c r="AA23" s="529"/>
    </row>
    <row r="24" spans="1:36" ht="13.8" customHeight="1" x14ac:dyDescent="0.3">
      <c r="A24" s="1708"/>
      <c r="B24" s="1710"/>
      <c r="C24" s="1710"/>
      <c r="D24" s="1710"/>
      <c r="E24" s="1710"/>
      <c r="F24" s="1710"/>
      <c r="G24" s="1710"/>
      <c r="H24" s="1710"/>
      <c r="I24" s="1710"/>
      <c r="J24" s="1710"/>
      <c r="K24" s="1710"/>
      <c r="L24" s="1710"/>
      <c r="M24" s="1710"/>
      <c r="N24" s="1710"/>
      <c r="O24" s="1710"/>
      <c r="P24" s="1710"/>
      <c r="Q24" s="1710"/>
      <c r="R24" s="1712" t="str">
        <f>IF(AND(Y80=1,L21&lt;62),"Please correct or explain in notes","")</f>
        <v/>
      </c>
      <c r="S24" s="1712"/>
      <c r="T24" s="1712"/>
      <c r="U24" s="1712"/>
      <c r="V24" s="1712"/>
      <c r="W24" s="1712"/>
      <c r="X24" s="1712"/>
      <c r="Y24" s="1712"/>
      <c r="Z24" s="570"/>
      <c r="AA24" s="529"/>
    </row>
    <row r="25" spans="1:36" ht="24" customHeight="1" x14ac:dyDescent="0.3">
      <c r="A25" s="116"/>
      <c r="B25" s="529"/>
      <c r="C25" s="529"/>
      <c r="D25" s="529"/>
      <c r="E25" s="529"/>
      <c r="F25" s="529"/>
      <c r="G25" s="529"/>
      <c r="H25" s="529"/>
      <c r="I25" s="529"/>
      <c r="J25" s="529"/>
      <c r="K25" s="529"/>
      <c r="L25" s="529"/>
      <c r="M25" s="529"/>
      <c r="N25" s="529"/>
      <c r="O25" s="529"/>
      <c r="P25" s="529"/>
      <c r="Q25" s="529"/>
      <c r="R25" s="529"/>
      <c r="S25" s="570"/>
      <c r="T25" s="570"/>
      <c r="U25" s="570"/>
      <c r="V25" s="570"/>
      <c r="W25" s="570"/>
      <c r="X25" s="570"/>
      <c r="Y25" s="570"/>
      <c r="Z25" s="570"/>
      <c r="AA25" s="529"/>
    </row>
    <row r="26" spans="1:36" ht="19.8" customHeight="1" x14ac:dyDescent="0.3">
      <c r="A26" s="1418" t="s">
        <v>951</v>
      </c>
      <c r="B26" s="1418"/>
      <c r="C26" s="1418"/>
      <c r="D26" s="1418"/>
      <c r="E26" s="1418"/>
      <c r="F26" s="1418"/>
      <c r="G26" s="1418"/>
      <c r="H26" s="1418"/>
      <c r="I26" s="1418"/>
      <c r="J26" s="1418"/>
      <c r="K26" s="1418"/>
      <c r="L26" s="1418"/>
      <c r="M26" s="1418"/>
      <c r="N26" s="1418"/>
      <c r="O26" s="1418"/>
      <c r="P26" s="1418"/>
      <c r="Q26" s="1418"/>
      <c r="R26" s="1418"/>
      <c r="S26" s="1418"/>
      <c r="T26" s="1418"/>
      <c r="U26" s="1418"/>
      <c r="V26" s="1418"/>
      <c r="W26" s="1418"/>
      <c r="X26" s="1418"/>
      <c r="Y26" s="1418"/>
      <c r="Z26" s="1418"/>
      <c r="AA26" s="1418"/>
      <c r="AJ26" s="421"/>
    </row>
    <row r="27" spans="1:36" ht="13.2" customHeight="1" x14ac:dyDescent="0.3">
      <c r="A27" s="116"/>
      <c r="B27" s="529"/>
      <c r="C27" s="529"/>
      <c r="D27" s="529"/>
      <c r="E27" s="529"/>
      <c r="F27" s="529"/>
      <c r="G27" s="529"/>
      <c r="H27" s="529"/>
      <c r="I27" s="529"/>
      <c r="J27" s="529"/>
      <c r="K27" s="529"/>
      <c r="L27" s="529"/>
      <c r="M27" s="529"/>
      <c r="N27" s="529"/>
      <c r="O27" s="529"/>
      <c r="P27" s="529"/>
      <c r="Q27" s="529"/>
      <c r="R27" s="529"/>
      <c r="S27" s="378"/>
      <c r="T27" s="378"/>
      <c r="U27" s="378"/>
      <c r="V27" s="378"/>
      <c r="W27" s="378"/>
      <c r="X27" s="378"/>
      <c r="Y27" s="378"/>
      <c r="AA27" s="529"/>
    </row>
    <row r="28" spans="1:36" s="74" customFormat="1" ht="17.399999999999999" customHeight="1" x14ac:dyDescent="0.3">
      <c r="A28" s="23" t="s">
        <v>1</v>
      </c>
      <c r="B28" s="1719" t="s">
        <v>952</v>
      </c>
      <c r="C28" s="1719"/>
      <c r="D28" s="1719"/>
      <c r="E28" s="1719"/>
      <c r="F28" s="1719"/>
      <c r="H28" s="1720" t="s">
        <v>953</v>
      </c>
      <c r="I28" s="1720"/>
      <c r="J28" s="1720"/>
      <c r="K28" s="1720"/>
      <c r="L28" s="1720"/>
      <c r="M28" s="1720"/>
      <c r="N28" s="1720"/>
      <c r="O28" s="1720"/>
      <c r="P28" s="1720"/>
      <c r="Q28" s="1720" t="s">
        <v>138</v>
      </c>
      <c r="R28" s="1720"/>
      <c r="S28" s="1720"/>
      <c r="T28" s="1720"/>
      <c r="V28" s="1720" t="s">
        <v>139</v>
      </c>
      <c r="W28" s="1720"/>
      <c r="X28" s="1720"/>
      <c r="Y28" s="1720"/>
      <c r="Z28" s="571" t="s">
        <v>954</v>
      </c>
      <c r="AA28" s="55"/>
      <c r="AB28" s="572"/>
      <c r="AC28" s="572"/>
      <c r="AD28" s="572"/>
      <c r="AE28" s="572"/>
    </row>
    <row r="29" spans="1:36" ht="16.8" customHeight="1" x14ac:dyDescent="0.3">
      <c r="A29" s="134"/>
      <c r="B29" s="1721"/>
      <c r="C29" s="1721"/>
      <c r="D29" s="1721"/>
      <c r="E29" s="1721"/>
      <c r="F29" s="1721"/>
      <c r="G29" s="1721"/>
      <c r="H29" s="1443"/>
      <c r="I29" s="1443"/>
      <c r="J29" s="1443"/>
      <c r="K29" s="1443"/>
      <c r="L29" s="1443"/>
      <c r="M29" s="1443"/>
      <c r="N29" s="1443"/>
      <c r="O29" s="1443"/>
      <c r="P29" s="1443"/>
      <c r="Q29" s="1722"/>
      <c r="R29" s="1722"/>
      <c r="S29" s="1722"/>
      <c r="T29" s="1722"/>
      <c r="U29" s="573"/>
      <c r="V29" s="1723"/>
      <c r="W29" s="1723"/>
      <c r="X29" s="1723"/>
      <c r="Y29" s="1723"/>
      <c r="Z29" s="574" t="s">
        <v>955</v>
      </c>
      <c r="AA29" s="529"/>
    </row>
    <row r="30" spans="1:36" ht="12" customHeight="1" x14ac:dyDescent="0.3">
      <c r="A30" s="1713" t="str">
        <f>IF(OR(A32&lt;&gt;"",A33&lt;&gt;"",A34&lt;&gt;"",A35&lt;&gt;"",A36&lt;&gt;"",A37&lt;&gt;"",A38&lt;&gt;"",A39&lt;&gt;"",A40&lt;&gt;"",A41&lt;&gt;"",A42&lt;&gt;""),"Ineligible
for:","")</f>
        <v/>
      </c>
      <c r="B30" s="1713"/>
      <c r="C30" s="115"/>
      <c r="D30" s="115"/>
      <c r="E30" s="115"/>
      <c r="F30" s="115"/>
      <c r="G30" s="115"/>
      <c r="H30" s="135"/>
      <c r="I30" s="135"/>
      <c r="J30" s="135"/>
      <c r="K30" s="135"/>
      <c r="O30" s="134"/>
      <c r="P30" s="553"/>
      <c r="Q30" s="553"/>
      <c r="R30" s="553"/>
      <c r="S30" s="553"/>
      <c r="T30" s="573"/>
      <c r="U30" s="573"/>
      <c r="V30" s="575"/>
      <c r="W30" s="575"/>
      <c r="X30" s="575"/>
      <c r="Y30" s="575"/>
      <c r="Z30" s="576" t="s">
        <v>956</v>
      </c>
      <c r="AA30" s="529"/>
    </row>
    <row r="31" spans="1:36" ht="16.2" customHeight="1" x14ac:dyDescent="0.3">
      <c r="A31" s="1713"/>
      <c r="B31" s="1713"/>
      <c r="C31" s="1714" t="s">
        <v>957</v>
      </c>
      <c r="D31" s="1714"/>
      <c r="E31" s="1714"/>
      <c r="F31" s="1714"/>
      <c r="G31" s="1714"/>
      <c r="H31" s="1714"/>
      <c r="I31" s="1714"/>
      <c r="J31" s="1714"/>
      <c r="K31" s="1714"/>
      <c r="L31" s="1714"/>
      <c r="M31" s="1714"/>
      <c r="N31" s="1714"/>
      <c r="O31" s="1714"/>
      <c r="P31" s="1714"/>
      <c r="Q31" s="1714"/>
      <c r="R31" s="1715" t="s">
        <v>941</v>
      </c>
      <c r="S31" s="1715"/>
      <c r="T31" s="1715"/>
      <c r="U31" s="1715"/>
      <c r="V31" s="1715"/>
      <c r="W31" s="1715"/>
      <c r="X31" s="1715"/>
      <c r="Y31" s="1715"/>
      <c r="Z31" s="576" t="s">
        <v>958</v>
      </c>
      <c r="AA31" s="529"/>
      <c r="AB31" s="577" t="s">
        <v>941</v>
      </c>
      <c r="AE31" s="577" t="s">
        <v>942</v>
      </c>
      <c r="AF31" s="578"/>
    </row>
    <row r="32" spans="1:36" ht="14.4" customHeight="1" x14ac:dyDescent="0.3">
      <c r="A32" s="1716" t="str">
        <f>IF(AND(X80=4,AC32&lt;&gt;"error",AB32="No",AF32="Yes"),"Fannie",
IF(AND(X80=4,AC32&lt;&gt;"error",AB32="Yes",AF32="No"),"Freddie",
IF(AND(X80=4,AC32&lt;&gt;"error",AB32="No",AF32="No"),"Both",
IF(AND(X80=4,AC32="Error"),"Error",
IF(AND(X80&lt;&gt;4,AB32="No",AE32="Yes"),"Fannie",
IF(AND(X80&lt;&gt;4,AB32="Yes",AE32="No"),"Freddie",
IF(AND(X80&lt;&gt;4,AB32="No",AE32="No"),"Both","")))))))</f>
        <v/>
      </c>
      <c r="B32" s="1716"/>
      <c r="C32" s="1717" t="str">
        <f>IF(X80=1,"-",IF(X80=2,"- 100% Owned by borrower(s)",IF(X80=3,"- 100% Owned by borrower(s)",IF(X80=4,"- All asset owners on Mortgage;",IF(X80=5,"- Proceeds from sale 100% owned by Borrower(s) ","-")))))</f>
        <v>-</v>
      </c>
      <c r="D32" s="1717"/>
      <c r="E32" s="1717"/>
      <c r="F32" s="1717"/>
      <c r="G32" s="1717"/>
      <c r="H32" s="1717"/>
      <c r="I32" s="1717"/>
      <c r="J32" s="1717"/>
      <c r="K32" s="1717"/>
      <c r="L32" s="1717"/>
      <c r="M32" s="1717"/>
      <c r="N32" s="1717"/>
      <c r="O32" s="1717"/>
      <c r="P32" s="1717"/>
      <c r="Q32" s="1717"/>
      <c r="R32" s="1718" t="str">
        <f>IF(AB45="Eligible","Eligible",IF(AB45="Not Elig.","Not Eligible",IF(AB45="Error","Error - Correct Selections","")))</f>
        <v>Error - Correct Selections</v>
      </c>
      <c r="S32" s="1718"/>
      <c r="T32" s="1718"/>
      <c r="U32" s="1718"/>
      <c r="V32" s="1718"/>
      <c r="W32" s="1718"/>
      <c r="X32" s="1718"/>
      <c r="Y32" s="1718"/>
      <c r="Z32" s="581"/>
      <c r="AA32" s="529"/>
      <c r="AB32" s="582" t="str">
        <f>IF(X80=1,"",
IF(AND(X80=2,C80=TRUE),"Yes",IF(AND(X80=2,C80=FALSE),"No",
IF(AND(X80=3,C80=TRUE),"Yes",IF(AND(X80=3,C80=FALSE),"No",
IF(AND(X80=4,C80=TRUE),"Yes",IF(AND(X80=4,C80=FALSE),"No",
IF(AND(X80=5,C80=TRUE),"No",IF(AND(X80=5,C80=FALSE),"No","")))))))))</f>
        <v/>
      </c>
      <c r="AC32" s="1724" t="str">
        <f>IF(AND(X80=4,C80=TRUE,D80=TRUE),"Error","")</f>
        <v/>
      </c>
      <c r="AE32" s="582" t="str">
        <f>IF(X80=1,"",
IF(AND(X80=2,C80=TRUE),"Yes",IF(AND(X80=2,C80=FALSE),"No",
IF(AND(X80=3,C80=TRUE),"Yes",IF(AND(X80=3,C80=FALSE),"No",
IF(AND(X80=4,C80=TRUE),"Yes",IF(AND(X80=4,C80=FALSE),"No",
IF(AND(X80=5,C80=TRUE),"Yes",IF(AND(X80=5,C80=FALSE),"No","")))))))))</f>
        <v/>
      </c>
      <c r="AF32" s="1725" t="str">
        <f>IF(AND(X80=4,C80=TRUE,D80=FALSE),"Yes",IF(AND(X80=4,C80=FALSE,D80=FALSE),"No",IF(AND(X80=4,C80=TRUE,D80=TRUE),"Error",IF(AND(X80=4,C80=FALSE,D80=TRUE),"Yes",""))))</f>
        <v/>
      </c>
    </row>
    <row r="33" spans="1:32" ht="14.4" customHeight="1" x14ac:dyDescent="0.3">
      <c r="A33" s="1716" t="str">
        <f>IF(AND(X80=4,AC32&lt;&gt;"error",AB33="No",AF32="Yes"),"Fannie",
IF(AND(X80=4,AC32&lt;&gt;"error",AB33="Yes",AF32="No"),"Freddie",
IF(AND(X80=4,AC32&lt;&gt;"error",AB33="No",AF32="No"),"Both",
IF(AND(X80=4,AC32="Error"),"Error",
IF(AND(X80&lt;&gt;4,AB33="No",AE33="Yes"),"Fannie",
IF(AND(X80&lt;&gt;4,AB33="Yes",AE33="No"),"Freddie",
IF(AND(X80&lt;&gt;4,AB33="No",AE33="No"),"Both","")))))))</f>
        <v/>
      </c>
      <c r="B33" s="1716"/>
      <c r="C33" s="1717" t="str">
        <f>IF(X80=1,"-",IF(X80=2,"- Assets are in a retirement account recognized by the IRS  (e.g., 401(k), IRA…)",IF(X80=3,"- Proceeds came from a retirement asset recognized by IRS  (issues 1099-R: e.g., 401(k), IRA…)",IF(X80=4,"-  or; Not all assets owners on Mortgage but all asset owners on mortgage and/or Title",IF(X80=5,"- Proceeds were deposited into a depository or non-retirment security account","-")))))</f>
        <v>-</v>
      </c>
      <c r="D33" s="1717"/>
      <c r="E33" s="1717"/>
      <c r="F33" s="1717"/>
      <c r="G33" s="1717"/>
      <c r="H33" s="1717"/>
      <c r="I33" s="1717"/>
      <c r="J33" s="1717"/>
      <c r="K33" s="1717"/>
      <c r="L33" s="1717"/>
      <c r="M33" s="1717"/>
      <c r="N33" s="1717"/>
      <c r="O33" s="1717"/>
      <c r="P33" s="1717"/>
      <c r="Q33" s="1717"/>
      <c r="R33" s="1657" t="str">
        <f>IF(AND(R32="Eligible",X80=2,M21&lt;59.5,AC36=""),"Minus 10% for early withdrawal",IF(AND(R32="Eligible",X80=2,M21&gt;=59.5,AC36="30%"),"",IF(AND(R32="Eligible",X80=2,M21&lt;59.5,AC36="30%"),"",IF(AND(R32="Eligible",OR(X80=3,X80=4),G80=TRUE),"",IF(AND(R32="Not Eligible",X80=5),"Proceeds from sale of a business
 cannot be used as income for Fannie",IF(AND(R32="Not Eligible",X80&lt;&gt;5),"(Based on selections)",""))))))</f>
        <v/>
      </c>
      <c r="S33" s="1657"/>
      <c r="T33" s="1657"/>
      <c r="U33" s="1657"/>
      <c r="V33" s="1657"/>
      <c r="W33" s="1657"/>
      <c r="X33" s="1657"/>
      <c r="Y33" s="1657"/>
      <c r="AA33" s="529"/>
      <c r="AB33" s="582" t="str">
        <f>IF(X80=1,"",
IF(AND(X80=2,D80=TRUE),"Yes",IF(AND(X80=2,D80=FALSE),"No",
IF(AND(X80=3,D80=TRUE),"Yes",IF(AND(X80=3,D80=FALSE),"No",
IF(AND(X80=4,D80=TRUE),"No",IF(AND(X80=4,D80=FALSE),"Yes",
IF(AND(X80=5,D80=TRUE),"No",IF(AND(X80=5,D80=FALSE),"No","")))))))))</f>
        <v/>
      </c>
      <c r="AC33" s="1724"/>
      <c r="AE33" s="582" t="str">
        <f>IF(X80=1,"",
IF(AND(X80=2,D80=TRUE),"Yes",IF(AND(X80=2,D80=FALSE),"No",
IF(AND(X80=3,D80=TRUE),"Yes",IF(AND(X80=3,D80=FALSE),"No",
IF(AND(X80=4,D80=TRUE),"Yes",IF(AND(X80=4,D80=FALSE),"Yes",
IF(AND(X80=5,D80=TRUE),"Yes",IF(AND(X80=5,D80=FALSE),"No","")))))))))</f>
        <v/>
      </c>
      <c r="AF33" s="1725"/>
    </row>
    <row r="34" spans="1:32" ht="14.4" customHeight="1" x14ac:dyDescent="0.3">
      <c r="A34" s="1726" t="str">
        <f>IF(AND(AC34&lt;&gt;"error",AB34="No",AF34="Yes"),"Fannie",
IF(AND(AC34&lt;&gt;"error",AB34="Yes",AF34="No"),"Freddie",
IF(AND(AC34&lt;&gt;"error",AB34="No",AF34="No"),"Both",
IF(AND(AC34="Error"),"Error",""))))</f>
        <v/>
      </c>
      <c r="B34" s="1726"/>
      <c r="C34" s="1717" t="str">
        <f>IF(X80=1,"-",IF(X80=2,"- Borrower(s) have unrestricted access to all funds and rights are fully vested (other than borrowers age);",IF(X80=3,"- Borrower(s) have immediate/unrestricted access to all funds (other than age);",IF(X80=4,"- Borrower(s) have immediate/unrestricted access to all funds (other than age)",IF(X80=5,"- Borrower(s) have immediate/unrestricted access to all funds (other than age);","-")))))</f>
        <v>-</v>
      </c>
      <c r="D34" s="1717"/>
      <c r="E34" s="1717"/>
      <c r="F34" s="1717"/>
      <c r="G34" s="1717"/>
      <c r="H34" s="1717"/>
      <c r="I34" s="1717"/>
      <c r="J34" s="1717"/>
      <c r="K34" s="1717"/>
      <c r="L34" s="1717"/>
      <c r="M34" s="1717"/>
      <c r="N34" s="1717"/>
      <c r="O34" s="1717"/>
      <c r="P34" s="1717"/>
      <c r="Q34" s="1717"/>
      <c r="R34" s="1657"/>
      <c r="S34" s="1657"/>
      <c r="T34" s="1657"/>
      <c r="U34" s="1657"/>
      <c r="V34" s="1657"/>
      <c r="W34" s="1657"/>
      <c r="X34" s="1657"/>
      <c r="Y34" s="1657"/>
      <c r="AA34" s="529"/>
      <c r="AB34" s="582" t="str">
        <f>IF(X80=1,"",
IF(AND(X80=2,E80=TRUE),"Yes",IF(AND(X80=2,E80=FALSE),"No",
IF(AND(X80=3,E80=TRUE),"Yes",IF(AND(X80=3,E80=FALSE),"No",
IF(AND(X80=4,E80=TRUE),"Yes",IF(AND(X80=4,E80=FALSE),"No",
IF(AND(X80=5,E80=TRUE),"No",IF(AND(X80=5,E80=FALSE),"No","")))))))))</f>
        <v/>
      </c>
      <c r="AC34" s="1727" t="str">
        <f>IF(AF34="Error","Error","")</f>
        <v/>
      </c>
      <c r="AE34" s="582" t="str">
        <f>IF(X80=1,"",
IF(AND(X80=2,E80=TRUE),"Yes",IF(AND(X80=2,E80=FALSE),"No",
IF(AND(X80=3,E80=TRUE),"Yes",IF(AND(X80=3,E80=FALSE),"No",
IF(AND(X80=4,E80=TRUE),"Yes",IF(AND(X80=4,E80=FALSE),"No",
IF(AND(X80=5,E80=TRUE),"Yes",IF(AND(X80=5,E80=FALSE),"No","")))))))))</f>
        <v/>
      </c>
      <c r="AF34" s="1728" t="str">
        <f>IF(AND(X80=2,E80=TRUE,F80=FALSE),"Yes",IF(AND(X80=2,E80=FALSE,F80=TRUE),"Yes",IF(AND(X80=2,E80=TRUE,F80=TRUE),"Error",IF(AND(X80=2,E80=FALSE,F80=FALSE),"No",
IF(AND(X80=3,E80=TRUE,F80=FALSE),"Yes",IF(AND(X80=3,E80=FALSE,F80=TRUE),"No",IF(AND(X80=3,E80=TRUE,F80=TRUE),"Error",IF(AND(X80=3,E80=FALSE,F80=FALSE),"No",
IF(AND(X80=4,E80=TRUE,F80=FALSE),"Yes",IF(AND(X80=4,E80=FALSE,F80=TRUE),"Yes",IF(AND(X80=4,E80=TRUE,F80=TRUE),"Error",IF(AND(X80=4,E80=FALSE,F80=FALSE),"No",
IF(AND(X80=5,E80=TRUE,F80=FALSE),"Yes",IF(AND(X80=5,E80=FALSE,F80=TRUE),"No",IF(AND(X80=5,E80=TRUE,F80=TRUE),"Error",IF(AND(X80=5,E80=FALSE,F80=FALSE),"No",""))))))))))))))))</f>
        <v/>
      </c>
    </row>
    <row r="35" spans="1:32" ht="14.4" customHeight="1" x14ac:dyDescent="0.3">
      <c r="A35" s="1716" t="str">
        <f>IF(AND(AC34&lt;&gt;"error",AB35="No",AF34="Yes"),"Fannie",
IF(AND(AC34&lt;&gt;"error",AB35="Yes",AF34="No"),"Freddie",
IF(AND(AC34&lt;&gt;"error",AB35="No",AF34="No"),"Both",
IF(AND(AC34="Error"),"Error",""))))</f>
        <v/>
      </c>
      <c r="B35" s="1716"/>
      <c r="C35" s="1717" t="str">
        <f>IF(X80=1,"-",IF(X80=2,"-  or; Part of funds are pledged as collateral for a loan or encumbered, otherwise has full immediate access",IF(X80=3,"-  or; Part of funds are pledged as collateral for a loan or encumbered, otherwise has full immediate access",IF(X80=4,"-  or; Part of funds are pledged as collateral for a loan or encumbered, otherwise has full immediate access",IF(X80=5,"-  or; Part of funds are pledged as collateral for a loan or encumbered, otherwise has full immediate access","-")))))</f>
        <v>-</v>
      </c>
      <c r="D35" s="1717"/>
      <c r="E35" s="1717"/>
      <c r="F35" s="1717"/>
      <c r="G35" s="1717"/>
      <c r="H35" s="1717"/>
      <c r="I35" s="1717"/>
      <c r="J35" s="1717"/>
      <c r="K35" s="1717"/>
      <c r="L35" s="1717"/>
      <c r="M35" s="1717"/>
      <c r="N35" s="1717"/>
      <c r="O35" s="1717"/>
      <c r="P35" s="1717"/>
      <c r="Q35" s="1717"/>
      <c r="R35" s="1657"/>
      <c r="S35" s="1657"/>
      <c r="T35" s="1657"/>
      <c r="U35" s="1657"/>
      <c r="V35" s="1657"/>
      <c r="W35" s="1657"/>
      <c r="X35" s="1657"/>
      <c r="Y35" s="1657"/>
      <c r="AA35" s="529"/>
      <c r="AB35" s="582" t="str">
        <f>IF(X81=1,"",
IF(AND(X80=2,F80=TRUE),"No",IF(AND(X80=2,F80=FALSE),"Yes",
IF(AND(X80=3,F80=TRUE),"No",IF(AND(X80=3,F80=FALSE),"Yes",
IF(AND(X80=4,F80=TRUE),"No",IF(AND(X80=4,F80=FALSE),"Yes",
IF(AND(X80=5,F80=TRUE),"No",IF(AND(X80=5,F80=FALSE),"No","")))))))))</f>
        <v/>
      </c>
      <c r="AC35" s="1727"/>
      <c r="AE35" s="582" t="str">
        <f>IF(X81=1,"",
IF(AND(X80=2,F80=TRUE),"Yes",IF(AND(X80=2,F80=FALSE),"Yes",
IF(AND(X80=3,F80=TRUE),"No",IF(AND(X80=3,F80=FALSE),"Yes",
IF(AND(X80=4,F80=TRUE),"Yes",IF(AND(X80=4,F80=FALSE),"Yes",
IF(AND(X80=5,F80=TRUE),"No",IF(AND(X80=5,F80=FALSE),"Yes","")))))))))</f>
        <v/>
      </c>
      <c r="AF35" s="1728"/>
    </row>
    <row r="36" spans="1:32" ht="14.4" customHeight="1" x14ac:dyDescent="0.3">
      <c r="A36" s="1716" t="str">
        <f>IF(AND(AB36="No",AE36="Yes"),"Fannie",IF(AND(AB36="Yes",AE36="No"),"Freddie",IF(AND(AB36="No",AE36="No"),"Both","")))</f>
        <v/>
      </c>
      <c r="B36" s="1716"/>
      <c r="C36" s="1717" t="str">
        <f>IF(X80=1,"-",IF(X80=2,"- Assets are in the form of Stocks, Bonds, or Mutual Funds",IF(X80=3,"- Assets are in the form of Stocks, Bonds, or Mutual Funds",IF(X80=4,"- Assets are in the form of Stocks, Bonds, or Mutual Funds",IF(X80=5,"- All Parties on the account holding the funds are on the Mortgage","-")))))</f>
        <v>-</v>
      </c>
      <c r="D36" s="1717"/>
      <c r="E36" s="1717"/>
      <c r="F36" s="1717"/>
      <c r="G36" s="1717"/>
      <c r="H36" s="1717"/>
      <c r="I36" s="1717"/>
      <c r="J36" s="1717"/>
      <c r="K36" s="1717"/>
      <c r="L36" s="1717"/>
      <c r="M36" s="1717"/>
      <c r="N36" s="1717"/>
      <c r="O36" s="1717"/>
      <c r="P36" s="1717"/>
      <c r="Q36" s="1717"/>
      <c r="R36" s="583"/>
      <c r="S36" s="583"/>
      <c r="T36" s="583"/>
      <c r="U36" s="583"/>
      <c r="V36" s="583"/>
      <c r="W36" s="583"/>
      <c r="X36" s="583"/>
      <c r="Y36" s="583"/>
      <c r="Z36" s="584"/>
      <c r="AA36" s="529"/>
      <c r="AB36" s="582" t="str">
        <f>IF(X80=1,"",
IF(AND(X80=2,G80=TRUE),"Yes",IF(AND(X80=2,G80=FALSE),"Yes",
IF(AND(X80=3,G80=TRUE),"Yes",IF(AND(X80=3,G80=FALSE),"Yes",
IF(AND(X80=4,G80=TRUE),"Yes",IF(AND(X80=4,G80=FALSE),"Yes",
IF(AND(X80=5,G80=TRUE),"No",IF(AND(X80=5,G80=FALSE),"No","")))))))))</f>
        <v/>
      </c>
      <c r="AC36" s="585" t="str">
        <f>IF(AND(X80=2,G80=TRUE),"",IF(AND(X80=3,G80=TRUE),"",IF(AND(X80=4,G80=TRUE),"","")))</f>
        <v/>
      </c>
      <c r="AE36" s="582" t="str">
        <f>IF(X80=1,"",
IF(AND(X80=2,G80=TRUE),"Yes",IF(AND(X80=2,G80=FALSE),"Yes",
IF(AND(X80=3,G80=TRUE),"Yes",IF(AND(X80=3,G80=FALSE),"Yes",
IF(AND(X80=4,G80=TRUE),"Yes",IF(AND(X80=4,G80=FALSE),"Yes",
IF(AND(X80=5,G80=TRUE),"Yes",IF(AND(X80=5,G80=FALSE),"No","")))))))))</f>
        <v/>
      </c>
      <c r="AF36" s="586"/>
    </row>
    <row r="37" spans="1:32" ht="14.4" customHeight="1" x14ac:dyDescent="0.3">
      <c r="A37" s="1716" t="str">
        <f>IF(AND(AB37="No",AE37="Yes"),"Fannie",
IF(AND(AB37="Yes",AE37="No"),"Freddie",
IF(AND(AB37="No",AE37="No"),"Both",
IF(AND(X80=4,AC34="Error"),"Error",""))))</f>
        <v/>
      </c>
      <c r="B37" s="1716"/>
      <c r="C37" s="1717" t="str">
        <f>IF(X80=1,"-",IF(X80=2,"- Assets are Employment Related  (Not from lottery, lawsuits, inheritance, divorce proceeds…)",IF(X80=3,"- Assets are Employment Related  (Not from lottery, lawsuits, inheritance, divorce proceeds…)",IF(X80=4,"- At least one borrower that is also an account owner is of age 62",IF(X80=5,"- Sale of the business did not result in retention of the business assets","-")))))</f>
        <v>-</v>
      </c>
      <c r="D37" s="1717"/>
      <c r="E37" s="1717"/>
      <c r="F37" s="1717"/>
      <c r="G37" s="1717"/>
      <c r="H37" s="1717"/>
      <c r="I37" s="1717"/>
      <c r="J37" s="1717"/>
      <c r="K37" s="1717"/>
      <c r="L37" s="1717"/>
      <c r="M37" s="1717"/>
      <c r="N37" s="1717"/>
      <c r="O37" s="1717"/>
      <c r="P37" s="1717"/>
      <c r="Q37" s="1717"/>
      <c r="R37" s="1715" t="s">
        <v>942</v>
      </c>
      <c r="S37" s="1715"/>
      <c r="T37" s="1715"/>
      <c r="U37" s="1715"/>
      <c r="V37" s="1715"/>
      <c r="W37" s="1715"/>
      <c r="X37" s="1715"/>
      <c r="Y37" s="1715"/>
      <c r="Z37" s="576"/>
      <c r="AA37" s="529"/>
      <c r="AB37" s="582" t="str">
        <f>IF(X80=1,"",
IF(AND(X80=2,H80=TRUE),"Yes",IF(AND(X80=2,H80=FALSE),"No",
IF(AND(X80=3,H80=TRUE),"Yes",IF(AND(X80=3,H80=FALSE),"No",
IF(AND(X80=4,H80=TRUE),"Yes",IF(AND(X80=4,H80=FALSE),"Yes",
IF(AND(X80=5,H80=TRUE),"No",IF(AND(X80=5,H80=FALSE),"No","")))))))))</f>
        <v/>
      </c>
      <c r="AC37" s="505"/>
      <c r="AE37" s="582" t="str">
        <f>IF(X80=1,"",
IF(AND(X80=2,H80=TRUE),"Yes",IF(AND(X80=2,H80=FALSE),"Yes",
IF(AND(X80=3,H80=TRUE),"Yes",IF(AND(X80=3,H80=FALSE),"Yes",
IF(AND(X80=4,H80=TRUE),"Yes",IF(AND(X80=4,H80=FALSE),"No",
IF(AND(X80=5,H80=TRUE),"Yes",IF(AND(X80=5,H80=FALSE),"No","")))))))))</f>
        <v/>
      </c>
      <c r="AF37" s="586"/>
    </row>
    <row r="38" spans="1:32" ht="14.4" customHeight="1" x14ac:dyDescent="0.3">
      <c r="A38" s="1716" t="str">
        <f>IF(AND(AB38="No",AE38="Yes"),"Fannie",IF(AND(AB38="Yes",AE38="No"),"Freddie",IF(AND(AB38="No",AE38="No"),"Both","")))</f>
        <v/>
      </c>
      <c r="B38" s="1716"/>
      <c r="C38" s="1717" t="str">
        <f>IF(X80=1,"-",IF(X80=2,"- Assets are from Self-Employment",IF(X80=3,"- Assets are from self-employment",IF(X80=4,"- Assets are from an employment related Severance Package",IF(X80=5,"- Sale of the business did not result in existing secured or unsecured debt","-")))))</f>
        <v>-</v>
      </c>
      <c r="D38" s="1717"/>
      <c r="E38" s="1717"/>
      <c r="F38" s="1717"/>
      <c r="G38" s="1717"/>
      <c r="H38" s="1717"/>
      <c r="I38" s="1717"/>
      <c r="J38" s="1717"/>
      <c r="K38" s="1717"/>
      <c r="L38" s="1717"/>
      <c r="M38" s="1717"/>
      <c r="N38" s="1717"/>
      <c r="O38" s="1717"/>
      <c r="P38" s="1717"/>
      <c r="Q38" s="1717"/>
      <c r="R38" s="1718" t="str">
        <f>IF(AE45="Eligible","Eligible",IF(AE45="Not Elig.","Not Eligible",IF(AE45="Error","Error - Correct Selections","")))</f>
        <v>Error - Correct Selections</v>
      </c>
      <c r="S38" s="1718"/>
      <c r="T38" s="1718"/>
      <c r="U38" s="1718"/>
      <c r="V38" s="1718"/>
      <c r="W38" s="1718"/>
      <c r="X38" s="1718"/>
      <c r="Y38" s="1718"/>
      <c r="Z38" s="576"/>
      <c r="AA38" s="529"/>
      <c r="AB38" s="582" t="str">
        <f>IF(X80=1,"",
IF(AND(X80=2,I80=TRUE),"No",IF(AND(X80=2,I80=FALSE),"Yes",
IF(AND(X80=3,I80=TRUE),"No",IF(AND(X80=3,I80=FALSE),"Yes",
IF(AND(X80=4,I80=TRUE),"Yes",IF(AND(X80=4,I80=FALSE),"No",
IF(AND(X80=5,I80=TRUE),"No",IF(AND(X80=5,I80=FALSE),"No","")))))))))</f>
        <v/>
      </c>
      <c r="AC38" s="505"/>
      <c r="AE38" s="582" t="str">
        <f>IF(X80=1,"",
IF(AND(X80=2,I80=TRUE),"Yes",IF(AND(X80=2,I80=FALSE),"Yes",
IF(AND(X80=3,I80=TRUE),"Yes",IF(AND(X80=3,I80=FALSE),"Yes",
IF(AND(X80=4,I80=TRUE),"Yes",IF(AND(X80=4,I80=FALSE),"Yes",
IF(AND(X80=5,I80=TRUE),"Yes",IF(AND(X80=5,I80=FALSE),"No","")))))))))</f>
        <v/>
      </c>
      <c r="AF38" s="586"/>
    </row>
    <row r="39" spans="1:32" ht="14.4" customHeight="1" x14ac:dyDescent="0.3">
      <c r="A39" s="1716" t="str">
        <f>IF(AND(AC39&lt;&gt;"error",X80=2,AC39="No",AE39="Yes"),"Fannie",IF(AND(AC39&lt;&gt;"error",X80=2,AC39="Yes",AE39="No"),"Freddie",IF(AND(AC39&lt;&gt;"error",X80=2,AC39="No",AE39="No"),"Both",IF(AND(AC39&lt;&gt;"error",X80&lt;&gt;2,AB39="No",AE39="Yes"),"Fannie",IF(AND(AC39&lt;&gt;"error",X80&lt;&gt;2,AB39="Yes",AE39="No"),"Freddie",IF(AND(AC39&lt;&gt;"error",X80&lt;&gt;2,AB39="No",AE39="No"),"Both",IF(AC39="Error","Error","")))))))</f>
        <v/>
      </c>
      <c r="B39" s="1716"/>
      <c r="C39" s="1717" t="str">
        <f>IF(X80=1,"-",IF(X80=2,"- Not currently used by borrower a source of income (no distributions are set up);",IF(X80=3,"- A Borrower was the recipient of the proceeds distribution",IF(X80=4,"- Assets are from self-employment",IF(X80=5,"- Sale of the business did not result in ownership interest or seller-held notes to buyer of business","-")))))</f>
        <v>-</v>
      </c>
      <c r="D39" s="1717"/>
      <c r="E39" s="1717"/>
      <c r="F39" s="1717"/>
      <c r="G39" s="1717"/>
      <c r="H39" s="1717"/>
      <c r="I39" s="1717"/>
      <c r="J39" s="1717"/>
      <c r="K39" s="1717"/>
      <c r="L39" s="1717"/>
      <c r="M39" s="1717"/>
      <c r="N39" s="1717"/>
      <c r="O39" s="1717"/>
      <c r="P39" s="1717"/>
      <c r="Q39" s="1717"/>
      <c r="R39" s="1729" t="str">
        <f>IF(AND(R38&lt;&gt;"Error - Correct Selections",OR(X80=2,X80=3),M21&lt;59.5),"Early withdrawal penalty not allowed
(based on age)","(Based on Selections)")</f>
        <v>(Based on Selections)</v>
      </c>
      <c r="S39" s="1729"/>
      <c r="T39" s="1729"/>
      <c r="U39" s="1729"/>
      <c r="V39" s="1729"/>
      <c r="W39" s="1729"/>
      <c r="X39" s="1729"/>
      <c r="Y39" s="1729"/>
      <c r="Z39" s="576"/>
      <c r="AA39" s="529"/>
      <c r="AB39" s="582" t="str">
        <f>IF(X80=1,"",
IF(AND(X80=2,J80=TRUE),"Yes",IF(AND(X80=2,J80=FALSE),"No",
IF(AND(X80=3,J80=TRUE),"Yes",IF(AND(X80=3,J80=FALSE),"No",
IF(AND(X80=4,J80=TRUE),"No",IF(AND(X80=4,J80=FALSE),"Yes",
IF(AND(X80=5,J80=TRUE),"No",IF(AND(X80=5,J80=FALSE),"No","")))))))))</f>
        <v/>
      </c>
      <c r="AC39" s="1735" t="str">
        <f>IF(AND(X80=2,J80=FALSE,K80=TRUE),"Yes",IF(AND(X80=2,J80=FALSE,K80=FALSE),"No",IF(AND(X80=2,J80=TRUE,K80=TRUE),"Error",IF(AND(X80=2,J80=TRUE,K80=FALSE),"Yes",""))))</f>
        <v/>
      </c>
      <c r="AE39" s="582" t="str">
        <f>IF(X80=1,"",
IF(AND(X80=2,J80=TRUE),"Yes",IF(AND(X80=2,J80=FALSE),"No",
IF(AND(X80=3,J80=TRUE),"Yes",IF(AND(X80=3,J80=FALSE),"No",
IF(AND(X80=4,J80=TRUE),"Yes",IF(AND(X80=4,J80=FALSE),"Yes",
IF(AND(X80=5,J80=TRUE),"Yes",IF(AND(X80=5,J80=FALSE),"No","")))))))))</f>
        <v/>
      </c>
      <c r="AF39" s="1736" t="str">
        <f>IF(AND(X80=2,J80=TRUE,K80=TRUE),"Error","")</f>
        <v/>
      </c>
    </row>
    <row r="40" spans="1:32" ht="14.4" customHeight="1" x14ac:dyDescent="0.3">
      <c r="A40" s="1716" t="str">
        <f>IF(AND(AC39&lt;&gt;"error",AB40="No",AE40="Yes"),"Fannie",
IF(AND(AC39&lt;&gt;"error",AB40="Yes",AE40="No"),"Freddie",
IF(AND(AC39&lt;&gt;"error",AB40="No",AE40="No"),"Both",
IF(AND(X80=2,AC39="Error"),"Error",""))))</f>
        <v/>
      </c>
      <c r="B40" s="1716"/>
      <c r="C40" s="1717" t="str">
        <f>IF(X80=1,"-",IF(X80=2,"-  or; Distributions are set up but it is not enough to qualify",IF(X80=3,"- All Parties on the account that is holding the funds are on the Mortgage",IF(X80=4,"- Account funds located in the US, or state-regulated institution and verified in US dollars",IF(X80=5,"-","-")))))</f>
        <v>-</v>
      </c>
      <c r="D40" s="1717"/>
      <c r="E40" s="1717"/>
      <c r="F40" s="1717"/>
      <c r="G40" s="1717"/>
      <c r="H40" s="1717"/>
      <c r="I40" s="1717"/>
      <c r="J40" s="1717"/>
      <c r="K40" s="1717"/>
      <c r="L40" s="1717"/>
      <c r="M40" s="1717"/>
      <c r="N40" s="1717"/>
      <c r="O40" s="1717"/>
      <c r="P40" s="1717"/>
      <c r="Q40" s="1717"/>
      <c r="R40" s="1729"/>
      <c r="S40" s="1729"/>
      <c r="T40" s="1729"/>
      <c r="U40" s="1729"/>
      <c r="V40" s="1729"/>
      <c r="W40" s="1729"/>
      <c r="X40" s="1729"/>
      <c r="Y40" s="1729"/>
      <c r="Z40" s="576"/>
      <c r="AA40" s="529"/>
      <c r="AB40" s="582" t="str">
        <f>IF(X80=1,"",
IF(AND(X80=2,K80=TRUE),"Yes",IF(AND(X80=2,K80=FALSE),"Yes",
IF(AND(X80=3,K80=TRUE),"Yes",IF(AND(X80=3,K80=FALSE),"No",
IF(AND(X80=4,K80=TRUE),"Yes",IF(AND(X80=4,K80=FALSE),"No",
IF(AND(X80=5,K80=TRUE),"",IF(AND(X80=5,K80=FALSE),"","")))))))))</f>
        <v/>
      </c>
      <c r="AC40" s="1735"/>
      <c r="AE40" s="582" t="str">
        <f>IF(X80=1,"",
IF(AND(X80=2,K80=TRUE),"No",IF(AND(X80=2,K80=FALSE),"Yes",
IF(AND(X80=3,K80=TRUE),"Yes",IF(AND(X80=3,K80=FALSE),"No",
IF(AND(X80=4,K80=TRUE),"Yes",IF(AND(X80=4,K80=FALSE),"No",
IF(AND(X80=5,K80=TRUE),"",IF(AND(X80=5,K80=FALSE),"","")))))))))</f>
        <v/>
      </c>
      <c r="AF40" s="1736"/>
    </row>
    <row r="41" spans="1:32" ht="14.4" customHeight="1" x14ac:dyDescent="0.3">
      <c r="A41" s="1737" t="str">
        <f>IF(AND(C44&lt;&gt;"Error: Borrower is less than 59.5 years of age however 'no penalty' is selected?",AB41="No",AE41="Yes"),"Fannie",IF(AND(C44&lt;&gt;"Error: Borrower is less than 59.5 years of age however 'no penalty' is selected?",AB41="Yes",AE41="No"),"Freddie",IF(AND(C44&lt;&gt;"Error: Borrower is less than 59.5 years of age however 'no penalty' is selected?",AB41="No",AE41="No"),"Both",IF(C44="Error: Borrower is less than 59.5 years of age however 'no penalty' is selected?","Error",""))))</f>
        <v/>
      </c>
      <c r="B41" s="1737"/>
      <c r="C41" s="1717" t="str">
        <f>IF(X80=1,"-",IF(X80=2,"-",IF(X80=3,"- Proceeds were not previously or currently subject to a penalty or early distribution tax",IF(X80=4,"- Proceeds are not subject to a penalty",IF(X80=5,"-","-")))))</f>
        <v>-</v>
      </c>
      <c r="D41" s="1717"/>
      <c r="E41" s="1717"/>
      <c r="F41" s="1717"/>
      <c r="G41" s="1717"/>
      <c r="H41" s="1717"/>
      <c r="I41" s="1717"/>
      <c r="J41" s="1717"/>
      <c r="K41" s="1717"/>
      <c r="L41" s="1717"/>
      <c r="M41" s="1717"/>
      <c r="N41" s="1717"/>
      <c r="O41" s="1717"/>
      <c r="P41" s="1717"/>
      <c r="Q41" s="1717"/>
      <c r="R41" s="1729"/>
      <c r="S41" s="1729"/>
      <c r="T41" s="1729"/>
      <c r="U41" s="1729"/>
      <c r="V41" s="1729"/>
      <c r="W41" s="1729"/>
      <c r="X41" s="1729"/>
      <c r="Y41" s="1729"/>
      <c r="Z41" s="576"/>
      <c r="AA41" s="529"/>
      <c r="AB41" s="582" t="str">
        <f>IF(X80=1,"",
IF(AND(X80=2,L80=TRUE),"",IF(AND(X80=2,L80=FALSE),"",
IF(AND(X80=3,L80=TRUE),"Yes",IF(AND(X80=3,L80=FALSE),"Yes",
IF(AND(X80=4,L80=TRUE),"Yes",IF(AND(X80=4,L80=FALSE),"Yes",
IF(AND(X80=5,L80=TRUE),"",IF(AND(X80=5,L80=FALSE),"","")))))))))</f>
        <v/>
      </c>
      <c r="AC41" s="587"/>
      <c r="AE41" s="582" t="str">
        <f>IF(X80=1,"",
IF(AND(X80=2,L80=TRUE),"",IF(AND(X80=2,L80=FALSE),"",
IF(AND(X80=3,L80=TRUE),"Yes",IF(AND(X80=3,L80=FALSE),"No",
IF(AND(X80=4,L80=TRUE),"Yes",IF(AND(X80=4,L80=FALSE),"No",
IF(AND(X80=5,L80=TRUE),"",IF(AND(X80=5,L80=FALSE),"","")))))))))</f>
        <v/>
      </c>
      <c r="AF41" s="588"/>
    </row>
    <row r="42" spans="1:32" ht="14.4" customHeight="1" x14ac:dyDescent="0.3">
      <c r="A42" s="1716" t="str">
        <f>IF(AND(X80=4,AB42="Error"),"Error",IF(AND(X80=3,M80=TRUE),"Error",""))</f>
        <v/>
      </c>
      <c r="B42" s="1716"/>
      <c r="C42" s="1717" t="str">
        <f>IF(X80=1,"-",IF(X80=2,"-",IF(X80=3,"- Funds are from a Severance Package",IF(X80=4,"- Funds are from a lump-sum distribution from an IRS recognized retirement account (401(k), IRA…)",IF(X80=5,"-","-")))))</f>
        <v>-</v>
      </c>
      <c r="D42" s="1717"/>
      <c r="E42" s="1717"/>
      <c r="F42" s="1717"/>
      <c r="G42" s="1717"/>
      <c r="H42" s="1717"/>
      <c r="I42" s="1717"/>
      <c r="J42" s="1717"/>
      <c r="K42" s="1717"/>
      <c r="L42" s="1717"/>
      <c r="M42" s="1717"/>
      <c r="N42" s="1717"/>
      <c r="O42" s="1717"/>
      <c r="P42" s="1717"/>
      <c r="Q42" s="1717"/>
      <c r="R42" s="589"/>
      <c r="S42" s="589"/>
      <c r="T42" s="1730" t="s">
        <v>959</v>
      </c>
      <c r="U42" s="1731"/>
      <c r="V42" s="1731"/>
      <c r="W42" s="1731"/>
      <c r="X42" s="1731"/>
      <c r="Y42" s="1731"/>
      <c r="Z42" s="576"/>
      <c r="AA42" s="529"/>
      <c r="AB42" s="582" t="str">
        <f>IF(X84=1,"",
IF(AND(X80=2,M80=TRUE),"",IF(AND(X80=2,M80=FALSE),"",
IF(AND(X80=3,M80=TRUE),"",IF(AND(X80=3,M80=FALSE),"",
IF(AND(X80=4,M80=TRUE),"Error",IF(AND(X80=4,M80=FALSE),"Yes",
IF(AND(X80=5,M80=TRUE),"",IF(AND(X80=5,M80=FALSE),"","")))))))))</f>
        <v/>
      </c>
      <c r="AE42" s="582" t="str">
        <f>IF(X84=1,"",
IF(AND(X80=2,M80=TRUE),"",IF(AND(X80=2,M80=FALSE),"",
IF(AND(X80=3,M80=TRUE),"",IF(AND(X80=3,M80=FALSE),"",
IF(AND(X80=4,M80=TRUE),"Error",IF(AND(X80=4,M80=FALSE),"Yes",
IF(AND(X80=5,M80=TRUE),"",IF(AND(X80=5,M80=FALSE),"","")))))))))</f>
        <v/>
      </c>
      <c r="AF42" s="590"/>
    </row>
    <row r="43" spans="1:32" ht="4.2" customHeight="1" x14ac:dyDescent="0.3">
      <c r="A43" s="579"/>
      <c r="B43" s="579"/>
      <c r="C43" s="580"/>
      <c r="D43" s="580"/>
      <c r="E43" s="580"/>
      <c r="F43" s="580"/>
      <c r="G43" s="580"/>
      <c r="H43" s="580"/>
      <c r="I43" s="580"/>
      <c r="J43" s="580"/>
      <c r="K43" s="580"/>
      <c r="L43" s="580"/>
      <c r="M43" s="580"/>
      <c r="N43" s="580"/>
      <c r="O43" s="580"/>
      <c r="P43" s="580"/>
      <c r="Q43" s="580"/>
      <c r="R43" s="591"/>
      <c r="S43" s="591"/>
      <c r="T43" s="1732" t="s">
        <v>960</v>
      </c>
      <c r="U43" s="1732"/>
      <c r="V43" s="1732"/>
      <c r="W43" s="1732"/>
      <c r="X43" s="1732"/>
      <c r="Y43" s="1732"/>
      <c r="Z43" s="576"/>
      <c r="AA43" s="529"/>
      <c r="AB43" s="582"/>
      <c r="AE43" s="582"/>
      <c r="AF43" s="590"/>
    </row>
    <row r="44" spans="1:32" ht="15.6" customHeight="1" x14ac:dyDescent="0.3">
      <c r="A44" s="134"/>
      <c r="C44" s="1733" t="str">
        <f>IF(OR(AC32="Error",AC39="Error",AC34="Error"),"Error: Cannot select both of the above highlighted options. Please reselect.",IF(AND(OR(AC32&lt;&gt;"Error",AC39&lt;&gt;"Error"),X80=3,L80=TRUE,M21&lt;59.5,A42&lt;&gt;"Error"),"Error: Borrower is less than 59.5 years of age however 'no penalty' is selected?",IF(AND(X80=3,A42="Error"),"Error: Change 'Asset Source' to Depositoy Accounts and Securities for Severance Packages",IF(AND(X80=4,AC32&lt;&gt;"Error",M80=TRUE),"Error: Change 'Asset Source' to Lump-Sum Distribution for funds from a retirement acct.",""))))</f>
        <v/>
      </c>
      <c r="D44" s="1733"/>
      <c r="E44" s="1733"/>
      <c r="F44" s="1733"/>
      <c r="G44" s="1733"/>
      <c r="H44" s="1733"/>
      <c r="I44" s="1733"/>
      <c r="J44" s="1733"/>
      <c r="K44" s="1733"/>
      <c r="L44" s="1733"/>
      <c r="M44" s="1733"/>
      <c r="N44" s="1733"/>
      <c r="O44" s="1733"/>
      <c r="P44" s="1733"/>
      <c r="Q44" s="1733"/>
      <c r="R44" s="45"/>
      <c r="S44" s="45"/>
      <c r="T44" s="1732"/>
      <c r="U44" s="1732"/>
      <c r="V44" s="1732"/>
      <c r="W44" s="1732"/>
      <c r="X44" s="1732"/>
      <c r="Y44" s="1732"/>
      <c r="Z44" s="574"/>
      <c r="AA44" s="529"/>
    </row>
    <row r="45" spans="1:32" ht="19.2" customHeight="1" x14ac:dyDescent="0.3">
      <c r="A45" s="38"/>
      <c r="B45" s="592"/>
      <c r="C45" s="592"/>
      <c r="D45" s="1734" t="s">
        <v>961</v>
      </c>
      <c r="E45" s="1734"/>
      <c r="F45" s="1734"/>
      <c r="G45" s="1734"/>
      <c r="H45" s="1734"/>
      <c r="I45" s="1734"/>
      <c r="J45" s="1734"/>
      <c r="K45" s="1734"/>
      <c r="L45" s="1734"/>
      <c r="M45" s="1734"/>
      <c r="N45" s="1734"/>
      <c r="O45" s="1734"/>
      <c r="P45" s="1734"/>
      <c r="Q45" s="593"/>
      <c r="R45" s="594"/>
      <c r="S45" s="378"/>
      <c r="Z45" s="574"/>
      <c r="AA45" s="529"/>
      <c r="AB45" s="577" t="str">
        <f>IF(OR(X80=1,X80=""),"Error",IF(AND(X80=2,AC32&lt;&gt;"Error",AC39&lt;&gt;"Error",A42&lt;&gt;"Error",A41&lt;&gt;"Error",AC32&lt;&gt;"Error",AC34&lt;&gt;"Error",OR(AB32="No",AB34="No",AB33="No",AB36="No",AB37="No",AB35="No",AB38="No",AC39="No",AB41="No")),"Not Elig.",
IF(AND(X80=3,C32&lt;&gt;"Error",AC39&lt;&gt;"Error",A42&lt;&gt;"Error",A41&lt;&gt;"Error",AC32&lt;&gt;"Error",AC34&lt;&gt;"Error",OR(AB32="No",AB34="No",AB33="No",AB36="No",AB37="No",AB35="No",AB38="No",AB39="No",AB40="No",AB41="No")),"Not Elig.",
IF(AND(X80=4,C32&lt;&gt;"Error",AC39&lt;&gt;"Error",A42&lt;&gt;"Error",A41&lt;&gt;"Error",AC32&lt;&gt;"Error",AC34&lt;&gt;"Error",OR(AB32="No",AB34="No",AB33="No",AB36="No",AB37="No",AB35="No",AB38="No",AB39="No",AB40="No",AB41="No")),"Not Elig.",
IF(AND(X80=5,C32&lt;&gt;"Error",AC39&lt;&gt;"Error",A42&lt;&gt;"Error",A41&lt;&gt;"Error",AC32&lt;&gt;"Error",AC34&lt;&gt;"Error",OR(AB32="No",AB34="No",AB33="No",AB36="No",AB37="No",AB35="No",AB38="No",AB39="No",AB40="No",AB41="No")),"Not Elig.",IF(OR(AC32="Error",AC39="Error",A42="Error",A41="Error",AC32="Error",AC34="Error"),"Error","Eligible"))))))</f>
        <v>Error</v>
      </c>
      <c r="AC45" s="572"/>
      <c r="AD45" s="572"/>
      <c r="AE45" s="577" t="str">
        <f>IF(OR(X80=1,X80=""),"Error",IF(AND(X80=2,AF32&lt;&gt;"Error",AF39&lt;&gt;"Error",A42&lt;&gt;"Error",A41&lt;&gt;"Error",AF34&lt;&gt;"Error",OR(M21&lt;59.5,AE32="No",AE33="No",AE36="No",AE37="No",AF34="No",AE38="No",AE39="No",AE40="No",AE41="No")),"Not Elig.",
IF(AND(X80=3,AF32&lt;&gt;"Error",AF39&lt;&gt;"Error",A42&lt;&gt;"Error",A41&lt;&gt;"Error",AF34&lt;&gt;"Error",OR(AE32="No",AE33="No",AE36="No",AE37="No",AF34="No",AE38="No",AE39="No",AE40="No",AE41="No")),"Not Elig.",
IF(AND(X80=4,AF32&lt;&gt;"Error",AF39&lt;&gt;"Error",A42&lt;&gt;"Error",A41&lt;&gt;"Error",AF34&lt;&gt;"Error",OR(AF32="No",AF34="No",AE37="No",AE38="No",AE39="No",AE40="No",AE41="No")),"Not Elig.",
IF(AND(X80=5,AF32&lt;&gt;"Error",AF39&lt;&gt;"Error",A42&lt;&gt;"Error",A41&lt;&gt;"Error",AF34&lt;&gt;"Error",OR(AE32="No",AE33="No",AE36="No",AE37="No",AF34="No",AE38="No",AE39="No",AE40="No",AE41="No")),"Not Elig.",IF(OR(AF32="Error",AF39="Error",A42="Error",A41="Error",AF34="Error"),"Error","Eligible"))))))</f>
        <v>Error</v>
      </c>
    </row>
    <row r="46" spans="1:32" ht="3.6" customHeight="1" x14ac:dyDescent="0.3">
      <c r="A46" s="38"/>
      <c r="B46" s="592"/>
      <c r="D46" s="595"/>
      <c r="E46" s="595"/>
      <c r="F46" s="595"/>
      <c r="G46" s="595"/>
      <c r="H46" s="595"/>
      <c r="I46" s="595"/>
      <c r="J46" s="595"/>
      <c r="K46" s="595"/>
      <c r="L46" s="595"/>
      <c r="M46" s="595"/>
      <c r="N46" s="595"/>
      <c r="O46" s="595"/>
      <c r="P46" s="595"/>
      <c r="Q46" s="595"/>
      <c r="R46" s="595"/>
      <c r="S46" s="595"/>
      <c r="T46" s="595"/>
      <c r="U46" s="595"/>
      <c r="V46" s="595"/>
      <c r="W46" s="595"/>
      <c r="X46" s="595"/>
      <c r="Y46" s="595"/>
      <c r="Z46" s="574"/>
      <c r="AA46" s="529"/>
      <c r="AB46" s="577"/>
      <c r="AC46" s="572"/>
      <c r="AD46" s="572"/>
      <c r="AE46" s="577"/>
    </row>
    <row r="47" spans="1:32" ht="15.6" customHeight="1" x14ac:dyDescent="0.3">
      <c r="A47" s="38"/>
      <c r="B47" s="592"/>
      <c r="C47" s="1750" t="str">
        <f>IF(AND(X80=2,C81=TRUE,D80=FALSE),"If the funds are not in an IRS recognized Retirement assett, you should select a different 'Asset Source'",IF(AND(X80=3,C81=TRUE,D80=FALSE),"If the funds did not come from IRS recognized Retirement asset, you should select a different 'Asset Source'",""))</f>
        <v/>
      </c>
      <c r="D47" s="1750"/>
      <c r="E47" s="1750"/>
      <c r="F47" s="1750"/>
      <c r="G47" s="1750"/>
      <c r="H47" s="1750"/>
      <c r="I47" s="1750"/>
      <c r="J47" s="1750"/>
      <c r="K47" s="1750"/>
      <c r="L47" s="1750"/>
      <c r="M47" s="1750"/>
      <c r="N47" s="1750"/>
      <c r="O47" s="1750"/>
      <c r="P47" s="1750"/>
      <c r="Q47" s="1750"/>
      <c r="R47" s="1750"/>
      <c r="S47" s="1750"/>
      <c r="T47" s="1750"/>
      <c r="U47" s="1750"/>
      <c r="V47" s="1750"/>
      <c r="W47" s="1750"/>
      <c r="X47" s="1750"/>
      <c r="Y47" s="595"/>
      <c r="Z47" s="574"/>
      <c r="AA47" s="529"/>
      <c r="AB47" s="577"/>
      <c r="AC47" s="572"/>
      <c r="AD47" s="572"/>
      <c r="AE47" s="577"/>
    </row>
    <row r="48" spans="1:32" ht="8.4" customHeight="1" thickBot="1" x14ac:dyDescent="0.35">
      <c r="A48" s="38"/>
      <c r="B48" s="592"/>
      <c r="C48" s="596"/>
      <c r="D48" s="596"/>
      <c r="E48" s="596"/>
      <c r="F48" s="596"/>
      <c r="G48" s="596"/>
      <c r="H48" s="596"/>
      <c r="I48" s="596"/>
      <c r="J48" s="596"/>
      <c r="K48" s="596"/>
      <c r="L48" s="596"/>
      <c r="M48" s="596"/>
      <c r="N48" s="596"/>
      <c r="O48" s="596"/>
      <c r="P48" s="596"/>
      <c r="Q48" s="596"/>
      <c r="R48" s="596"/>
      <c r="S48" s="596"/>
      <c r="T48" s="596"/>
      <c r="U48" s="596"/>
      <c r="V48" s="596"/>
      <c r="W48" s="596"/>
      <c r="X48" s="596"/>
      <c r="Y48" s="596"/>
      <c r="Z48" s="574"/>
      <c r="AA48" s="529"/>
      <c r="AB48" s="577"/>
      <c r="AC48" s="572"/>
      <c r="AD48" s="572"/>
      <c r="AE48" s="577"/>
    </row>
    <row r="49" spans="1:40" ht="16.8" customHeight="1" x14ac:dyDescent="0.3">
      <c r="A49" s="138"/>
      <c r="B49" s="597"/>
      <c r="C49" s="1751" t="s">
        <v>962</v>
      </c>
      <c r="D49" s="1752"/>
      <c r="E49" s="1752"/>
      <c r="F49" s="1752"/>
      <c r="G49" s="1752"/>
      <c r="H49" s="1752"/>
      <c r="I49" s="1752"/>
      <c r="J49" s="1753" t="s">
        <v>963</v>
      </c>
      <c r="K49" s="1753"/>
      <c r="L49" s="1753"/>
      <c r="M49" s="1753"/>
      <c r="N49" s="1753"/>
      <c r="O49" s="1753"/>
      <c r="P49" s="1753"/>
      <c r="Q49" s="1753"/>
      <c r="R49" s="1753"/>
      <c r="S49" s="1753"/>
      <c r="T49" s="1753"/>
      <c r="U49" s="1753"/>
      <c r="V49" s="1753"/>
      <c r="W49" s="1753"/>
      <c r="X49" s="1754"/>
      <c r="Y49" s="581"/>
      <c r="Z49" s="574"/>
      <c r="AA49" s="529"/>
    </row>
    <row r="50" spans="1:40" ht="13.2" customHeight="1" x14ac:dyDescent="0.3">
      <c r="A50" s="138"/>
      <c r="B50" s="597"/>
      <c r="C50" s="1738" t="s">
        <v>964</v>
      </c>
      <c r="D50" s="1739"/>
      <c r="E50" s="1739"/>
      <c r="F50" s="1742" t="str">
        <f>IF(AND(C81=TRUE,OR(O21="Error",AB45="Error")),"Error",IF(AND(C81=TRUE,O21="Eligible",R32="Eligible"),"Eligible",IF(AND(C81=TRUE,OR(O21="Not Eligible",R32="Not Eligible")),"Not Eligible","")))</f>
        <v/>
      </c>
      <c r="G50" s="1742"/>
      <c r="H50" s="1742"/>
      <c r="I50" s="1742"/>
      <c r="J50" s="1744" t="str">
        <f>IF(AND(C81=TRUE,O21="Error",AB45&lt;&gt;"Error"),"Error(s) in Section 1; please review and correct selections.",IF(AND(C81=TRUE,O21&lt;&gt;"Error",AB45="Error"),"Error(s) in in Section 2; please review and correct selections.",IF(AND(C81=TRUE,O21="Error",AB45="Error"),"Error(s) in Section 1 and/or 2; please review both sections and correct selections",IF(AND(C81=TRUE,O21&lt;&gt;"Error",AB45&lt;&gt;"Error",F50="Eligible",X80=2,M21&lt;59.5,AC36=""),"Minus 10% for early withdrawal;
Select to continue using the Fannie income calculator in section 3.  Must use DU if selected.",IF(AND(C81=TRUE,O21&lt;&gt;"Error",AB45&lt;&gt;"Error",F50="Eligible",X80=2,M21&gt;=59.5,AC36="30%"),"Select to continue using the Fannie income calculator in section 3.  Must use DU if selected.",IF(AND(C81=TRUE,O21&lt;&gt;"Error",AB45&lt;&gt;"Error",F50="Eligible",X80=2,M21&lt;59.5,AC36="30%"),"Minus 10% for early withdrawel
Select to continue using the Fannie income calculator in section 3.  Must use DU if selected.",IF(AND(F50="Eligible",OR(X80=3,X80=4),G80=TRUE),"Select to continue using the Fannie income calculator in section 3.  Must use DU if selected.",IF(AND(F50="Not Eligible",X80=5),"Proceeds from sale of a business cannot be used as income for Fannie",IF(AND(F50="Not Eligible",X80&lt;&gt;5),"Based on selections: Double check selections in sections 1 and 2; verify 'Asset Source' is correct.","Select to continue using the Fannie income calculator in section 3.  Must use DU if selected.")))))))))</f>
        <v>Select to continue using the Fannie income calculator in section 3.  Must use DU if selected.</v>
      </c>
      <c r="K50" s="1744"/>
      <c r="L50" s="1744"/>
      <c r="M50" s="1744"/>
      <c r="N50" s="1744"/>
      <c r="O50" s="1744"/>
      <c r="P50" s="1744"/>
      <c r="Q50" s="1744"/>
      <c r="R50" s="1744"/>
      <c r="S50" s="1744"/>
      <c r="T50" s="1744"/>
      <c r="U50" s="1744"/>
      <c r="V50" s="1744"/>
      <c r="W50" s="1744"/>
      <c r="X50" s="1745"/>
      <c r="Y50" s="601"/>
      <c r="Z50" s="574"/>
      <c r="AA50" s="529"/>
    </row>
    <row r="51" spans="1:40" ht="13.2" customHeight="1" x14ac:dyDescent="0.3">
      <c r="A51" s="138"/>
      <c r="B51" s="597"/>
      <c r="C51" s="1738"/>
      <c r="D51" s="1739"/>
      <c r="E51" s="1739"/>
      <c r="F51" s="1742"/>
      <c r="G51" s="1742"/>
      <c r="H51" s="1742"/>
      <c r="I51" s="1742"/>
      <c r="J51" s="1744"/>
      <c r="K51" s="1744"/>
      <c r="L51" s="1744"/>
      <c r="M51" s="1744"/>
      <c r="N51" s="1744"/>
      <c r="O51" s="1744"/>
      <c r="P51" s="1744"/>
      <c r="Q51" s="1744"/>
      <c r="R51" s="1744"/>
      <c r="S51" s="1744"/>
      <c r="T51" s="1744"/>
      <c r="U51" s="1744"/>
      <c r="V51" s="1744"/>
      <c r="W51" s="1744"/>
      <c r="X51" s="1745"/>
      <c r="Y51" s="602"/>
      <c r="Z51" s="603"/>
      <c r="AA51" s="38"/>
    </row>
    <row r="52" spans="1:40" ht="15" customHeight="1" x14ac:dyDescent="0.3">
      <c r="A52" s="116"/>
      <c r="B52" s="450"/>
      <c r="C52" s="1738" t="s">
        <v>965</v>
      </c>
      <c r="D52" s="1739"/>
      <c r="E52" s="1739"/>
      <c r="F52" s="1742" t="str">
        <f>IF(AND(C81=TRUE,OR(T21="Error",AE45="Error")),"Error",IF(AND(C81=TRUE,T21="Eligible",R38="Eligible"),"Eligible",IF(AND(C81=TRUE,OR(T21="Not Eligible",R38="Not Eligible")),"Not Eligible","")))</f>
        <v/>
      </c>
      <c r="G52" s="1742"/>
      <c r="H52" s="1742"/>
      <c r="I52" s="1742"/>
      <c r="J52" s="1744" t="str">
        <f>IF(AND(C81=TRUE,T21="Error",AE45&lt;&gt;"Error"),"Error(s) in Section 1; please review and correct selections.",IF(AND(C81=TRUE,T21&lt;&gt;"Error",AE45="Error"),"Error(s) in in Section 2; please review and correct selections.",IF(AND(C81=TRUE,T21="Error",AE45="Error"),"Error(s) in Section 1 and/or 2; please review both sections and correct selections",IF(AND(R38&lt;&gt;"Error - Correct Selections",OR(X80=2,X80=3),M21&lt;59.5),"Early withdrawal penalty not allowed (based on age)",IF(AND(F52="Not Eligible",M21&gt;=59.5),"Based on Selections: Double check selections in sections 1 and 2; verify 'Asset Source' is correct.","Select to continue using the Freddie income calculator in section 3.  Must use LP if selected.")))))</f>
        <v>Select to continue using the Freddie income calculator in section 3.  Must use LP if selected.</v>
      </c>
      <c r="K52" s="1744"/>
      <c r="L52" s="1744"/>
      <c r="M52" s="1744"/>
      <c r="N52" s="1744"/>
      <c r="O52" s="1744"/>
      <c r="P52" s="1744"/>
      <c r="Q52" s="1744"/>
      <c r="R52" s="1744"/>
      <c r="S52" s="1744"/>
      <c r="T52" s="1744"/>
      <c r="U52" s="1744"/>
      <c r="V52" s="1744"/>
      <c r="W52" s="1744"/>
      <c r="X52" s="1745"/>
      <c r="Y52" s="450"/>
      <c r="Z52" s="45"/>
      <c r="AA52" s="38"/>
    </row>
    <row r="53" spans="1:40" ht="15" customHeight="1" thickBot="1" x14ac:dyDescent="0.35">
      <c r="A53" s="116"/>
      <c r="B53" s="450"/>
      <c r="C53" s="1740"/>
      <c r="D53" s="1741"/>
      <c r="E53" s="1741"/>
      <c r="F53" s="1743"/>
      <c r="G53" s="1743"/>
      <c r="H53" s="1743"/>
      <c r="I53" s="1743"/>
      <c r="J53" s="1746"/>
      <c r="K53" s="1746"/>
      <c r="L53" s="1746"/>
      <c r="M53" s="1746"/>
      <c r="N53" s="1746"/>
      <c r="O53" s="1746"/>
      <c r="P53" s="1746"/>
      <c r="Q53" s="1746"/>
      <c r="R53" s="1746"/>
      <c r="S53" s="1746"/>
      <c r="T53" s="1746"/>
      <c r="U53" s="1746"/>
      <c r="V53" s="1746"/>
      <c r="W53" s="1746"/>
      <c r="X53" s="1747"/>
      <c r="Y53" s="450"/>
      <c r="Z53" s="45"/>
      <c r="AA53" s="38"/>
    </row>
    <row r="54" spans="1:40" ht="4.2" customHeight="1" x14ac:dyDescent="0.3">
      <c r="A54" s="116"/>
      <c r="B54" s="450"/>
      <c r="C54" s="598"/>
      <c r="D54" s="598"/>
      <c r="E54" s="598"/>
      <c r="F54" s="599"/>
      <c r="G54" s="599"/>
      <c r="H54" s="599"/>
      <c r="I54" s="599"/>
      <c r="J54" s="600"/>
      <c r="K54" s="600"/>
      <c r="L54" s="600"/>
      <c r="M54" s="600"/>
      <c r="N54" s="600"/>
      <c r="O54" s="600"/>
      <c r="P54" s="600"/>
      <c r="Q54" s="600"/>
      <c r="R54" s="600"/>
      <c r="S54" s="600"/>
      <c r="T54" s="600"/>
      <c r="U54" s="600"/>
      <c r="V54" s="600"/>
      <c r="W54" s="600"/>
      <c r="X54" s="600"/>
      <c r="Y54" s="450"/>
      <c r="Z54" s="45"/>
      <c r="AA54" s="38"/>
    </row>
    <row r="55" spans="1:40" ht="18" customHeight="1" x14ac:dyDescent="0.3">
      <c r="A55" s="116"/>
      <c r="B55" s="450"/>
      <c r="C55" s="1748" t="str">
        <f>IF(AND(C81=TRUE,V80=2,F52="Not Eligible")," Not a Valid Selection: Based on the Data provided this Asset is not Eligible for Freddie",IF(AND(C81=TRUE,V80=2,F52="Error")," Not a Valid Selection: Please Correct Selections in sections above to remove Error status",IF(AND(C81=TRUE,V80=1,F50="Not Eligible")," Not a Valid Selection: Based on the Data provided this Asset is not eligible for Fannie",IF(AND(C81=TRUE,V80=1,F50="Error",A77&lt;&gt;"CalcOR")," Not a Valid Selection: Please Correct Selections in sections above to remove Error status",IF(AND(C81=FALSE,V80&lt;&gt;"",A77&lt;&gt;"CalcOR")," Error: Complete Sections 1 &amp; 2 and check the 'Done' box before selecting a calculation method","")))))</f>
        <v/>
      </c>
      <c r="D55" s="1748"/>
      <c r="E55" s="1748"/>
      <c r="F55" s="1748"/>
      <c r="G55" s="1748"/>
      <c r="H55" s="1748"/>
      <c r="I55" s="1748"/>
      <c r="J55" s="1748"/>
      <c r="K55" s="1748"/>
      <c r="L55" s="1748"/>
      <c r="M55" s="1748"/>
      <c r="N55" s="1748"/>
      <c r="O55" s="1748"/>
      <c r="P55" s="1748"/>
      <c r="Q55" s="1748"/>
      <c r="R55" s="1748"/>
      <c r="S55" s="1748"/>
      <c r="T55" s="1748"/>
      <c r="U55" s="1748"/>
      <c r="V55" s="1748"/>
      <c r="W55" s="1748"/>
      <c r="X55" s="1748"/>
      <c r="Y55" s="450"/>
      <c r="Z55" s="45"/>
      <c r="AA55" s="38"/>
    </row>
    <row r="56" spans="1:40" ht="7.2" customHeight="1" x14ac:dyDescent="0.3">
      <c r="A56" s="116"/>
      <c r="B56" s="450"/>
      <c r="C56" s="1748"/>
      <c r="D56" s="1748"/>
      <c r="E56" s="1748"/>
      <c r="F56" s="1748"/>
      <c r="G56" s="1748"/>
      <c r="H56" s="1748"/>
      <c r="I56" s="1748"/>
      <c r="J56" s="1748"/>
      <c r="K56" s="1748"/>
      <c r="L56" s="1748"/>
      <c r="M56" s="1748"/>
      <c r="N56" s="1748"/>
      <c r="O56" s="1748"/>
      <c r="P56" s="1748"/>
      <c r="Q56" s="1748"/>
      <c r="R56" s="1748"/>
      <c r="S56" s="1748"/>
      <c r="T56" s="1748"/>
      <c r="U56" s="1748"/>
      <c r="V56" s="1748"/>
      <c r="W56" s="1748"/>
      <c r="X56" s="1748"/>
      <c r="Y56" s="450"/>
      <c r="Z56" s="45"/>
      <c r="AA56" s="38"/>
    </row>
    <row r="57" spans="1:40" ht="20.399999999999999" customHeight="1" x14ac:dyDescent="0.35">
      <c r="A57" s="1749" t="s">
        <v>966</v>
      </c>
      <c r="B57" s="1749"/>
      <c r="C57" s="1749"/>
      <c r="D57" s="1749"/>
      <c r="E57" s="1749"/>
      <c r="F57" s="1749"/>
      <c r="G57" s="1749"/>
      <c r="H57" s="1749"/>
      <c r="I57" s="1749"/>
      <c r="J57" s="1749"/>
      <c r="K57" s="1749"/>
      <c r="L57" s="1749"/>
      <c r="M57" s="1749"/>
      <c r="N57" s="1749"/>
      <c r="O57" s="1749"/>
      <c r="P57" s="1749"/>
      <c r="Q57" s="379"/>
      <c r="R57" s="379"/>
      <c r="S57" s="379"/>
      <c r="T57" s="379"/>
      <c r="U57" s="379"/>
      <c r="V57" s="379"/>
      <c r="W57" s="379"/>
      <c r="X57" s="379"/>
      <c r="Y57" s="21"/>
      <c r="Z57" s="72"/>
    </row>
    <row r="58" spans="1:40" ht="7.8" customHeight="1" x14ac:dyDescent="0.3">
      <c r="A58" s="4"/>
      <c r="B58" s="2"/>
      <c r="C58" s="2"/>
      <c r="D58" s="2"/>
      <c r="E58" s="2"/>
      <c r="F58" s="2"/>
      <c r="G58" s="2"/>
      <c r="H58" s="2"/>
      <c r="I58" s="2"/>
      <c r="J58" s="2"/>
      <c r="K58" s="2"/>
      <c r="L58" s="2"/>
      <c r="M58" s="2"/>
      <c r="N58" s="2"/>
      <c r="O58" s="2"/>
      <c r="P58" s="2"/>
      <c r="Q58" s="2"/>
      <c r="R58" s="2"/>
      <c r="S58" s="2"/>
      <c r="T58" s="69"/>
      <c r="U58" s="69"/>
      <c r="V58" s="604"/>
      <c r="W58" s="604"/>
      <c r="X58" s="604"/>
      <c r="Y58" s="604"/>
      <c r="Z58" s="72"/>
    </row>
    <row r="59" spans="1:40" ht="22.2" customHeight="1" x14ac:dyDescent="0.35">
      <c r="A59" s="4"/>
      <c r="B59" s="1749" t="str">
        <f>IF(AND(F50="Eligible",V80=1),"Fannie: Employment-Related Assets as Qualifying Income",IF(AND(F52="Eligible",V80=2),"Freddie: Assets as a Basis for Repayment of Obligations",IF(AND(C81=TRUE,OR(F50="Error",F52="Error")),"Complete sections 1 and 2, Then select Fannie or Freddie if 'Eligible'",IF(AND(C81=TRUE,F50="Not Eligible",F52="Not Eligible"),"No Qualifying Assets per selections; Confirm data and asset source entered in sections 1 and 2","Complete Sections 1 and 2, Then select Fannie or Freddie if 'Eligible'"))))</f>
        <v>Complete Sections 1 and 2, Then select Fannie or Freddie if 'Eligible'</v>
      </c>
      <c r="C59" s="1749"/>
      <c r="D59" s="1749"/>
      <c r="E59" s="1749"/>
      <c r="F59" s="1749"/>
      <c r="G59" s="1749"/>
      <c r="H59" s="1749"/>
      <c r="I59" s="1749"/>
      <c r="J59" s="1749"/>
      <c r="K59" s="1749"/>
      <c r="L59" s="1749"/>
      <c r="M59" s="1749"/>
      <c r="N59" s="1749"/>
      <c r="O59" s="1749"/>
      <c r="P59" s="1749"/>
      <c r="Q59" s="1749"/>
      <c r="R59" s="1749"/>
      <c r="S59" s="1749"/>
      <c r="T59" s="1749"/>
      <c r="U59" s="1749"/>
      <c r="V59" s="1749"/>
      <c r="W59" s="1749"/>
      <c r="X59" s="1749"/>
      <c r="Y59" s="1749"/>
      <c r="Z59" s="72"/>
      <c r="AB59" s="2"/>
      <c r="AC59" s="557"/>
      <c r="AD59" s="557"/>
      <c r="AE59" s="557"/>
      <c r="AF59" s="557"/>
      <c r="AG59" s="557"/>
      <c r="AH59" s="557"/>
      <c r="AI59" s="557"/>
      <c r="AJ59" s="557"/>
      <c r="AK59" s="557"/>
      <c r="AL59" s="557"/>
      <c r="AM59" s="557"/>
    </row>
    <row r="60" spans="1:40" ht="7.8" customHeight="1" x14ac:dyDescent="0.3">
      <c r="A60" s="4"/>
      <c r="B60" s="1757"/>
      <c r="C60" s="1757"/>
      <c r="D60" s="1757"/>
      <c r="E60" s="1757"/>
      <c r="F60" s="1757"/>
      <c r="G60" s="1757"/>
      <c r="H60" s="1757"/>
      <c r="I60" s="1757"/>
      <c r="J60" s="1757"/>
      <c r="K60" s="1757"/>
      <c r="L60" s="1757"/>
      <c r="M60" s="2"/>
      <c r="Z60" s="72"/>
      <c r="AB60" s="2"/>
      <c r="AC60" s="554"/>
      <c r="AD60" s="554"/>
      <c r="AE60" s="554"/>
      <c r="AF60" s="554"/>
      <c r="AG60" s="554"/>
      <c r="AH60" s="554"/>
      <c r="AI60" s="554"/>
      <c r="AJ60" s="554"/>
      <c r="AK60" s="554"/>
      <c r="AL60" s="554"/>
      <c r="AM60" s="554"/>
    </row>
    <row r="61" spans="1:40" ht="15.6" customHeight="1" x14ac:dyDescent="0.3">
      <c r="A61" s="9" t="s">
        <v>1</v>
      </c>
      <c r="B61" s="1701" t="s">
        <v>967</v>
      </c>
      <c r="C61" s="1701"/>
      <c r="D61" s="1701"/>
      <c r="E61" s="1701"/>
      <c r="F61" s="1701"/>
      <c r="G61" s="1701"/>
      <c r="H61" s="1701"/>
      <c r="I61" s="1701"/>
      <c r="J61" s="1701"/>
      <c r="K61" s="1701"/>
      <c r="L61" s="1701"/>
      <c r="M61" s="1701"/>
      <c r="N61" s="1701"/>
      <c r="O61" s="1701"/>
      <c r="P61" s="1701"/>
      <c r="Q61" s="1701"/>
      <c r="R61" s="1701"/>
      <c r="S61" s="1701"/>
      <c r="T61" s="1701"/>
      <c r="U61" s="2"/>
      <c r="V61" s="1758">
        <f>V29</f>
        <v>0</v>
      </c>
      <c r="W61" s="1758"/>
      <c r="X61" s="1758"/>
      <c r="AB61" s="4"/>
      <c r="AC61" s="2"/>
      <c r="AD61" s="2"/>
      <c r="AE61" s="2"/>
      <c r="AF61" s="2"/>
      <c r="AG61" s="2"/>
      <c r="AH61" s="2"/>
      <c r="AI61" s="2"/>
      <c r="AJ61" s="2"/>
      <c r="AL61" s="69"/>
      <c r="AM61" s="69"/>
    </row>
    <row r="62" spans="1:40" ht="15.6" customHeight="1" x14ac:dyDescent="0.3">
      <c r="A62" s="9" t="str">
        <f>IF(V80=1,"2. ","")</f>
        <v/>
      </c>
      <c r="B62" s="1759" t="str">
        <f>IF(V80=1,"  - 10% If borrower is less than 59.5 years old: (unless overridden and justification provided)","")</f>
        <v/>
      </c>
      <c r="C62" s="1759"/>
      <c r="D62" s="1759"/>
      <c r="E62" s="1759"/>
      <c r="F62" s="1759"/>
      <c r="G62" s="1759"/>
      <c r="H62" s="1759"/>
      <c r="I62" s="1759"/>
      <c r="J62" s="1759"/>
      <c r="K62" s="1759"/>
      <c r="L62" s="1759"/>
      <c r="M62" s="1759"/>
      <c r="N62" s="1759"/>
      <c r="O62" s="1759"/>
      <c r="P62" s="1759"/>
      <c r="Q62" s="1759"/>
      <c r="R62" s="1759"/>
      <c r="S62" s="1759"/>
      <c r="T62" s="1759"/>
      <c r="U62" s="58" t="str">
        <f>IF(V80=1,"(","")</f>
        <v/>
      </c>
      <c r="V62" s="1758" t="str">
        <f>IF(AND(V80=1,M21&lt;59.5),V61*0.1,IF(AND(V80=1,M21&gt;=59.5),0,IF(V80=2,"-","")))</f>
        <v/>
      </c>
      <c r="W62" s="1758"/>
      <c r="X62" s="1758"/>
      <c r="Y62" s="92" t="str">
        <f>IF(V80=1,")","")</f>
        <v/>
      </c>
      <c r="AB62" s="4"/>
      <c r="AC62" s="605"/>
      <c r="AD62" s="605"/>
      <c r="AE62" s="605"/>
      <c r="AF62" s="605"/>
      <c r="AG62" s="605"/>
      <c r="AH62" s="605"/>
      <c r="AI62" s="605"/>
      <c r="AJ62" s="605"/>
      <c r="AK62" s="58"/>
      <c r="AL62" s="148"/>
      <c r="AM62" s="148"/>
      <c r="AN62" s="56"/>
    </row>
    <row r="63" spans="1:40" ht="15.6" customHeight="1" x14ac:dyDescent="0.3">
      <c r="A63" s="9" t="str">
        <f>IF(V80=1,"3. ","2. ")</f>
        <v xml:space="preserve">2. </v>
      </c>
      <c r="B63" s="1759" t="s">
        <v>968</v>
      </c>
      <c r="C63" s="1759"/>
      <c r="D63" s="1759"/>
      <c r="E63" s="1759"/>
      <c r="F63" s="1759"/>
      <c r="G63" s="1759"/>
      <c r="H63" s="1759"/>
      <c r="I63" s="1759"/>
      <c r="J63" s="1759"/>
      <c r="K63" s="1759"/>
      <c r="L63" s="1759"/>
      <c r="M63" s="1759"/>
      <c r="N63" s="1759"/>
      <c r="O63" s="1759"/>
      <c r="P63" s="1759"/>
      <c r="Q63" s="1759"/>
      <c r="R63" s="1759"/>
      <c r="S63" s="1759"/>
      <c r="T63" s="1759"/>
      <c r="U63" s="58" t="s">
        <v>14</v>
      </c>
      <c r="V63" s="1760"/>
      <c r="W63" s="1760"/>
      <c r="X63" s="1760"/>
      <c r="Y63" s="92" t="s">
        <v>13</v>
      </c>
      <c r="AB63" s="4"/>
      <c r="AC63" s="605"/>
      <c r="AD63" s="605"/>
      <c r="AE63" s="605"/>
      <c r="AF63" s="605"/>
      <c r="AG63" s="605"/>
      <c r="AH63" s="605"/>
      <c r="AI63" s="605"/>
      <c r="AJ63" s="605"/>
      <c r="AK63" s="58"/>
      <c r="AL63" s="575"/>
      <c r="AM63" s="575"/>
      <c r="AN63" s="56"/>
    </row>
    <row r="64" spans="1:40" ht="15.6" customHeight="1" x14ac:dyDescent="0.3">
      <c r="A64" s="9" t="str">
        <f>IF(V80=1,"4. ","3. ")</f>
        <v xml:space="preserve">3. </v>
      </c>
      <c r="B64" s="1759" t="s">
        <v>969</v>
      </c>
      <c r="C64" s="1759"/>
      <c r="D64" s="1759"/>
      <c r="E64" s="1759"/>
      <c r="F64" s="1759"/>
      <c r="G64" s="1759"/>
      <c r="H64" s="1759"/>
      <c r="I64" s="1759"/>
      <c r="J64" s="1759"/>
      <c r="K64" s="1759"/>
      <c r="L64" s="1759"/>
      <c r="M64" s="1759"/>
      <c r="N64" s="1759"/>
      <c r="O64" s="1759"/>
      <c r="P64" s="1759"/>
      <c r="Q64" s="1759"/>
      <c r="R64" s="1759"/>
      <c r="S64" s="1759"/>
      <c r="T64" s="1759"/>
      <c r="U64" s="58" t="s">
        <v>14</v>
      </c>
      <c r="V64" s="1760"/>
      <c r="W64" s="1760"/>
      <c r="X64" s="1760"/>
      <c r="Y64" s="92" t="s">
        <v>13</v>
      </c>
      <c r="AB64" s="4"/>
      <c r="AC64" s="605"/>
      <c r="AD64" s="605"/>
      <c r="AE64" s="605"/>
      <c r="AF64" s="605"/>
      <c r="AG64" s="605"/>
      <c r="AH64" s="605"/>
      <c r="AI64" s="605"/>
      <c r="AJ64" s="605"/>
      <c r="AK64" s="606"/>
      <c r="AL64" s="148"/>
      <c r="AM64" s="148"/>
      <c r="AN64" s="56"/>
    </row>
    <row r="65" spans="1:40" ht="15.6" customHeight="1" x14ac:dyDescent="0.3">
      <c r="A65" s="9" t="str">
        <f>IF(V80=1,"5. ","4. ")</f>
        <v xml:space="preserve">4. </v>
      </c>
      <c r="B65" s="1759" t="str">
        <f>IF(V80=1,"  - Any other Penalties or Fees: (other than the 10% auto reduction for early withdrawal)",IF(V80=2,"  - Any Portion pledged as collateral for a loan or otherwise encumbered:",""))</f>
        <v/>
      </c>
      <c r="C65" s="1759"/>
      <c r="D65" s="1759"/>
      <c r="E65" s="1759"/>
      <c r="F65" s="1759"/>
      <c r="G65" s="1759"/>
      <c r="H65" s="1759"/>
      <c r="I65" s="1759"/>
      <c r="J65" s="1759"/>
      <c r="K65" s="1759"/>
      <c r="L65" s="1759"/>
      <c r="M65" s="1759"/>
      <c r="N65" s="1759"/>
      <c r="O65" s="1759"/>
      <c r="P65" s="1759"/>
      <c r="Q65" s="1759"/>
      <c r="R65" s="1759"/>
      <c r="S65" s="1759"/>
      <c r="T65" s="1759"/>
      <c r="U65" s="58" t="s">
        <v>14</v>
      </c>
      <c r="V65" s="1760"/>
      <c r="W65" s="1760"/>
      <c r="X65" s="1760"/>
      <c r="Y65" s="92" t="s">
        <v>13</v>
      </c>
      <c r="AB65" s="4"/>
      <c r="AC65" s="605"/>
      <c r="AD65" s="605"/>
      <c r="AE65" s="605"/>
      <c r="AF65" s="605"/>
      <c r="AG65" s="605"/>
      <c r="AH65" s="605"/>
      <c r="AI65" s="605"/>
      <c r="AJ65" s="605"/>
      <c r="AK65" s="606"/>
      <c r="AL65" s="575"/>
      <c r="AM65" s="575"/>
      <c r="AN65" s="56"/>
    </row>
    <row r="66" spans="1:40" ht="15.6" customHeight="1" x14ac:dyDescent="0.3">
      <c r="A66" s="9" t="str">
        <f>IF(V80=1,"6. ","5. ")</f>
        <v xml:space="preserve">5. </v>
      </c>
      <c r="B66" s="1427" t="s">
        <v>41</v>
      </c>
      <c r="C66" s="1427"/>
      <c r="D66" s="1427"/>
      <c r="E66" s="1755" t="str">
        <f>IF(AND(V80=2,OR(X80=3,X80=5),OR(V65&lt;&gt;"",V65&lt;&gt;0),F52="Eligible",C81=TRUE),"Error, Section 2 is selected that funds are fully available; This asset source ineligible if funds are encumbered","")</f>
        <v/>
      </c>
      <c r="F66" s="1755"/>
      <c r="G66" s="1755"/>
      <c r="H66" s="1755"/>
      <c r="I66" s="1755"/>
      <c r="J66" s="1755"/>
      <c r="K66" s="1755"/>
      <c r="L66" s="1755"/>
      <c r="M66" s="1755"/>
      <c r="N66" s="1755"/>
      <c r="O66" s="1755"/>
      <c r="P66" s="1755"/>
      <c r="Q66" s="1755"/>
      <c r="R66" s="1755"/>
      <c r="S66" s="1755"/>
      <c r="T66" s="1755"/>
      <c r="U66" s="2"/>
      <c r="V66" s="1756">
        <f>IF(V80=1,V61-V62-V63-V64-V65,IF(AND(V80=2,E66=""),V61-V63-V64-V65,0))</f>
        <v>0</v>
      </c>
      <c r="W66" s="1756"/>
      <c r="X66" s="1756"/>
      <c r="Y66" s="92"/>
      <c r="AB66" s="4"/>
      <c r="AC66" s="605"/>
      <c r="AD66" s="605"/>
      <c r="AE66" s="605"/>
      <c r="AF66" s="605"/>
      <c r="AG66" s="605"/>
      <c r="AH66" s="605"/>
      <c r="AI66" s="605"/>
      <c r="AJ66" s="605"/>
      <c r="AK66" s="606"/>
      <c r="AL66" s="575"/>
      <c r="AM66" s="575"/>
      <c r="AN66" s="56"/>
    </row>
    <row r="67" spans="1:40" ht="15.6" customHeight="1" x14ac:dyDescent="0.3">
      <c r="A67" s="9"/>
      <c r="B67" s="1759"/>
      <c r="C67" s="1759"/>
      <c r="D67" s="1759"/>
      <c r="E67" s="1759"/>
      <c r="F67" s="1759"/>
      <c r="G67" s="1759"/>
      <c r="H67" s="1759"/>
      <c r="I67" s="1759"/>
      <c r="J67" s="1759"/>
      <c r="K67" s="1759"/>
      <c r="L67" s="1759"/>
      <c r="M67" s="1759"/>
      <c r="N67" s="1759"/>
      <c r="O67" s="1759"/>
      <c r="P67" s="1759"/>
      <c r="Q67" s="1759"/>
      <c r="R67" s="1759"/>
      <c r="S67" s="1759"/>
      <c r="T67" s="1759"/>
      <c r="U67" s="58"/>
      <c r="V67" s="1758"/>
      <c r="W67" s="1758"/>
      <c r="X67" s="1758"/>
      <c r="Y67" s="92"/>
      <c r="AB67" s="4"/>
      <c r="AC67" s="3"/>
      <c r="AD67" s="3"/>
      <c r="AE67" s="3"/>
      <c r="AF67" s="3"/>
      <c r="AG67" s="3"/>
      <c r="AH67" s="3"/>
      <c r="AI67" s="3"/>
      <c r="AJ67" s="3"/>
      <c r="AL67" s="5"/>
      <c r="AM67" s="5"/>
    </row>
    <row r="68" spans="1:40" ht="15" customHeight="1" thickBot="1" x14ac:dyDescent="0.35">
      <c r="A68" s="9" t="str">
        <f>IF(V80=1,"8. ","6. ")</f>
        <v xml:space="preserve">6. </v>
      </c>
      <c r="B68" s="1427" t="s">
        <v>970</v>
      </c>
      <c r="C68" s="1427"/>
      <c r="D68" s="1427"/>
      <c r="E68" s="1427"/>
      <c r="F68" s="1427"/>
      <c r="G68" s="1427"/>
      <c r="H68" s="1427"/>
      <c r="I68" s="1427"/>
      <c r="J68" s="1427"/>
      <c r="K68" s="1427"/>
      <c r="L68" s="1427"/>
      <c r="M68" s="1427"/>
      <c r="N68" s="1427"/>
      <c r="O68" s="1427"/>
      <c r="P68" s="1427"/>
      <c r="Q68" s="1427"/>
      <c r="R68" s="1427"/>
      <c r="S68" s="1427"/>
      <c r="T68" s="1427"/>
      <c r="U68" s="2"/>
      <c r="V68" s="1763">
        <f>IF(V80=1,V66-V67,IF(V80=2,V66,0))</f>
        <v>0</v>
      </c>
      <c r="W68" s="1763"/>
      <c r="X68" s="1763"/>
      <c r="Z68" s="2"/>
      <c r="AA68" s="2"/>
      <c r="AB68" s="99"/>
      <c r="AC68" s="68"/>
      <c r="AD68" s="68"/>
      <c r="AE68" s="68"/>
      <c r="AF68" s="68"/>
      <c r="AG68" s="68"/>
      <c r="AH68" s="68"/>
      <c r="AI68" s="68"/>
      <c r="AJ68" s="68"/>
      <c r="AK68" s="2"/>
      <c r="AL68" s="607"/>
      <c r="AM68" s="607"/>
    </row>
    <row r="69" spans="1:40" ht="9" customHeight="1" thickTop="1" x14ac:dyDescent="0.3">
      <c r="A69" s="9"/>
      <c r="B69" s="2"/>
      <c r="C69" s="2"/>
      <c r="D69" s="2"/>
      <c r="E69" s="2"/>
      <c r="F69" s="2"/>
      <c r="G69" s="2"/>
      <c r="H69" s="2"/>
      <c r="I69" s="2"/>
      <c r="U69" s="2"/>
      <c r="V69" s="641"/>
      <c r="W69" s="641"/>
      <c r="X69" s="641"/>
      <c r="Z69" s="2"/>
      <c r="AA69" s="2"/>
      <c r="AB69" s="99"/>
      <c r="AC69" s="68"/>
      <c r="AD69" s="68"/>
      <c r="AE69" s="68"/>
      <c r="AF69" s="68"/>
      <c r="AG69" s="68"/>
      <c r="AH69" s="68"/>
      <c r="AI69" s="68"/>
      <c r="AJ69" s="68"/>
      <c r="AL69" s="607"/>
      <c r="AM69" s="607"/>
    </row>
    <row r="70" spans="1:40" ht="15" customHeight="1" x14ac:dyDescent="0.3">
      <c r="A70" s="9" t="str">
        <f>IF(V80=1,"9. ","7. ")</f>
        <v xml:space="preserve">7. </v>
      </c>
      <c r="B70" s="1701" t="str">
        <f>IF(V80=1,"Loan Term in months:",IF(V80=2,"Divided by 240 months (Freddie Requirement):",""))</f>
        <v/>
      </c>
      <c r="C70" s="1701"/>
      <c r="D70" s="1701"/>
      <c r="E70" s="1701"/>
      <c r="F70" s="1701"/>
      <c r="G70" s="1701"/>
      <c r="H70" s="1701"/>
      <c r="I70" s="1701"/>
      <c r="J70" s="1701"/>
      <c r="K70" s="1701"/>
      <c r="L70" s="1701"/>
      <c r="M70" s="1701"/>
      <c r="N70" s="1765" t="str">
        <f>IF(AND(V80=1,R70&lt;&gt;"",OR(R70&lt;120,R70&gt;360)),"Invalid # of Months","")</f>
        <v/>
      </c>
      <c r="O70" s="1765"/>
      <c r="P70" s="1765"/>
      <c r="Q70" s="1765"/>
      <c r="R70" s="1766">
        <v>360</v>
      </c>
      <c r="S70" s="1766"/>
      <c r="T70" s="1766"/>
      <c r="U70" s="529"/>
      <c r="V70" s="642" t="s">
        <v>971</v>
      </c>
      <c r="W70" s="1767" t="s">
        <v>1071</v>
      </c>
      <c r="X70" s="1767"/>
      <c r="Z70" s="2"/>
      <c r="AA70" s="2"/>
      <c r="AB70" s="99"/>
      <c r="AC70" s="68"/>
      <c r="AD70" s="68"/>
      <c r="AE70" s="68"/>
      <c r="AF70" s="68"/>
      <c r="AG70" s="68"/>
      <c r="AH70" s="68"/>
      <c r="AI70" s="68"/>
      <c r="AJ70" s="68"/>
      <c r="AK70" s="2"/>
      <c r="AL70" s="607"/>
      <c r="AM70" s="607"/>
    </row>
    <row r="71" spans="1:40" ht="7.2" customHeight="1" x14ac:dyDescent="0.3">
      <c r="A71"/>
      <c r="B71" s="2"/>
      <c r="C71" s="2"/>
      <c r="D71" s="2"/>
      <c r="E71" s="2"/>
      <c r="F71" s="2"/>
      <c r="G71" s="2"/>
      <c r="H71" s="2"/>
      <c r="I71" s="2"/>
      <c r="U71" s="2"/>
      <c r="V71" s="643"/>
      <c r="W71" s="643"/>
      <c r="X71" s="643"/>
      <c r="AB71" s="99"/>
      <c r="AC71" s="68"/>
      <c r="AD71" s="68"/>
      <c r="AE71" s="68"/>
      <c r="AF71" s="68"/>
      <c r="AG71" s="68"/>
      <c r="AH71" s="68"/>
      <c r="AI71" s="68"/>
      <c r="AJ71" s="68"/>
      <c r="AL71" s="607"/>
      <c r="AM71" s="607"/>
    </row>
    <row r="72" spans="1:40" ht="15.6" customHeight="1" thickBot="1" x14ac:dyDescent="0.35">
      <c r="A72" s="9" t="str">
        <f>IF(V80=1,"10. ","8. ")</f>
        <v xml:space="preserve">8. </v>
      </c>
      <c r="B72" s="3" t="s">
        <v>972</v>
      </c>
      <c r="C72" s="3"/>
      <c r="D72" s="3"/>
      <c r="E72" s="3"/>
      <c r="F72" s="3"/>
      <c r="G72" s="3"/>
      <c r="H72" s="3"/>
      <c r="I72" s="3"/>
      <c r="U72" s="2"/>
      <c r="V72" s="1763">
        <f>IF(AND(V80=1,V68&gt;0,R70&lt;&gt;"",R70&gt;=120,R70&lt;=360,OR(F50="Eligible",C76="calcOR"),OR(C81=TRUE,C76="calcor")),V68/R70,IF(AND(V80=2,V68&gt;0,OR(C76="calcor",F52="Eligible"),OR(C81=TRUE,C76="calcor")),V68/240,0))</f>
        <v>0</v>
      </c>
      <c r="W72" s="1763"/>
      <c r="X72" s="1763"/>
      <c r="Y72" s="755">
        <f>IF(OR(Y81=TRUE,G1&lt;&gt;""),0,V72)</f>
        <v>0</v>
      </c>
      <c r="Z72" s="72"/>
      <c r="AB72" s="4"/>
      <c r="AC72" s="3"/>
      <c r="AD72" s="3"/>
      <c r="AE72" s="3"/>
      <c r="AF72" s="3"/>
      <c r="AG72" s="3"/>
      <c r="AH72" s="3"/>
      <c r="AI72" s="3"/>
      <c r="AJ72" s="3"/>
      <c r="AL72" s="5"/>
      <c r="AM72" s="5"/>
    </row>
    <row r="73" spans="1:40" ht="11.4" customHeight="1" thickTop="1" x14ac:dyDescent="0.3">
      <c r="A73" s="4"/>
      <c r="B73" s="2"/>
      <c r="C73" s="2"/>
      <c r="D73" s="2"/>
      <c r="E73" s="2"/>
      <c r="F73" s="2"/>
      <c r="G73" s="2"/>
      <c r="H73" s="2"/>
      <c r="I73" s="2"/>
      <c r="J73" s="2"/>
      <c r="K73" s="2"/>
      <c r="L73" s="2"/>
      <c r="M73" s="2"/>
      <c r="Z73" s="72"/>
      <c r="AB73" s="2"/>
      <c r="AC73" s="2"/>
      <c r="AD73"/>
      <c r="AE73" s="502"/>
      <c r="AF73" s="502"/>
      <c r="AG73" s="502"/>
      <c r="AH73" s="502"/>
      <c r="AI73" s="502"/>
      <c r="AJ73" s="502"/>
      <c r="AK73" s="287"/>
      <c r="AL73" s="287"/>
      <c r="AM73" s="604"/>
    </row>
    <row r="74" spans="1:40" ht="15.6" customHeight="1" x14ac:dyDescent="0.3">
      <c r="A74" s="4"/>
      <c r="B74" s="1764" t="str">
        <f>IF(AND(V80=1,V72&gt;0),"*See Fannie Guide for 'Employment Related Assets as Qualifying Income' for documentation requirements.
*Must use DU and receive Approve/Eligible.",IF(AND(V80=2,V72&gt;0),"*See Freddie Guide for 'Assets as a Basis for Repayment of Obligations' for documentation requirements.
*Must use LP and receive Accept/Eligile.",""))</f>
        <v/>
      </c>
      <c r="C74" s="1764"/>
      <c r="D74" s="1764"/>
      <c r="E74" s="1764"/>
      <c r="F74" s="1764"/>
      <c r="G74" s="1764"/>
      <c r="H74" s="1764"/>
      <c r="I74" s="1764"/>
      <c r="J74" s="1764"/>
      <c r="K74" s="1764"/>
      <c r="L74" s="1764"/>
      <c r="M74" s="1764"/>
      <c r="N74" s="1764"/>
      <c r="O74" s="1764"/>
      <c r="P74" s="1764"/>
      <c r="Q74" s="1764"/>
      <c r="Z74" s="72"/>
      <c r="AB74" s="2"/>
      <c r="AC74" s="2"/>
      <c r="AD74" s="608"/>
      <c r="AE74" s="608"/>
      <c r="AF74" s="608"/>
      <c r="AG74" s="608"/>
      <c r="AH74" s="608"/>
      <c r="AI74" s="608"/>
      <c r="AJ74" s="608"/>
      <c r="AK74" s="608"/>
      <c r="AL74" s="608"/>
      <c r="AM74" s="604"/>
    </row>
    <row r="75" spans="1:40" ht="15.6" customHeight="1" x14ac:dyDescent="0.3">
      <c r="A75" s="4"/>
      <c r="B75" s="1764"/>
      <c r="C75" s="1764"/>
      <c r="D75" s="1764"/>
      <c r="E75" s="1764"/>
      <c r="F75" s="1764"/>
      <c r="G75" s="1764"/>
      <c r="H75" s="1764"/>
      <c r="I75" s="1764"/>
      <c r="J75" s="1764"/>
      <c r="K75" s="1764"/>
      <c r="L75" s="1764"/>
      <c r="M75" s="1764"/>
      <c r="N75" s="1764"/>
      <c r="O75" s="1764"/>
      <c r="P75" s="1764"/>
      <c r="Q75" s="1764"/>
      <c r="R75" s="1510" t="s">
        <v>973</v>
      </c>
      <c r="S75" s="1510"/>
      <c r="T75" s="1510"/>
      <c r="U75" s="1510"/>
      <c r="V75" s="1510"/>
      <c r="W75" s="1510"/>
      <c r="X75" s="1510"/>
      <c r="Y75" s="1510"/>
      <c r="Z75" s="1510"/>
      <c r="AB75" s="2"/>
      <c r="AC75" s="2"/>
      <c r="AD75" s="608"/>
      <c r="AE75" s="608"/>
      <c r="AF75" s="608"/>
      <c r="AG75" s="608"/>
      <c r="AH75" s="608"/>
      <c r="AI75" s="608"/>
      <c r="AJ75" s="608"/>
      <c r="AK75" s="608"/>
      <c r="AL75" s="608"/>
      <c r="AM75" s="604"/>
    </row>
    <row r="76" spans="1:40" ht="21.6" customHeight="1" x14ac:dyDescent="0.3">
      <c r="A76" s="1475" t="s">
        <v>1074</v>
      </c>
      <c r="B76" s="1475"/>
      <c r="C76" s="1475"/>
      <c r="D76" s="1475"/>
      <c r="E76" s="1475"/>
      <c r="F76" s="1475"/>
      <c r="G76" s="1475"/>
      <c r="H76" s="1475"/>
      <c r="I76" s="361"/>
      <c r="J76" s="361"/>
      <c r="K76" s="361"/>
      <c r="L76" s="361"/>
      <c r="M76" s="361"/>
      <c r="N76" s="361"/>
      <c r="O76" s="361"/>
      <c r="P76" s="19"/>
      <c r="Q76" s="496"/>
      <c r="R76" s="1510"/>
      <c r="S76" s="1510"/>
      <c r="T76" s="1510"/>
      <c r="U76" s="1510"/>
      <c r="V76" s="1510"/>
      <c r="W76" s="1510"/>
      <c r="X76" s="1510"/>
      <c r="Y76" s="1510"/>
      <c r="Z76" s="1510"/>
    </row>
    <row r="77" spans="1:40" x14ac:dyDescent="0.3">
      <c r="A77" s="1325"/>
      <c r="B77" s="1325"/>
      <c r="C77" s="1325"/>
      <c r="D77" s="1325"/>
      <c r="E77" s="1325"/>
      <c r="F77" s="1325"/>
      <c r="G77" s="1325"/>
      <c r="H77" s="1325"/>
      <c r="I77" s="1325"/>
      <c r="J77" s="1325"/>
      <c r="K77" s="1325"/>
      <c r="L77" s="1325"/>
      <c r="M77" s="1325"/>
      <c r="N77" s="1325"/>
      <c r="O77" s="1325"/>
      <c r="P77" s="1325"/>
      <c r="Q77" s="1325"/>
      <c r="R77" s="1325"/>
      <c r="S77" s="1325"/>
      <c r="T77" s="1325"/>
      <c r="U77" s="1325"/>
      <c r="V77" s="1325"/>
      <c r="W77" s="1325"/>
      <c r="X77" s="1325"/>
      <c r="Y77" s="1325"/>
      <c r="Z77" s="1325"/>
      <c r="AA77" s="1325"/>
    </row>
    <row r="78" spans="1:40" x14ac:dyDescent="0.3">
      <c r="A78" s="1325"/>
      <c r="B78" s="1325"/>
      <c r="C78" s="1325"/>
      <c r="D78" s="1325"/>
      <c r="E78" s="1325"/>
      <c r="F78" s="1325"/>
      <c r="G78" s="1325"/>
      <c r="H78" s="1325"/>
      <c r="I78" s="1325"/>
      <c r="J78" s="1325"/>
      <c r="K78" s="1325"/>
      <c r="L78" s="1325"/>
      <c r="M78" s="1325"/>
      <c r="N78" s="1325"/>
      <c r="O78" s="1325"/>
      <c r="P78" s="1325"/>
      <c r="Q78" s="1325"/>
      <c r="R78" s="1325"/>
      <c r="S78" s="1325"/>
      <c r="T78" s="1325"/>
      <c r="U78" s="1325"/>
      <c r="V78" s="1325"/>
      <c r="W78" s="1325"/>
      <c r="X78" s="1325"/>
      <c r="Y78" s="1325"/>
      <c r="Z78" s="1325"/>
      <c r="AA78" s="1325"/>
    </row>
    <row r="79" spans="1:40" ht="14.25" customHeight="1" x14ac:dyDescent="0.3">
      <c r="A79" s="1325"/>
      <c r="B79" s="1325"/>
      <c r="C79" s="1325"/>
      <c r="D79" s="1325"/>
      <c r="E79" s="1325"/>
      <c r="F79" s="1325"/>
      <c r="G79" s="1325"/>
      <c r="H79" s="1325"/>
      <c r="I79" s="1325"/>
      <c r="J79" s="1325"/>
      <c r="K79" s="1325"/>
      <c r="L79" s="1325"/>
      <c r="M79" s="1325"/>
      <c r="N79" s="1325"/>
      <c r="O79" s="1325"/>
      <c r="P79" s="1325"/>
      <c r="Q79" s="1325"/>
      <c r="R79" s="1325"/>
      <c r="S79" s="1325"/>
      <c r="T79" s="1325"/>
      <c r="U79" s="1325"/>
      <c r="V79" s="1325"/>
      <c r="W79" s="1325"/>
      <c r="X79" s="1325"/>
      <c r="Y79" s="1325"/>
      <c r="Z79" s="1325"/>
      <c r="AA79" s="1325"/>
    </row>
    <row r="80" spans="1:40" hidden="1" x14ac:dyDescent="0.3">
      <c r="A80" s="1049"/>
      <c r="B80" s="1046"/>
      <c r="C80" s="1066" t="b">
        <v>0</v>
      </c>
      <c r="D80" s="1066" t="b">
        <v>0</v>
      </c>
      <c r="E80" s="1066" t="b">
        <v>0</v>
      </c>
      <c r="F80" s="1067" t="b">
        <v>0</v>
      </c>
      <c r="G80" s="1066" t="b">
        <v>0</v>
      </c>
      <c r="H80" s="1066" t="b">
        <v>0</v>
      </c>
      <c r="I80" s="1066" t="b">
        <v>0</v>
      </c>
      <c r="J80" s="1066" t="b">
        <v>0</v>
      </c>
      <c r="K80" s="1066" t="b">
        <v>0</v>
      </c>
      <c r="L80" s="1066" t="b">
        <v>0</v>
      </c>
      <c r="M80" s="1066" t="b">
        <v>0</v>
      </c>
      <c r="N80" s="474"/>
      <c r="O80" s="474"/>
      <c r="P80" s="474"/>
      <c r="Q80" s="474"/>
      <c r="R80" s="474"/>
      <c r="S80" s="609"/>
      <c r="T80" s="609"/>
      <c r="U80" s="609"/>
      <c r="V80" s="1068"/>
      <c r="W80" s="474"/>
      <c r="X80" s="1046"/>
      <c r="Y80" s="1068"/>
      <c r="Z80" s="36"/>
      <c r="AA80" s="36"/>
      <c r="AB80" s="47"/>
      <c r="AC80" s="47"/>
      <c r="AD80" s="47"/>
      <c r="AE80" s="47"/>
      <c r="AF80" s="36"/>
    </row>
    <row r="81" spans="1:32" hidden="1" x14ac:dyDescent="0.3">
      <c r="C81" s="1049" t="b">
        <v>0</v>
      </c>
      <c r="D81" s="36"/>
      <c r="E81" s="36"/>
      <c r="F81" s="36"/>
      <c r="G81" s="36"/>
      <c r="H81" s="36"/>
      <c r="I81" s="36"/>
      <c r="J81" s="36"/>
      <c r="K81" s="36"/>
      <c r="L81" s="36"/>
      <c r="M81" s="36"/>
      <c r="N81" s="36"/>
      <c r="O81" s="36"/>
      <c r="P81" s="36"/>
      <c r="Q81" s="36"/>
      <c r="R81" s="36"/>
      <c r="S81" s="47"/>
      <c r="T81" s="47"/>
      <c r="U81" s="47"/>
      <c r="V81" s="716" t="str">
        <f>IF(AND(L9&lt;&gt;"",AFIOMIT&lt;&gt;TRUE),"E","")</f>
        <v/>
      </c>
      <c r="W81" s="36"/>
      <c r="X81" s="1046"/>
      <c r="Y81" s="1046" t="b">
        <v>0</v>
      </c>
      <c r="Z81" s="36"/>
      <c r="AA81" s="36"/>
      <c r="AB81" s="47"/>
      <c r="AC81" s="47"/>
      <c r="AD81" s="47"/>
      <c r="AE81" s="47"/>
      <c r="AF81" s="36"/>
    </row>
    <row r="82" spans="1:32" ht="7.8" hidden="1" customHeight="1" x14ac:dyDescent="0.3">
      <c r="C82" s="1049" t="b">
        <v>0</v>
      </c>
      <c r="D82" s="36"/>
      <c r="E82" s="36"/>
      <c r="F82" s="36"/>
      <c r="G82" s="36"/>
      <c r="H82" s="36"/>
      <c r="I82" s="36"/>
      <c r="J82" s="36"/>
      <c r="K82" s="36"/>
      <c r="L82" s="36"/>
      <c r="M82" s="36"/>
      <c r="N82" s="36"/>
      <c r="O82" s="36"/>
      <c r="P82" s="36"/>
      <c r="Q82" s="36"/>
      <c r="R82" s="36"/>
      <c r="S82" s="47"/>
      <c r="T82" s="47"/>
      <c r="U82" s="47"/>
      <c r="V82" s="36"/>
      <c r="W82" s="36"/>
      <c r="X82" s="36"/>
      <c r="Y82" s="36"/>
      <c r="Z82" s="47">
        <v>4</v>
      </c>
      <c r="AA82" s="36"/>
      <c r="AB82" s="47"/>
      <c r="AC82" s="47"/>
      <c r="AD82" s="47"/>
      <c r="AE82" s="47"/>
      <c r="AF82" s="36"/>
    </row>
    <row r="83" spans="1:32" ht="14.4" customHeight="1" x14ac:dyDescent="0.3">
      <c r="A83" s="1482" t="str">
        <f ca="1">REPLACE(CELL("filename",A83),1,FIND("]",CELL("filename",A83)),"")</f>
        <v>Assets as Income</v>
      </c>
      <c r="B83" s="1482"/>
      <c r="C83" s="1482"/>
      <c r="D83" s="1482"/>
      <c r="E83" s="36"/>
      <c r="F83" s="36"/>
      <c r="G83" s="36"/>
      <c r="H83" s="36"/>
      <c r="I83" s="36"/>
      <c r="J83" s="36"/>
      <c r="K83" s="36"/>
      <c r="L83" s="36"/>
      <c r="M83" s="36"/>
      <c r="N83" s="36"/>
      <c r="O83" s="36"/>
      <c r="P83" s="36"/>
      <c r="Q83" s="36"/>
      <c r="R83" s="36"/>
      <c r="S83" s="47"/>
      <c r="T83" s="47"/>
      <c r="U83" s="47">
        <v>1</v>
      </c>
      <c r="W83" s="36">
        <v>2</v>
      </c>
    </row>
    <row r="86" spans="1:32" ht="20.399999999999999" customHeight="1" x14ac:dyDescent="0.3">
      <c r="X86" s="1419" t="str">
        <f>Version</f>
        <v>Version 2026.1</v>
      </c>
      <c r="Y86" s="1419"/>
      <c r="Z86" s="1419"/>
      <c r="AA86" s="1419"/>
    </row>
    <row r="87" spans="1:32" ht="64.8" customHeight="1" x14ac:dyDescent="0.3"/>
  </sheetData>
  <sheetProtection algorithmName="SHA-512" hashValue="BmjPwlLC11MIBtGwGLYAKPCPcwJtiD5ShXd9AErbvurCqIta3pXaIoD8woy+1Zf+3CXrlBSyx73e6u4dzOAzVg==" saltValue="6Y96rKMjky9zDx/GQrXJjQ==" spinCount="100000" sheet="1" objects="1" scenarios="1" selectLockedCells="1"/>
  <mergeCells count="132">
    <mergeCell ref="U1:X1"/>
    <mergeCell ref="G1:T1"/>
    <mergeCell ref="A9:K9"/>
    <mergeCell ref="L9:V9"/>
    <mergeCell ref="A83:D83"/>
    <mergeCell ref="X86:AA86"/>
    <mergeCell ref="V72:X72"/>
    <mergeCell ref="B74:Q75"/>
    <mergeCell ref="R75:Z76"/>
    <mergeCell ref="A76:H76"/>
    <mergeCell ref="A77:AA79"/>
    <mergeCell ref="B67:T67"/>
    <mergeCell ref="V67:X67"/>
    <mergeCell ref="B68:T68"/>
    <mergeCell ref="V68:X68"/>
    <mergeCell ref="B70:M70"/>
    <mergeCell ref="N70:Q70"/>
    <mergeCell ref="R70:T70"/>
    <mergeCell ref="W70:X70"/>
    <mergeCell ref="B64:T64"/>
    <mergeCell ref="V64:X64"/>
    <mergeCell ref="B65:T65"/>
    <mergeCell ref="V65:X65"/>
    <mergeCell ref="B66:D66"/>
    <mergeCell ref="E66:T66"/>
    <mergeCell ref="V66:X66"/>
    <mergeCell ref="B60:L60"/>
    <mergeCell ref="B61:T61"/>
    <mergeCell ref="V61:X61"/>
    <mergeCell ref="B62:T62"/>
    <mergeCell ref="V62:X62"/>
    <mergeCell ref="B63:T63"/>
    <mergeCell ref="V63:X63"/>
    <mergeCell ref="C52:E53"/>
    <mergeCell ref="F52:I53"/>
    <mergeCell ref="J52:X53"/>
    <mergeCell ref="C55:X56"/>
    <mergeCell ref="A57:P57"/>
    <mergeCell ref="B59:Y59"/>
    <mergeCell ref="C47:X47"/>
    <mergeCell ref="C49:I49"/>
    <mergeCell ref="J49:X49"/>
    <mergeCell ref="C50:E51"/>
    <mergeCell ref="F50:I51"/>
    <mergeCell ref="J50:X51"/>
    <mergeCell ref="A42:B42"/>
    <mergeCell ref="C42:Q42"/>
    <mergeCell ref="T42:Y42"/>
    <mergeCell ref="T43:Y44"/>
    <mergeCell ref="C44:Q44"/>
    <mergeCell ref="D45:P45"/>
    <mergeCell ref="AC39:AC40"/>
    <mergeCell ref="AF39:AF40"/>
    <mergeCell ref="A40:B40"/>
    <mergeCell ref="C40:Q40"/>
    <mergeCell ref="A41:B41"/>
    <mergeCell ref="C41:Q41"/>
    <mergeCell ref="A38:B38"/>
    <mergeCell ref="C38:Q38"/>
    <mergeCell ref="R38:Y38"/>
    <mergeCell ref="A39:B39"/>
    <mergeCell ref="C39:Q39"/>
    <mergeCell ref="R39:Y41"/>
    <mergeCell ref="C35:Q35"/>
    <mergeCell ref="A36:B36"/>
    <mergeCell ref="C36:Q36"/>
    <mergeCell ref="A37:B37"/>
    <mergeCell ref="C37:Q37"/>
    <mergeCell ref="R37:Y37"/>
    <mergeCell ref="AC32:AC33"/>
    <mergeCell ref="AF32:AF33"/>
    <mergeCell ref="A33:B33"/>
    <mergeCell ref="C33:Q33"/>
    <mergeCell ref="R33:Y35"/>
    <mergeCell ref="A34:B34"/>
    <mergeCell ref="C34:Q34"/>
    <mergeCell ref="AC34:AC35"/>
    <mergeCell ref="AF34:AF35"/>
    <mergeCell ref="A35:B35"/>
    <mergeCell ref="A30:B31"/>
    <mergeCell ref="C31:Q31"/>
    <mergeCell ref="R31:Y31"/>
    <mergeCell ref="A32:B32"/>
    <mergeCell ref="C32:Q32"/>
    <mergeCell ref="R32:Y32"/>
    <mergeCell ref="A26:AA26"/>
    <mergeCell ref="B28:F28"/>
    <mergeCell ref="H28:P28"/>
    <mergeCell ref="Q28:T28"/>
    <mergeCell ref="V28:Y28"/>
    <mergeCell ref="B29:G29"/>
    <mergeCell ref="H29:P29"/>
    <mergeCell ref="Q29:T29"/>
    <mergeCell ref="V29:Y29"/>
    <mergeCell ref="B21:E21"/>
    <mergeCell ref="F21:J21"/>
    <mergeCell ref="O21:R21"/>
    <mergeCell ref="T21:Y21"/>
    <mergeCell ref="O22:Q22"/>
    <mergeCell ref="A23:A24"/>
    <mergeCell ref="B23:Q24"/>
    <mergeCell ref="R23:Y23"/>
    <mergeCell ref="R24:Y24"/>
    <mergeCell ref="B17:E17"/>
    <mergeCell ref="F17:L17"/>
    <mergeCell ref="O17:R17"/>
    <mergeCell ref="T17:Y17"/>
    <mergeCell ref="B19:E19"/>
    <mergeCell ref="F19:L19"/>
    <mergeCell ref="O19:R19"/>
    <mergeCell ref="T19:Y19"/>
    <mergeCell ref="B13:E13"/>
    <mergeCell ref="F13:L13"/>
    <mergeCell ref="O13:R13"/>
    <mergeCell ref="T13:Y13"/>
    <mergeCell ref="B15:E15"/>
    <mergeCell ref="F15:L15"/>
    <mergeCell ref="O15:R15"/>
    <mergeCell ref="T15:Y15"/>
    <mergeCell ref="O10:R10"/>
    <mergeCell ref="T10:Y10"/>
    <mergeCell ref="B11:E11"/>
    <mergeCell ref="F11:L11"/>
    <mergeCell ref="O11:R11"/>
    <mergeCell ref="T11:Y11"/>
    <mergeCell ref="A2:AA2"/>
    <mergeCell ref="A3:AA3"/>
    <mergeCell ref="A4:AA4"/>
    <mergeCell ref="A6:C6"/>
    <mergeCell ref="D6:N6"/>
    <mergeCell ref="A8:C8"/>
    <mergeCell ref="D8:O8"/>
  </mergeCells>
  <conditionalFormatting sqref="D8:O8">
    <cfRule type="expression" dxfId="1231" priority="78">
      <formula>AND($V$19&lt;&gt;0,$D$8="")</formula>
    </cfRule>
  </conditionalFormatting>
  <conditionalFormatting sqref="O11">
    <cfRule type="expression" dxfId="1230" priority="77">
      <formula>OR($O$11="Not Eligible",$O$11="Not Eligible on Government")</formula>
    </cfRule>
  </conditionalFormatting>
  <conditionalFormatting sqref="T11:Y11">
    <cfRule type="expression" dxfId="1229" priority="76">
      <formula>$T$11="Not Eligible"</formula>
    </cfRule>
  </conditionalFormatting>
  <conditionalFormatting sqref="O13">
    <cfRule type="expression" dxfId="1228" priority="75">
      <formula>$O$13="Not Eligible"</formula>
    </cfRule>
  </conditionalFormatting>
  <conditionalFormatting sqref="T13:Y13">
    <cfRule type="expression" dxfId="1227" priority="74">
      <formula>$T$13="Not Eligible"</formula>
    </cfRule>
  </conditionalFormatting>
  <conditionalFormatting sqref="O15">
    <cfRule type="expression" dxfId="1226" priority="73">
      <formula>$O$15="Not Eligible"</formula>
    </cfRule>
  </conditionalFormatting>
  <conditionalFormatting sqref="T15:Y15">
    <cfRule type="expression" dxfId="1225" priority="72">
      <formula>$T$15="Not Eligible"</formula>
    </cfRule>
  </conditionalFormatting>
  <conditionalFormatting sqref="O17">
    <cfRule type="expression" dxfId="1224" priority="71">
      <formula>$O$17="Not Eligible"</formula>
    </cfRule>
  </conditionalFormatting>
  <conditionalFormatting sqref="T17:Y17">
    <cfRule type="expression" dxfId="1223" priority="70">
      <formula>$T$17="Not Eligible"</formula>
    </cfRule>
  </conditionalFormatting>
  <conditionalFormatting sqref="O19">
    <cfRule type="expression" dxfId="1222" priority="67">
      <formula>$O$19="Answer #6 and #7"</formula>
    </cfRule>
    <cfRule type="expression" dxfId="1221" priority="69">
      <formula>$O$19="Not Eligible"</formula>
    </cfRule>
  </conditionalFormatting>
  <conditionalFormatting sqref="T19:Y19">
    <cfRule type="expression" dxfId="1220" priority="68">
      <formula>$T$19="Not Eligible"</formula>
    </cfRule>
  </conditionalFormatting>
  <conditionalFormatting sqref="AB32">
    <cfRule type="expression" dxfId="1219" priority="66">
      <formula>$AB$32="No"</formula>
    </cfRule>
  </conditionalFormatting>
  <conditionalFormatting sqref="AE32">
    <cfRule type="expression" dxfId="1218" priority="65">
      <formula>$AE$32="No"</formula>
    </cfRule>
  </conditionalFormatting>
  <conditionalFormatting sqref="AB33">
    <cfRule type="expression" dxfId="1217" priority="64">
      <formula>$AB$33="No"</formula>
    </cfRule>
  </conditionalFormatting>
  <conditionalFormatting sqref="AB36">
    <cfRule type="expression" dxfId="1216" priority="63">
      <formula>$AB$36="No"</formula>
    </cfRule>
  </conditionalFormatting>
  <conditionalFormatting sqref="AB37">
    <cfRule type="expression" dxfId="1215" priority="62">
      <formula>$AB$37="No"</formula>
    </cfRule>
  </conditionalFormatting>
  <conditionalFormatting sqref="AB38">
    <cfRule type="expression" dxfId="1214" priority="61">
      <formula>$AB$38="No"</formula>
    </cfRule>
  </conditionalFormatting>
  <conditionalFormatting sqref="AB39">
    <cfRule type="expression" dxfId="1213" priority="60">
      <formula>$AB$39="No"</formula>
    </cfRule>
  </conditionalFormatting>
  <conditionalFormatting sqref="AB40">
    <cfRule type="expression" dxfId="1212" priority="59">
      <formula>$AB$40="No"</formula>
    </cfRule>
  </conditionalFormatting>
  <conditionalFormatting sqref="AC39">
    <cfRule type="expression" dxfId="1211" priority="58">
      <formula>$AC$39="No"</formula>
    </cfRule>
  </conditionalFormatting>
  <conditionalFormatting sqref="AE33">
    <cfRule type="expression" dxfId="1210" priority="57">
      <formula>$AE$33="No"</formula>
    </cfRule>
  </conditionalFormatting>
  <conditionalFormatting sqref="AE37">
    <cfRule type="expression" dxfId="1209" priority="56">
      <formula>$AE$37="No"</formula>
    </cfRule>
  </conditionalFormatting>
  <conditionalFormatting sqref="AE36">
    <cfRule type="expression" dxfId="1208" priority="55">
      <formula>$AE$36="No"</formula>
    </cfRule>
  </conditionalFormatting>
  <conditionalFormatting sqref="AE38">
    <cfRule type="expression" dxfId="1207" priority="54">
      <formula>$AE$38="No"</formula>
    </cfRule>
  </conditionalFormatting>
  <conditionalFormatting sqref="AE39">
    <cfRule type="expression" dxfId="1206" priority="53">
      <formula>$AE$39="No"</formula>
    </cfRule>
  </conditionalFormatting>
  <conditionalFormatting sqref="AE40">
    <cfRule type="expression" dxfId="1205" priority="52">
      <formula>$AE$40="No"</formula>
    </cfRule>
  </conditionalFormatting>
  <conditionalFormatting sqref="AE41">
    <cfRule type="expression" dxfId="1204" priority="51">
      <formula>$AE$41="No"</formula>
    </cfRule>
  </conditionalFormatting>
  <conditionalFormatting sqref="AB41">
    <cfRule type="expression" dxfId="1203" priority="50">
      <formula>$AB$41="No"</formula>
    </cfRule>
  </conditionalFormatting>
  <conditionalFormatting sqref="AB42:AB43">
    <cfRule type="expression" dxfId="1202" priority="49">
      <formula>$AB$42="No"</formula>
    </cfRule>
  </conditionalFormatting>
  <conditionalFormatting sqref="AE42:AE43">
    <cfRule type="expression" dxfId="1201" priority="48">
      <formula>$AE$42="No"</formula>
    </cfRule>
  </conditionalFormatting>
  <conditionalFormatting sqref="AF32:AF33">
    <cfRule type="expression" dxfId="1200" priority="47">
      <formula>$AF$32="No"</formula>
    </cfRule>
  </conditionalFormatting>
  <conditionalFormatting sqref="C44:Q44">
    <cfRule type="expression" dxfId="1199" priority="44">
      <formula>$C$44&lt;&gt;""</formula>
    </cfRule>
  </conditionalFormatting>
  <conditionalFormatting sqref="C47">
    <cfRule type="expression" dxfId="1198" priority="43">
      <formula>$C$47&lt;&gt;""</formula>
    </cfRule>
  </conditionalFormatting>
  <conditionalFormatting sqref="F50:I51">
    <cfRule type="expression" dxfId="1197" priority="42">
      <formula>$F$50="Eligible"</formula>
    </cfRule>
  </conditionalFormatting>
  <conditionalFormatting sqref="F52:I54">
    <cfRule type="expression" dxfId="1196" priority="41">
      <formula>$F$52="Eligible"</formula>
    </cfRule>
  </conditionalFormatting>
  <conditionalFormatting sqref="J52:X54">
    <cfRule type="expression" dxfId="1195" priority="40">
      <formula>$F$52="Eligible"</formula>
    </cfRule>
  </conditionalFormatting>
  <conditionalFormatting sqref="R23:Y23">
    <cfRule type="expression" dxfId="1194" priority="39">
      <formula>$R$23&lt;&gt;""</formula>
    </cfRule>
  </conditionalFormatting>
  <conditionalFormatting sqref="R24:Y24">
    <cfRule type="expression" dxfId="1193" priority="38">
      <formula>$R$23&lt;&gt;""</formula>
    </cfRule>
  </conditionalFormatting>
  <conditionalFormatting sqref="F52:X54">
    <cfRule type="expression" dxfId="1192" priority="34">
      <formula>AND($F$52="Eligible",$F$50="Not Eligible")</formula>
    </cfRule>
  </conditionalFormatting>
  <conditionalFormatting sqref="C55">
    <cfRule type="expression" dxfId="1191" priority="33">
      <formula>$C$55&lt;&gt;""</formula>
    </cfRule>
  </conditionalFormatting>
  <conditionalFormatting sqref="AB35">
    <cfRule type="expression" dxfId="1190" priority="30">
      <formula>$AB$35="No"</formula>
    </cfRule>
  </conditionalFormatting>
  <conditionalFormatting sqref="AE35">
    <cfRule type="expression" dxfId="1189" priority="29">
      <formula>$AE$37="No"</formula>
    </cfRule>
  </conditionalFormatting>
  <conditionalFormatting sqref="AB34">
    <cfRule type="expression" dxfId="1188" priority="80">
      <formula>$AB$34="No"</formula>
    </cfRule>
  </conditionalFormatting>
  <conditionalFormatting sqref="AE34">
    <cfRule type="expression" dxfId="1187" priority="81">
      <formula>$AE$34="No"</formula>
    </cfRule>
  </conditionalFormatting>
  <conditionalFormatting sqref="V70:X70">
    <cfRule type="expression" dxfId="1186" priority="26">
      <formula>$V$80=1</formula>
    </cfRule>
  </conditionalFormatting>
  <conditionalFormatting sqref="R70:T70">
    <cfRule type="expression" dxfId="1185" priority="25">
      <formula>$V$80=2</formula>
    </cfRule>
  </conditionalFormatting>
  <conditionalFormatting sqref="C34:Q34">
    <cfRule type="expression" dxfId="1184" priority="107">
      <formula>AND($X$80=5,$AC$34="Error")</formula>
    </cfRule>
    <cfRule type="expression" dxfId="1183" priority="108">
      <formula>AND($X$80=3,$AC$34="Error")</formula>
    </cfRule>
    <cfRule type="expression" dxfId="1182" priority="109">
      <formula>AND($X$80=2,$AC$34="Error")</formula>
    </cfRule>
  </conditionalFormatting>
  <conditionalFormatting sqref="C35:Q35">
    <cfRule type="expression" dxfId="1181" priority="110">
      <formula>AND($X$80=5,$AC$34="Error")</formula>
    </cfRule>
    <cfRule type="expression" dxfId="1180" priority="111">
      <formula>AND($X$80=4,$AC$34="Error")</formula>
    </cfRule>
    <cfRule type="expression" dxfId="1179" priority="112">
      <formula>AND($X$80=3,$AC$34="Error")</formula>
    </cfRule>
    <cfRule type="expression" dxfId="1178" priority="113">
      <formula>AND($X$80=2,$AC$34="Error")</formula>
    </cfRule>
  </conditionalFormatting>
  <conditionalFormatting sqref="C34">
    <cfRule type="expression" dxfId="1177" priority="114">
      <formula>AND($X$80=4,$AC$34="Error")</formula>
    </cfRule>
  </conditionalFormatting>
  <conditionalFormatting sqref="R75:Z76">
    <cfRule type="expression" dxfId="1176" priority="24">
      <formula>AND(A83&lt;&gt;"Assets as Income",A83&lt;&gt;"Assets as Income (2)",A83&lt;&gt;"Assets as Income (3)",A83&lt;&gt;"Assets as Income (4)")</formula>
    </cfRule>
  </conditionalFormatting>
  <conditionalFormatting sqref="B74:Q75">
    <cfRule type="expression" dxfId="1175" priority="23">
      <formula>$B$74&lt;&gt;""</formula>
    </cfRule>
  </conditionalFormatting>
  <conditionalFormatting sqref="O13:Y21 T10:Y12 O10:R10">
    <cfRule type="expression" dxfId="1174" priority="11">
      <formula>$F$11="Government"</formula>
    </cfRule>
  </conditionalFormatting>
  <conditionalFormatting sqref="A36:B43 A32:B33">
    <cfRule type="expression" dxfId="1173" priority="1641">
      <formula>$C$81=TRUE</formula>
    </cfRule>
  </conditionalFormatting>
  <conditionalFormatting sqref="A30:B31">
    <cfRule type="expression" dxfId="1172" priority="1643">
      <formula>$C$81=TRUE</formula>
    </cfRule>
  </conditionalFormatting>
  <conditionalFormatting sqref="R32:Y32 R42:S42 R39 R33 R36:Y36 R38:Y38 J52:X53">
    <cfRule type="expression" dxfId="1171" priority="1644">
      <formula>$C$81=FALSE</formula>
    </cfRule>
  </conditionalFormatting>
  <conditionalFormatting sqref="C39:Q40">
    <cfRule type="expression" dxfId="1170" priority="1651">
      <formula>AND($X$80=2,$J$80=TRUE,$K$80=TRUE)</formula>
    </cfRule>
  </conditionalFormatting>
  <conditionalFormatting sqref="A35:B35">
    <cfRule type="expression" dxfId="1169" priority="1652">
      <formula>$C$81=TRUE</formula>
    </cfRule>
    <cfRule type="expression" dxfId="1168" priority="1653">
      <formula>$C$81=TRUE</formula>
    </cfRule>
  </conditionalFormatting>
  <conditionalFormatting sqref="C32:Q33">
    <cfRule type="expression" dxfId="1167" priority="1654">
      <formula>AND(X$80=4,$C$80=TRUE,$D$80=TRUE)</formula>
    </cfRule>
  </conditionalFormatting>
  <conditionalFormatting sqref="H28:P28">
    <cfRule type="expression" dxfId="1166" priority="1655">
      <formula>AND(OR($X$80=2,$X$80=3),$C$81=TRUE,$D$80=FALSE)</formula>
    </cfRule>
    <cfRule type="expression" dxfId="1165" priority="1656">
      <formula>OR(AND($X$80=4,$M$80=TRUE),AND($X$80=3,$M$80=TRUE))</formula>
    </cfRule>
  </conditionalFormatting>
  <conditionalFormatting sqref="D45:P45">
    <cfRule type="expression" dxfId="1164" priority="1657">
      <formula>OR($C$80=TRUE,$E$80=TRUE,$D$80=TRUE,$G$80=TRUE,$H$80=TRUE,$I$80=TRUE,$J$80=TRUE,$K$80=TRUE,$L$80=TRUE,$M$80=TRUE)</formula>
    </cfRule>
  </conditionalFormatting>
  <conditionalFormatting sqref="A34:B34">
    <cfRule type="expression" dxfId="1163" priority="1658">
      <formula>$C$81=TRUE</formula>
    </cfRule>
  </conditionalFormatting>
  <conditionalFormatting sqref="R38">
    <cfRule type="expression" dxfId="1162" priority="1659">
      <formula>AND($C$81=TRUE,OR($R$38="Not Eligible",$R$38="Error - Correct Selections"))</formula>
    </cfRule>
  </conditionalFormatting>
  <conditionalFormatting sqref="J50:X51">
    <cfRule type="expression" dxfId="1161" priority="1660">
      <formula>$C$81=FALSE</formula>
    </cfRule>
    <cfRule type="expression" dxfId="1160" priority="1661">
      <formula>$F$50="Eligible"</formula>
    </cfRule>
  </conditionalFormatting>
  <conditionalFormatting sqref="F50:X51">
    <cfRule type="expression" dxfId="1159" priority="1662">
      <formula>AND($C$81=TRUE,$F$50="Eligible",$F$52="Eligible",$V$80=1)</formula>
    </cfRule>
    <cfRule type="expression" dxfId="1158" priority="1663">
      <formula>AND($F$50="Eligible",$F$52="Not Eligible")</formula>
    </cfRule>
  </conditionalFormatting>
  <conditionalFormatting sqref="F52:X53">
    <cfRule type="expression" dxfId="1157" priority="1664">
      <formula>AND($C$81=TRUE,$F$50="Eligible",$F$52="Eligible",$V$80=2)</formula>
    </cfRule>
  </conditionalFormatting>
  <conditionalFormatting sqref="C42:Q42">
    <cfRule type="expression" dxfId="1156" priority="1665">
      <formula>AND($X$80=3,$A$42="Error")</formula>
    </cfRule>
    <cfRule type="expression" dxfId="1155" priority="1666">
      <formula>AND($M$80=TRUE,$X$80=4)</formula>
    </cfRule>
  </conditionalFormatting>
  <conditionalFormatting sqref="C41:Q41">
    <cfRule type="expression" dxfId="1154" priority="1667">
      <formula>AND($X$80=3,$M$21&lt;59.5,$L$80=TRUE)</formula>
    </cfRule>
  </conditionalFormatting>
  <conditionalFormatting sqref="R39">
    <cfRule type="expression" dxfId="1153" priority="1668">
      <formula>AND($C$81=TRUE,$R$38="Not Eligible")</formula>
    </cfRule>
  </conditionalFormatting>
  <conditionalFormatting sqref="T21:Y21">
    <cfRule type="expression" dxfId="1152" priority="1669">
      <formula>OR(AND($C$81=TRUE,$T$21="Error"),AND($X$80=3,$A$41="Error"))</formula>
    </cfRule>
  </conditionalFormatting>
  <conditionalFormatting sqref="R32">
    <cfRule type="expression" dxfId="1151" priority="1670">
      <formula>AND($C$81=TRUE,OR($R$32="Not Eligible",$R$32="Error - Correct Selections"))</formula>
    </cfRule>
  </conditionalFormatting>
  <conditionalFormatting sqref="R33">
    <cfRule type="expression" dxfId="1150" priority="1671">
      <formula>AND($C$81=TRUE,$R$32="Not Eligible")</formula>
    </cfRule>
  </conditionalFormatting>
  <conditionalFormatting sqref="O21:R21">
    <cfRule type="expression" dxfId="1149" priority="1672">
      <formula>OR(AND($C$81=TRUE,$O$21="Error"),AND($X$80=3,$A$41="Error"))</formula>
    </cfRule>
  </conditionalFormatting>
  <conditionalFormatting sqref="F11:L11">
    <cfRule type="expression" dxfId="1148" priority="3">
      <formula>$L$9&lt;&gt;""</formula>
    </cfRule>
    <cfRule type="expression" dxfId="1147" priority="1673">
      <formula>AND($C$81=TRUE,$F$11="")</formula>
    </cfRule>
  </conditionalFormatting>
  <conditionalFormatting sqref="F13:L13">
    <cfRule type="expression" dxfId="1146" priority="1674">
      <formula>AND($C$81=TRUE,$F$13="")</formula>
    </cfRule>
  </conditionalFormatting>
  <conditionalFormatting sqref="F15:L15">
    <cfRule type="expression" dxfId="1145" priority="1675">
      <formula>AND($C$81=TRUE,$F$15="")</formula>
    </cfRule>
  </conditionalFormatting>
  <conditionalFormatting sqref="F17:L17">
    <cfRule type="expression" dxfId="1144" priority="1676">
      <formula>AND($C$81=TRUE,$F$17="")</formula>
    </cfRule>
  </conditionalFormatting>
  <conditionalFormatting sqref="F19:L19">
    <cfRule type="expression" dxfId="1143" priority="1677">
      <formula>AND($C$81=TRUE,$F$19="")</formula>
    </cfRule>
  </conditionalFormatting>
  <conditionalFormatting sqref="F21:J21">
    <cfRule type="expression" dxfId="1142" priority="1678">
      <formula>AND($C$81=TRUE,$F$21="")</formula>
    </cfRule>
  </conditionalFormatting>
  <conditionalFormatting sqref="L21">
    <cfRule type="expression" dxfId="1141" priority="1679">
      <formula>AND($M$21&lt;59.5,$X$80=3,$L$80=TRUE)</formula>
    </cfRule>
  </conditionalFormatting>
  <conditionalFormatting sqref="E66 V65:X65 C34:Q35">
    <cfRule type="expression" dxfId="1140" priority="1680">
      <formula>AND($C$81=TRUE,$F$52="Eligible",$V$80=2,OR($X$80=3,$X$80=5),OR($V$65&lt;&gt;"",$V$65&lt;&gt;0))</formula>
    </cfRule>
  </conditionalFormatting>
  <conditionalFormatting sqref="V72:X72">
    <cfRule type="expression" dxfId="1139" priority="8">
      <formula>AND($X$80&lt;&gt;"",$V$80&lt;&gt;"",$G$1&lt;&gt;"")</formula>
    </cfRule>
    <cfRule type="expression" dxfId="1138" priority="1689">
      <formula>AND($X$80&lt;&gt;"",$V$80&lt;&gt;"",$C$81=TRUE,$Y$81=TRUE)</formula>
    </cfRule>
  </conditionalFormatting>
  <conditionalFormatting sqref="O10:R10">
    <cfRule type="expression" dxfId="1137" priority="1690">
      <formula>OR(AND($C$81=TRUE,$O$21="Error"),AND($X$80=3,$A$41="Error"))</formula>
    </cfRule>
    <cfRule type="expression" dxfId="1136" priority="1691">
      <formula>OR($O$11&lt;&gt;"",$O$13&lt;&gt;"",$O$15&lt;&gt;"",$O$17&lt;&gt;"")</formula>
    </cfRule>
  </conditionalFormatting>
  <conditionalFormatting sqref="T10:Y10">
    <cfRule type="expression" dxfId="1135" priority="1692">
      <formula>OR(AND($C$81=TRUE,$T$21="Error"),AND($X$80=3,$A$41="Error"))</formula>
    </cfRule>
    <cfRule type="expression" dxfId="1134" priority="1693">
      <formula>OR($T$11&lt;&gt;"",$T$13&lt;&gt;"",$T$15&lt;&gt;"",$T$17&lt;&gt;"")</formula>
    </cfRule>
  </conditionalFormatting>
  <conditionalFormatting sqref="R31:Y31">
    <cfRule type="expression" dxfId="1133" priority="1694">
      <formula>$C$81=FALSE</formula>
    </cfRule>
    <cfRule type="expression" dxfId="1132" priority="1695">
      <formula>AND($C$81=TRUE,OR($R$32="Not Eligible",$R$32="Error - Correct Selections",R32="Eligible"))</formula>
    </cfRule>
  </conditionalFormatting>
  <conditionalFormatting sqref="R37:Y37">
    <cfRule type="expression" dxfId="1131" priority="1696">
      <formula>$C$81=FALSE</formula>
    </cfRule>
    <cfRule type="expression" dxfId="1130" priority="1697">
      <formula>AND($C$81=TRUE,OR($R$38="Not Eligible",$R$38="Eligible",$R$38="Error - Correct Selections"))</formula>
    </cfRule>
  </conditionalFormatting>
  <conditionalFormatting sqref="A73:Y73 A74:Q75 A60:AF72">
    <cfRule type="expression" priority="6">
      <formula>$B$62=2</formula>
    </cfRule>
  </conditionalFormatting>
  <conditionalFormatting sqref="A61:AA73 R74:Z74 A74:Q75">
    <cfRule type="expression" dxfId="1129" priority="2">
      <formula>OR($V$80=0,$V$80="",$F$50="Error",$F$52="Error")</formula>
    </cfRule>
  </conditionalFormatting>
  <conditionalFormatting sqref="G1:T1">
    <cfRule type="expression" dxfId="1128" priority="5">
      <formula>$G$1&lt;&gt;""</formula>
    </cfRule>
  </conditionalFormatting>
  <conditionalFormatting sqref="L9:V9">
    <cfRule type="expression" dxfId="1127" priority="4">
      <formula>$L$9&lt;&gt;""</formula>
    </cfRule>
  </conditionalFormatting>
  <dataValidations disablePrompts="1" count="7">
    <dataValidation type="list" allowBlank="1" showInputMessage="1" showErrorMessage="1" sqref="F11:J11" xr:uid="{CC5718C9-5D01-428A-91ED-0E80FE436112}">
      <formula1>"Conventional, Government"</formula1>
    </dataValidation>
    <dataValidation type="list" allowBlank="1" showInputMessage="1" showErrorMessage="1" sqref="F13:L13" xr:uid="{090E067F-2653-4093-A1F2-58BEF2569CAB}">
      <formula1>",Purchase, Limted/No Cash-out Refi, Cash-out Refi"</formula1>
    </dataValidation>
    <dataValidation type="list" allowBlank="1" showInputMessage="1" showErrorMessage="1" sqref="F15:L15" xr:uid="{A1A206AD-3475-48F8-A0D4-C925CBD463B5}">
      <formula1>"Owner, Second Home, Investment"</formula1>
    </dataValidation>
    <dataValidation type="list" allowBlank="1" showInputMessage="1" showErrorMessage="1" sqref="F17:L17" xr:uid="{A07627A0-D79C-4D84-A9A7-86091676C6F2}">
      <formula1>"1 or 2 Units, 3 or 4 Units"</formula1>
    </dataValidation>
    <dataValidation type="list" allowBlank="1" showInputMessage="1" showErrorMessage="1" sqref="F19:L19" xr:uid="{C5AB3FB9-8F35-4E44-B2D4-8984B114BF89}">
      <formula1>"70.00% or Less, 70.01% - 80.00%, Greater than 80.00%"</formula1>
    </dataValidation>
    <dataValidation type="date" allowBlank="1" showInputMessage="1" showErrorMessage="1" sqref="F21" xr:uid="{97B74DF6-8AF7-4A7F-953C-D4FA7A734E14}">
      <formula1>1</formula1>
      <formula2>54789</formula2>
    </dataValidation>
    <dataValidation type="custom" allowBlank="1" showInputMessage="1" showErrorMessage="1" errorTitle="Incorrect Entry Type" error="A dollar amount should be entered in this field (ex. 25 or 25.50)" sqref="V63:X63 V64:X64 V65:X65 V29:Y29" xr:uid="{65133391-525A-455C-B77B-BEC8E8791836}">
      <formula1>CELL("format")="C2"</formula1>
    </dataValidation>
  </dataValidations>
  <printOptions horizontalCentered="1"/>
  <pageMargins left="0.25" right="0.25" top="0.25" bottom="0.25" header="0.3" footer="0.3"/>
  <pageSetup paperSize="5" scale="8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8917" r:id="rId4" name="Check Box 5">
              <controlPr defaultSize="0" autoFill="0" autoLine="0" autoPict="0">
                <anchor moveWithCells="1">
                  <from>
                    <xdr:col>2</xdr:col>
                    <xdr:colOff>7620</xdr:colOff>
                    <xdr:row>31</xdr:row>
                    <xdr:rowOff>30480</xdr:rowOff>
                  </from>
                  <to>
                    <xdr:col>2</xdr:col>
                    <xdr:colOff>289560</xdr:colOff>
                    <xdr:row>31</xdr:row>
                    <xdr:rowOff>160020</xdr:rowOff>
                  </to>
                </anchor>
              </controlPr>
            </control>
          </mc:Choice>
        </mc:AlternateContent>
        <mc:AlternateContent xmlns:mc="http://schemas.openxmlformats.org/markup-compatibility/2006">
          <mc:Choice Requires="x14">
            <control shapeId="678918" r:id="rId5" name="Option Button 6">
              <controlPr defaultSize="0" autoFill="0" autoLine="0" autoPict="0">
                <anchor moveWithCells="1">
                  <from>
                    <xdr:col>2</xdr:col>
                    <xdr:colOff>60960</xdr:colOff>
                    <xdr:row>49</xdr:row>
                    <xdr:rowOff>15240</xdr:rowOff>
                  </from>
                  <to>
                    <xdr:col>4</xdr:col>
                    <xdr:colOff>228600</xdr:colOff>
                    <xdr:row>50</xdr:row>
                    <xdr:rowOff>137160</xdr:rowOff>
                  </to>
                </anchor>
              </controlPr>
            </control>
          </mc:Choice>
        </mc:AlternateContent>
        <mc:AlternateContent xmlns:mc="http://schemas.openxmlformats.org/markup-compatibility/2006">
          <mc:Choice Requires="x14">
            <control shapeId="678919" r:id="rId6" name="Drop Down 7">
              <controlPr defaultSize="0" autoLine="0" autoPict="0" macro="[0]!DropDown7_Change">
                <anchor moveWithCells="1">
                  <from>
                    <xdr:col>7</xdr:col>
                    <xdr:colOff>91440</xdr:colOff>
                    <xdr:row>28</xdr:row>
                    <xdr:rowOff>0</xdr:rowOff>
                  </from>
                  <to>
                    <xdr:col>15</xdr:col>
                    <xdr:colOff>312420</xdr:colOff>
                    <xdr:row>29</xdr:row>
                    <xdr:rowOff>0</xdr:rowOff>
                  </to>
                </anchor>
              </controlPr>
            </control>
          </mc:Choice>
        </mc:AlternateContent>
        <mc:AlternateContent xmlns:mc="http://schemas.openxmlformats.org/markup-compatibility/2006">
          <mc:Choice Requires="x14">
            <control shapeId="678920" r:id="rId7" name="Option Button 8">
              <controlPr defaultSize="0" autoFill="0" autoLine="0" autoPict="0">
                <anchor moveWithCells="1" sizeWithCells="1">
                  <from>
                    <xdr:col>14</xdr:col>
                    <xdr:colOff>137160</xdr:colOff>
                    <xdr:row>22</xdr:row>
                    <xdr:rowOff>45720</xdr:rowOff>
                  </from>
                  <to>
                    <xdr:col>15</xdr:col>
                    <xdr:colOff>22860</xdr:colOff>
                    <xdr:row>23</xdr:row>
                    <xdr:rowOff>7620</xdr:rowOff>
                  </to>
                </anchor>
              </controlPr>
            </control>
          </mc:Choice>
        </mc:AlternateContent>
        <mc:AlternateContent xmlns:mc="http://schemas.openxmlformats.org/markup-compatibility/2006">
          <mc:Choice Requires="x14">
            <control shapeId="678921" r:id="rId8" name="Option Button 9">
              <controlPr defaultSize="0" autoFill="0" autoLine="0" autoPict="0">
                <anchor moveWithCells="1" sizeWithCells="1">
                  <from>
                    <xdr:col>15</xdr:col>
                    <xdr:colOff>205740</xdr:colOff>
                    <xdr:row>22</xdr:row>
                    <xdr:rowOff>38100</xdr:rowOff>
                  </from>
                  <to>
                    <xdr:col>16</xdr:col>
                    <xdr:colOff>182880</xdr:colOff>
                    <xdr:row>23</xdr:row>
                    <xdr:rowOff>7620</xdr:rowOff>
                  </to>
                </anchor>
              </controlPr>
            </control>
          </mc:Choice>
        </mc:AlternateContent>
        <mc:AlternateContent xmlns:mc="http://schemas.openxmlformats.org/markup-compatibility/2006">
          <mc:Choice Requires="x14">
            <control shapeId="678922" r:id="rId9" name="Group Box 10">
              <controlPr defaultSize="0" print="0" autoFill="0" autoPict="0" altText="46">
                <anchor moveWithCells="1" sizeWithCells="1">
                  <from>
                    <xdr:col>13</xdr:col>
                    <xdr:colOff>190500</xdr:colOff>
                    <xdr:row>22</xdr:row>
                    <xdr:rowOff>22860</xdr:rowOff>
                  </from>
                  <to>
                    <xdr:col>16</xdr:col>
                    <xdr:colOff>449580</xdr:colOff>
                    <xdr:row>23</xdr:row>
                    <xdr:rowOff>106680</xdr:rowOff>
                  </to>
                </anchor>
              </controlPr>
            </control>
          </mc:Choice>
        </mc:AlternateContent>
        <mc:AlternateContent xmlns:mc="http://schemas.openxmlformats.org/markup-compatibility/2006">
          <mc:Choice Requires="x14">
            <control shapeId="678923" r:id="rId10" name="Check Box 11">
              <controlPr defaultSize="0" autoFill="0" autoLine="0" autoPict="0">
                <anchor moveWithCells="1">
                  <from>
                    <xdr:col>2</xdr:col>
                    <xdr:colOff>7620</xdr:colOff>
                    <xdr:row>33</xdr:row>
                    <xdr:rowOff>30480</xdr:rowOff>
                  </from>
                  <to>
                    <xdr:col>2</xdr:col>
                    <xdr:colOff>289560</xdr:colOff>
                    <xdr:row>33</xdr:row>
                    <xdr:rowOff>160020</xdr:rowOff>
                  </to>
                </anchor>
              </controlPr>
            </control>
          </mc:Choice>
        </mc:AlternateContent>
        <mc:AlternateContent xmlns:mc="http://schemas.openxmlformats.org/markup-compatibility/2006">
          <mc:Choice Requires="x14">
            <control shapeId="678924" r:id="rId11" name="Check Box 12">
              <controlPr defaultSize="0" autoFill="0" autoLine="0" autoPict="0">
                <anchor moveWithCells="1">
                  <from>
                    <xdr:col>2</xdr:col>
                    <xdr:colOff>7620</xdr:colOff>
                    <xdr:row>32</xdr:row>
                    <xdr:rowOff>30480</xdr:rowOff>
                  </from>
                  <to>
                    <xdr:col>2</xdr:col>
                    <xdr:colOff>289560</xdr:colOff>
                    <xdr:row>32</xdr:row>
                    <xdr:rowOff>160020</xdr:rowOff>
                  </to>
                </anchor>
              </controlPr>
            </control>
          </mc:Choice>
        </mc:AlternateContent>
        <mc:AlternateContent xmlns:mc="http://schemas.openxmlformats.org/markup-compatibility/2006">
          <mc:Choice Requires="x14">
            <control shapeId="678925" r:id="rId12" name="Check Box 13">
              <controlPr defaultSize="0" autoFill="0" autoLine="0" autoPict="0">
                <anchor moveWithCells="1">
                  <from>
                    <xdr:col>2</xdr:col>
                    <xdr:colOff>7620</xdr:colOff>
                    <xdr:row>35</xdr:row>
                    <xdr:rowOff>30480</xdr:rowOff>
                  </from>
                  <to>
                    <xdr:col>2</xdr:col>
                    <xdr:colOff>289560</xdr:colOff>
                    <xdr:row>35</xdr:row>
                    <xdr:rowOff>160020</xdr:rowOff>
                  </to>
                </anchor>
              </controlPr>
            </control>
          </mc:Choice>
        </mc:AlternateContent>
        <mc:AlternateContent xmlns:mc="http://schemas.openxmlformats.org/markup-compatibility/2006">
          <mc:Choice Requires="x14">
            <control shapeId="678926" r:id="rId13" name="Check Box 14">
              <controlPr defaultSize="0" autoFill="0" autoLine="0" autoPict="0">
                <anchor moveWithCells="1">
                  <from>
                    <xdr:col>2</xdr:col>
                    <xdr:colOff>7620</xdr:colOff>
                    <xdr:row>36</xdr:row>
                    <xdr:rowOff>30480</xdr:rowOff>
                  </from>
                  <to>
                    <xdr:col>2</xdr:col>
                    <xdr:colOff>289560</xdr:colOff>
                    <xdr:row>36</xdr:row>
                    <xdr:rowOff>160020</xdr:rowOff>
                  </to>
                </anchor>
              </controlPr>
            </control>
          </mc:Choice>
        </mc:AlternateContent>
        <mc:AlternateContent xmlns:mc="http://schemas.openxmlformats.org/markup-compatibility/2006">
          <mc:Choice Requires="x14">
            <control shapeId="678927" r:id="rId14" name="Check Box 15">
              <controlPr defaultSize="0" autoFill="0" autoLine="0" autoPict="0">
                <anchor moveWithCells="1">
                  <from>
                    <xdr:col>2</xdr:col>
                    <xdr:colOff>7620</xdr:colOff>
                    <xdr:row>37</xdr:row>
                    <xdr:rowOff>30480</xdr:rowOff>
                  </from>
                  <to>
                    <xdr:col>2</xdr:col>
                    <xdr:colOff>289560</xdr:colOff>
                    <xdr:row>37</xdr:row>
                    <xdr:rowOff>160020</xdr:rowOff>
                  </to>
                </anchor>
              </controlPr>
            </control>
          </mc:Choice>
        </mc:AlternateContent>
        <mc:AlternateContent xmlns:mc="http://schemas.openxmlformats.org/markup-compatibility/2006">
          <mc:Choice Requires="x14">
            <control shapeId="678928" r:id="rId15" name="Check Box 16">
              <controlPr defaultSize="0" autoFill="0" autoLine="0" autoPict="0">
                <anchor moveWithCells="1">
                  <from>
                    <xdr:col>2</xdr:col>
                    <xdr:colOff>7620</xdr:colOff>
                    <xdr:row>38</xdr:row>
                    <xdr:rowOff>30480</xdr:rowOff>
                  </from>
                  <to>
                    <xdr:col>2</xdr:col>
                    <xdr:colOff>289560</xdr:colOff>
                    <xdr:row>38</xdr:row>
                    <xdr:rowOff>160020</xdr:rowOff>
                  </to>
                </anchor>
              </controlPr>
            </control>
          </mc:Choice>
        </mc:AlternateContent>
        <mc:AlternateContent xmlns:mc="http://schemas.openxmlformats.org/markup-compatibility/2006">
          <mc:Choice Requires="x14">
            <control shapeId="678929" r:id="rId16" name="Check Box 17">
              <controlPr defaultSize="0" autoFill="0" autoLine="0" autoPict="0">
                <anchor moveWithCells="1">
                  <from>
                    <xdr:col>2</xdr:col>
                    <xdr:colOff>7620</xdr:colOff>
                    <xdr:row>39</xdr:row>
                    <xdr:rowOff>30480</xdr:rowOff>
                  </from>
                  <to>
                    <xdr:col>2</xdr:col>
                    <xdr:colOff>289560</xdr:colOff>
                    <xdr:row>39</xdr:row>
                    <xdr:rowOff>160020</xdr:rowOff>
                  </to>
                </anchor>
              </controlPr>
            </control>
          </mc:Choice>
        </mc:AlternateContent>
        <mc:AlternateContent xmlns:mc="http://schemas.openxmlformats.org/markup-compatibility/2006">
          <mc:Choice Requires="x14">
            <control shapeId="678930" r:id="rId17" name="Check Box 18">
              <controlPr defaultSize="0" autoFill="0" autoLine="0" autoPict="0">
                <anchor moveWithCells="1">
                  <from>
                    <xdr:col>2</xdr:col>
                    <xdr:colOff>7620</xdr:colOff>
                    <xdr:row>40</xdr:row>
                    <xdr:rowOff>30480</xdr:rowOff>
                  </from>
                  <to>
                    <xdr:col>2</xdr:col>
                    <xdr:colOff>289560</xdr:colOff>
                    <xdr:row>40</xdr:row>
                    <xdr:rowOff>160020</xdr:rowOff>
                  </to>
                </anchor>
              </controlPr>
            </control>
          </mc:Choice>
        </mc:AlternateContent>
        <mc:AlternateContent xmlns:mc="http://schemas.openxmlformats.org/markup-compatibility/2006">
          <mc:Choice Requires="x14">
            <control shapeId="678931" r:id="rId18" name="Check Box 19">
              <controlPr defaultSize="0" autoFill="0" autoLine="0" autoPict="0">
                <anchor moveWithCells="1">
                  <from>
                    <xdr:col>2</xdr:col>
                    <xdr:colOff>7620</xdr:colOff>
                    <xdr:row>41</xdr:row>
                    <xdr:rowOff>22860</xdr:rowOff>
                  </from>
                  <to>
                    <xdr:col>2</xdr:col>
                    <xdr:colOff>236220</xdr:colOff>
                    <xdr:row>41</xdr:row>
                    <xdr:rowOff>160020</xdr:rowOff>
                  </to>
                </anchor>
              </controlPr>
            </control>
          </mc:Choice>
        </mc:AlternateContent>
        <mc:AlternateContent xmlns:mc="http://schemas.openxmlformats.org/markup-compatibility/2006">
          <mc:Choice Requires="x14">
            <control shapeId="678932" r:id="rId19" name="Check Box 20">
              <controlPr defaultSize="0" autoFill="0" autoLine="0" autoPict="0">
                <anchor moveWithCells="1">
                  <from>
                    <xdr:col>2</xdr:col>
                    <xdr:colOff>198120</xdr:colOff>
                    <xdr:row>44</xdr:row>
                    <xdr:rowOff>7620</xdr:rowOff>
                  </from>
                  <to>
                    <xdr:col>15</xdr:col>
                    <xdr:colOff>243840</xdr:colOff>
                    <xdr:row>44</xdr:row>
                    <xdr:rowOff>236220</xdr:rowOff>
                  </to>
                </anchor>
              </controlPr>
            </control>
          </mc:Choice>
        </mc:AlternateContent>
        <mc:AlternateContent xmlns:mc="http://schemas.openxmlformats.org/markup-compatibility/2006">
          <mc:Choice Requires="x14">
            <control shapeId="678933" r:id="rId20" name="Group Box 21">
              <controlPr defaultSize="0" autoFill="0" autoPict="0">
                <anchor moveWithCells="1">
                  <from>
                    <xdr:col>1</xdr:col>
                    <xdr:colOff>91440</xdr:colOff>
                    <xdr:row>30</xdr:row>
                    <xdr:rowOff>60960</xdr:rowOff>
                  </from>
                  <to>
                    <xdr:col>3</xdr:col>
                    <xdr:colOff>22860</xdr:colOff>
                    <xdr:row>41</xdr:row>
                    <xdr:rowOff>129540</xdr:rowOff>
                  </to>
                </anchor>
              </controlPr>
            </control>
          </mc:Choice>
        </mc:AlternateContent>
        <mc:AlternateContent xmlns:mc="http://schemas.openxmlformats.org/markup-compatibility/2006">
          <mc:Choice Requires="x14">
            <control shapeId="678934" r:id="rId21" name="Check Box 22">
              <controlPr defaultSize="0" autoFill="0" autoLine="0" autoPict="0">
                <anchor moveWithCells="1">
                  <from>
                    <xdr:col>18</xdr:col>
                    <xdr:colOff>106680</xdr:colOff>
                    <xdr:row>40</xdr:row>
                    <xdr:rowOff>182880</xdr:rowOff>
                  </from>
                  <to>
                    <xdr:col>19</xdr:col>
                    <xdr:colOff>251460</xdr:colOff>
                    <xdr:row>42</xdr:row>
                    <xdr:rowOff>45720</xdr:rowOff>
                  </to>
                </anchor>
              </controlPr>
            </control>
          </mc:Choice>
        </mc:AlternateContent>
        <mc:AlternateContent xmlns:mc="http://schemas.openxmlformats.org/markup-compatibility/2006">
          <mc:Choice Requires="x14">
            <control shapeId="678935" r:id="rId22" name="Group Box 23">
              <controlPr defaultSize="0" autoFill="0" autoPict="0">
                <anchor moveWithCells="1">
                  <from>
                    <xdr:col>2</xdr:col>
                    <xdr:colOff>91440</xdr:colOff>
                    <xdr:row>43</xdr:row>
                    <xdr:rowOff>137160</xdr:rowOff>
                  </from>
                  <to>
                    <xdr:col>15</xdr:col>
                    <xdr:colOff>388620</xdr:colOff>
                    <xdr:row>46</xdr:row>
                    <xdr:rowOff>30480</xdr:rowOff>
                  </to>
                </anchor>
              </controlPr>
            </control>
          </mc:Choice>
        </mc:AlternateContent>
        <mc:AlternateContent xmlns:mc="http://schemas.openxmlformats.org/markup-compatibility/2006">
          <mc:Choice Requires="x14">
            <control shapeId="678936" r:id="rId23" name="Group Box 24">
              <controlPr defaultSize="0" autoFill="0" autoPict="0">
                <anchor moveWithCells="1">
                  <from>
                    <xdr:col>17</xdr:col>
                    <xdr:colOff>236220</xdr:colOff>
                    <xdr:row>42</xdr:row>
                    <xdr:rowOff>0</xdr:rowOff>
                  </from>
                  <to>
                    <xdr:col>20</xdr:col>
                    <xdr:colOff>53340</xdr:colOff>
                    <xdr:row>44</xdr:row>
                    <xdr:rowOff>121920</xdr:rowOff>
                  </to>
                </anchor>
              </controlPr>
            </control>
          </mc:Choice>
        </mc:AlternateContent>
        <mc:AlternateContent xmlns:mc="http://schemas.openxmlformats.org/markup-compatibility/2006">
          <mc:Choice Requires="x14">
            <control shapeId="678937" r:id="rId24" name="Option Button 25">
              <controlPr defaultSize="0" autoFill="0" autoLine="0" autoPict="0">
                <anchor moveWithCells="1">
                  <from>
                    <xdr:col>2</xdr:col>
                    <xdr:colOff>60960</xdr:colOff>
                    <xdr:row>51</xdr:row>
                    <xdr:rowOff>45720</xdr:rowOff>
                  </from>
                  <to>
                    <xdr:col>4</xdr:col>
                    <xdr:colOff>228600</xdr:colOff>
                    <xdr:row>52</xdr:row>
                    <xdr:rowOff>137160</xdr:rowOff>
                  </to>
                </anchor>
              </controlPr>
            </control>
          </mc:Choice>
        </mc:AlternateContent>
        <mc:AlternateContent xmlns:mc="http://schemas.openxmlformats.org/markup-compatibility/2006">
          <mc:Choice Requires="x14">
            <control shapeId="678938" r:id="rId25" name="Group Box 26">
              <controlPr defaultSize="0" autoFill="0" autoPict="0">
                <anchor moveWithCells="1">
                  <from>
                    <xdr:col>1</xdr:col>
                    <xdr:colOff>182880</xdr:colOff>
                    <xdr:row>48</xdr:row>
                    <xdr:rowOff>160020</xdr:rowOff>
                  </from>
                  <to>
                    <xdr:col>5</xdr:col>
                    <xdr:colOff>0</xdr:colOff>
                    <xdr:row>52</xdr:row>
                    <xdr:rowOff>137160</xdr:rowOff>
                  </to>
                </anchor>
              </controlPr>
            </control>
          </mc:Choice>
        </mc:AlternateContent>
        <mc:AlternateContent xmlns:mc="http://schemas.openxmlformats.org/markup-compatibility/2006">
          <mc:Choice Requires="x14">
            <control shapeId="678939" r:id="rId26" name="Check Box 27">
              <controlPr defaultSize="0" autoFill="0" autoLine="0" autoPict="0">
                <anchor moveWithCells="1">
                  <from>
                    <xdr:col>2</xdr:col>
                    <xdr:colOff>7620</xdr:colOff>
                    <xdr:row>34</xdr:row>
                    <xdr:rowOff>30480</xdr:rowOff>
                  </from>
                  <to>
                    <xdr:col>2</xdr:col>
                    <xdr:colOff>289560</xdr:colOff>
                    <xdr:row>34</xdr:row>
                    <xdr:rowOff>160020</xdr:rowOff>
                  </to>
                </anchor>
              </controlPr>
            </control>
          </mc:Choice>
        </mc:AlternateContent>
        <mc:AlternateContent xmlns:mc="http://schemas.openxmlformats.org/markup-compatibility/2006">
          <mc:Choice Requires="x14">
            <control shapeId="678940" r:id="rId27" name="Check Box 28">
              <controlPr defaultSize="0" autoFill="0" autoLine="0" autoPict="0">
                <anchor moveWithCells="1">
                  <from>
                    <xdr:col>20</xdr:col>
                    <xdr:colOff>60960</xdr:colOff>
                    <xdr:row>72</xdr:row>
                    <xdr:rowOff>114300</xdr:rowOff>
                  </from>
                  <to>
                    <xdr:col>24</xdr:col>
                    <xdr:colOff>83820</xdr:colOff>
                    <xdr:row>73</xdr:row>
                    <xdr:rowOff>175260</xdr:rowOff>
                  </to>
                </anchor>
              </controlPr>
            </control>
          </mc:Choice>
        </mc:AlternateContent>
        <mc:AlternateContent xmlns:mc="http://schemas.openxmlformats.org/markup-compatibility/2006">
          <mc:Choice Requires="x14">
            <control shapeId="678941" r:id="rId28" name="Button 29">
              <controlPr defaultSize="0" print="0" autoFill="0" autoPict="0" macro="[0]!IW_Copy">
                <anchor moveWithCells="1" sizeWithCells="1">
                  <from>
                    <xdr:col>1</xdr:col>
                    <xdr:colOff>121920</xdr:colOff>
                    <xdr:row>0</xdr:row>
                    <xdr:rowOff>7620</xdr:rowOff>
                  </from>
                  <to>
                    <xdr:col>2</xdr:col>
                    <xdr:colOff>365760</xdr:colOff>
                    <xdr:row>1</xdr:row>
                    <xdr:rowOff>106680</xdr:rowOff>
                  </to>
                </anchor>
              </controlPr>
            </control>
          </mc:Choice>
        </mc:AlternateContent>
        <mc:AlternateContent xmlns:mc="http://schemas.openxmlformats.org/markup-compatibility/2006">
          <mc:Choice Requires="x14">
            <control shapeId="678942" r:id="rId29" name="Button 30">
              <controlPr defaultSize="0" print="0" autoFill="0" autoPict="0" macro="[0]!IW_Home">
                <anchor moveWithCells="1" sizeWithCells="1">
                  <from>
                    <xdr:col>0</xdr:col>
                    <xdr:colOff>0</xdr:colOff>
                    <xdr:row>0</xdr:row>
                    <xdr:rowOff>7620</xdr:rowOff>
                  </from>
                  <to>
                    <xdr:col>1</xdr:col>
                    <xdr:colOff>68580</xdr:colOff>
                    <xdr:row>1</xdr:row>
                    <xdr:rowOff>106680</xdr:rowOff>
                  </to>
                </anchor>
              </controlPr>
            </control>
          </mc:Choice>
        </mc:AlternateContent>
        <mc:AlternateContent xmlns:mc="http://schemas.openxmlformats.org/markup-compatibility/2006">
          <mc:Choice Requires="x14">
            <control shapeId="678943" r:id="rId30" name="Button 31">
              <controlPr defaultSize="0" print="0" autoFill="0" autoPict="0" macro="[0]!Assets_Clear">
                <anchor moveWithCells="1" sizeWithCells="1">
                  <from>
                    <xdr:col>3</xdr:col>
                    <xdr:colOff>22860</xdr:colOff>
                    <xdr:row>0</xdr:row>
                    <xdr:rowOff>7620</xdr:rowOff>
                  </from>
                  <to>
                    <xdr:col>4</xdr:col>
                    <xdr:colOff>137160</xdr:colOff>
                    <xdr:row>1</xdr:row>
                    <xdr:rowOff>106680</xdr:rowOff>
                  </to>
                </anchor>
              </controlPr>
            </control>
          </mc:Choice>
        </mc:AlternateContent>
        <mc:AlternateContent xmlns:mc="http://schemas.openxmlformats.org/markup-compatibility/2006">
          <mc:Choice Requires="x14">
            <control shapeId="678944" r:id="rId31" name="Button 32">
              <controlPr defaultSize="0" print="0" autoFill="0" autoPict="0" macro="[0]!Assets_OmitHide">
                <anchor moveWithCells="1" sizeWithCells="1">
                  <from>
                    <xdr:col>0</xdr:col>
                    <xdr:colOff>7620</xdr:colOff>
                    <xdr:row>1</xdr:row>
                    <xdr:rowOff>160020</xdr:rowOff>
                  </from>
                  <to>
                    <xdr:col>2</xdr:col>
                    <xdr:colOff>274320</xdr:colOff>
                    <xdr:row>1</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83248-86F9-4E07-9FB6-C341A2CD418E}">
  <sheetPr codeName="Sheet34">
    <tabColor rgb="FFFFDDAB"/>
    <pageSetUpPr fitToPage="1"/>
  </sheetPr>
  <dimension ref="A2:Y72"/>
  <sheetViews>
    <sheetView showGridLines="0" showRowColHeaders="0" showRuler="0" view="pageLayout" zoomScale="90" zoomScaleNormal="100" zoomScalePageLayoutView="90" workbookViewId="0">
      <selection activeCell="D6" sqref="D6:K6"/>
    </sheetView>
  </sheetViews>
  <sheetFormatPr defaultColWidth="9.109375" defaultRowHeight="14.4" x14ac:dyDescent="0.3"/>
  <cols>
    <col min="1" max="1" width="2.44140625" style="15" customWidth="1"/>
    <col min="2" max="2" width="5.88671875" style="15" customWidth="1"/>
    <col min="3" max="3" width="3.33203125" customWidth="1"/>
    <col min="4" max="4" width="0.6640625" customWidth="1"/>
    <col min="5" max="5" width="14.109375" customWidth="1"/>
    <col min="6" max="6" width="1.88671875" customWidth="1"/>
    <col min="7" max="7" width="11.109375" customWidth="1"/>
    <col min="8" max="8" width="0.5546875" customWidth="1"/>
    <col min="9" max="9" width="1.88671875" customWidth="1"/>
    <col min="10" max="10" width="4" customWidth="1"/>
    <col min="11" max="11" width="6.44140625" customWidth="1"/>
    <col min="12" max="12" width="1.33203125" customWidth="1"/>
    <col min="13" max="13" width="8.109375" customWidth="1"/>
    <col min="14" max="14" width="1.21875" customWidth="1"/>
    <col min="15" max="15" width="7.77734375" customWidth="1"/>
    <col min="16" max="16" width="1.33203125" customWidth="1"/>
    <col min="17" max="17" width="7.77734375" customWidth="1"/>
    <col min="18" max="18" width="1.21875" customWidth="1"/>
    <col min="19" max="19" width="7.77734375" customWidth="1"/>
    <col min="20" max="20" width="1.33203125" customWidth="1"/>
    <col min="21" max="21" width="7.88671875" customWidth="1"/>
    <col min="22" max="22" width="1.33203125" customWidth="1"/>
    <col min="23" max="23" width="7.77734375" customWidth="1"/>
    <col min="24" max="24" width="0.88671875" customWidth="1"/>
    <col min="25" max="25" width="0.88671875" hidden="1" customWidth="1"/>
  </cols>
  <sheetData>
    <row r="2" spans="1:25" ht="36" customHeight="1" x14ac:dyDescent="0.5">
      <c r="A2" s="1321" t="s">
        <v>975</v>
      </c>
      <c r="B2" s="1321"/>
      <c r="C2" s="1321"/>
      <c r="D2" s="1321"/>
      <c r="E2" s="1321"/>
      <c r="F2" s="1321"/>
      <c r="G2" s="1321"/>
      <c r="H2" s="1321"/>
      <c r="I2" s="1321"/>
      <c r="J2" s="1321"/>
      <c r="K2" s="1321"/>
      <c r="L2" s="1321"/>
      <c r="M2" s="1321"/>
      <c r="N2" s="1321"/>
      <c r="O2" s="1321"/>
      <c r="P2" s="1321"/>
      <c r="Q2" s="1321"/>
      <c r="R2" s="1321"/>
      <c r="S2" s="1321"/>
      <c r="T2" s="1321"/>
      <c r="U2" s="1321"/>
      <c r="V2" s="1321"/>
      <c r="W2" s="1321"/>
      <c r="X2" s="1321"/>
    </row>
    <row r="3" spans="1:25" ht="23.4" x14ac:dyDescent="0.45">
      <c r="A3" s="1409" t="s">
        <v>976</v>
      </c>
      <c r="B3" s="1409"/>
      <c r="C3" s="1409"/>
      <c r="D3" s="1409"/>
      <c r="E3" s="1409"/>
      <c r="F3" s="1409"/>
      <c r="G3" s="1409"/>
      <c r="H3" s="1409"/>
      <c r="I3" s="1409"/>
      <c r="J3" s="1409"/>
      <c r="K3" s="1409"/>
      <c r="L3" s="1409"/>
      <c r="M3" s="1409"/>
      <c r="N3" s="1409"/>
      <c r="O3" s="1409"/>
      <c r="P3" s="1409"/>
      <c r="Q3" s="1409"/>
      <c r="R3" s="1409"/>
      <c r="S3" s="1409"/>
      <c r="T3" s="1409"/>
      <c r="U3" s="1409"/>
      <c r="V3" s="1409"/>
      <c r="W3" s="1409"/>
      <c r="X3" s="1409"/>
    </row>
    <row r="4" spans="1:25" ht="15.75" customHeight="1" x14ac:dyDescent="0.3">
      <c r="M4" s="1509">
        <f>IF(U65=TRUE,0,M20)</f>
        <v>0</v>
      </c>
      <c r="N4" s="1509"/>
      <c r="O4" s="1768" t="s">
        <v>974</v>
      </c>
      <c r="P4" s="1768"/>
      <c r="Q4" s="1768"/>
      <c r="R4" s="1768"/>
      <c r="S4" s="1768"/>
      <c r="T4" s="1768"/>
      <c r="U4" s="1768"/>
      <c r="V4" s="1768"/>
      <c r="W4" s="1768"/>
      <c r="X4" s="1768"/>
      <c r="Y4" s="1768"/>
    </row>
    <row r="5" spans="1:25" ht="15.6" x14ac:dyDescent="0.3">
      <c r="A5"/>
      <c r="B5"/>
      <c r="D5" s="2"/>
      <c r="E5" s="2"/>
      <c r="F5" s="2"/>
      <c r="G5" s="2"/>
      <c r="H5" s="2"/>
      <c r="I5" s="2"/>
      <c r="J5" s="2"/>
      <c r="K5" s="2"/>
      <c r="L5" s="2"/>
      <c r="M5" s="1509">
        <f>IF(U66=TRUE,0,Q20)</f>
        <v>0</v>
      </c>
      <c r="N5" s="1509"/>
      <c r="O5" s="1768"/>
      <c r="P5" s="1768"/>
      <c r="Q5" s="1768"/>
      <c r="R5" s="1768"/>
      <c r="S5" s="1768"/>
      <c r="T5" s="1768"/>
      <c r="U5" s="1768"/>
      <c r="V5" s="1768"/>
      <c r="W5" s="1768"/>
      <c r="X5" s="1768"/>
      <c r="Y5" s="1768"/>
    </row>
    <row r="6" spans="1:25" ht="15.6" x14ac:dyDescent="0.3">
      <c r="A6" s="1407" t="s">
        <v>37</v>
      </c>
      <c r="B6" s="1407"/>
      <c r="C6" s="1407"/>
      <c r="D6" s="1359"/>
      <c r="E6" s="1359"/>
      <c r="F6" s="1359"/>
      <c r="G6" s="1359"/>
      <c r="H6" s="1359"/>
      <c r="I6" s="1359"/>
      <c r="J6" s="1359"/>
      <c r="K6" s="1359"/>
      <c r="L6" s="52"/>
      <c r="M6" s="1509">
        <f>IF(U67=TRUE,0,U20)</f>
        <v>0</v>
      </c>
      <c r="N6" s="1509"/>
      <c r="O6" s="1768"/>
      <c r="P6" s="1768"/>
      <c r="Q6" s="1768"/>
      <c r="R6" s="1768"/>
      <c r="S6" s="1768"/>
      <c r="T6" s="1768"/>
      <c r="U6" s="1768"/>
      <c r="V6" s="1768"/>
      <c r="W6" s="1768"/>
      <c r="X6" s="1768"/>
      <c r="Y6" s="1768"/>
    </row>
    <row r="7" spans="1:25" ht="6" customHeight="1" x14ac:dyDescent="0.3">
      <c r="A7"/>
      <c r="B7"/>
      <c r="D7" s="66"/>
      <c r="E7" s="66"/>
      <c r="F7" s="66"/>
      <c r="G7" s="66"/>
      <c r="H7" s="66"/>
      <c r="I7" s="66"/>
      <c r="J7" s="66"/>
      <c r="K7" s="66"/>
      <c r="L7" s="46"/>
      <c r="M7" s="46"/>
      <c r="N7" s="2"/>
      <c r="O7" s="500"/>
      <c r="P7" s="500"/>
      <c r="Q7" s="500"/>
      <c r="R7" s="500"/>
      <c r="S7" s="500"/>
      <c r="T7" s="500"/>
      <c r="U7" s="500"/>
      <c r="V7" s="500"/>
      <c r="W7" s="500"/>
      <c r="X7" s="45"/>
    </row>
    <row r="8" spans="1:25" ht="15.6" x14ac:dyDescent="0.3">
      <c r="A8" s="34"/>
      <c r="B8" s="34"/>
      <c r="C8" s="34"/>
      <c r="D8" s="114"/>
      <c r="E8" s="114"/>
      <c r="F8" s="114"/>
      <c r="G8" s="114"/>
      <c r="H8" s="114"/>
      <c r="I8" s="114"/>
      <c r="J8" s="114"/>
      <c r="K8" s="114"/>
      <c r="L8" s="52"/>
      <c r="M8" s="52" t="str">
        <f>IF(D8="","",D8)</f>
        <v/>
      </c>
      <c r="N8" s="2"/>
      <c r="O8" s="500"/>
      <c r="P8" s="500"/>
      <c r="Q8" s="500"/>
      <c r="R8" s="500"/>
      <c r="S8" s="500"/>
      <c r="T8" s="500"/>
      <c r="U8" s="500"/>
      <c r="V8" s="500"/>
      <c r="W8" s="500"/>
      <c r="X8" s="45"/>
    </row>
    <row r="9" spans="1:25" ht="15.75" customHeight="1" x14ac:dyDescent="0.3">
      <c r="A9" s="4"/>
      <c r="B9" s="4"/>
      <c r="C9" s="4"/>
      <c r="D9" s="10"/>
      <c r="E9" s="10"/>
      <c r="F9" s="10"/>
      <c r="G9" s="10"/>
      <c r="H9" s="10"/>
      <c r="I9" s="10"/>
      <c r="J9" s="10"/>
      <c r="K9" s="10"/>
      <c r="L9" s="10"/>
      <c r="M9" s="10"/>
      <c r="N9" s="2"/>
      <c r="O9" s="500"/>
      <c r="P9" s="500"/>
      <c r="Q9" s="500"/>
      <c r="R9" s="500"/>
      <c r="S9" s="500"/>
      <c r="T9" s="500"/>
      <c r="U9" s="500"/>
      <c r="V9" s="500"/>
      <c r="W9" s="500"/>
      <c r="X9" s="45"/>
    </row>
    <row r="10" spans="1:25" ht="18.75" customHeight="1" x14ac:dyDescent="0.3">
      <c r="A10" s="1769" t="s">
        <v>994</v>
      </c>
      <c r="B10" s="1769"/>
      <c r="C10" s="1769"/>
      <c r="D10" s="1769"/>
      <c r="E10" s="1769"/>
      <c r="F10" s="1769"/>
      <c r="G10" s="1769"/>
      <c r="H10" s="538"/>
      <c r="I10" s="538"/>
      <c r="J10" s="10"/>
      <c r="K10" s="10"/>
      <c r="L10" s="10"/>
      <c r="M10" s="1504">
        <v>2026</v>
      </c>
      <c r="N10" s="1504"/>
      <c r="O10" s="1504"/>
      <c r="P10" s="2"/>
      <c r="Q10" s="1505">
        <f>M10-1</f>
        <v>2025</v>
      </c>
      <c r="R10" s="1505"/>
      <c r="S10" s="1505"/>
      <c r="T10" s="36"/>
      <c r="U10" s="1505">
        <f>M10-2</f>
        <v>2024</v>
      </c>
      <c r="V10" s="1505"/>
      <c r="W10" s="1505"/>
      <c r="X10" s="45"/>
    </row>
    <row r="11" spans="1:25" ht="15.6" customHeight="1" x14ac:dyDescent="0.35">
      <c r="A11" s="1769"/>
      <c r="B11" s="1769"/>
      <c r="C11" s="1769"/>
      <c r="D11" s="1769"/>
      <c r="E11" s="1769"/>
      <c r="F11" s="1769"/>
      <c r="G11" s="1769"/>
      <c r="H11" s="1506" t="s">
        <v>893</v>
      </c>
      <c r="I11" s="1506"/>
      <c r="J11" s="1506"/>
      <c r="K11" s="1506"/>
      <c r="L11" s="1506"/>
      <c r="M11" s="526">
        <v>46023</v>
      </c>
      <c r="N11" s="621"/>
      <c r="O11" s="526"/>
      <c r="P11" s="3"/>
      <c r="Q11" s="526">
        <v>45658</v>
      </c>
      <c r="R11" s="509"/>
      <c r="S11" s="526">
        <v>46022</v>
      </c>
      <c r="T11" s="525"/>
      <c r="U11" s="526">
        <v>45292</v>
      </c>
      <c r="V11" s="509"/>
      <c r="W11" s="526">
        <v>45657</v>
      </c>
      <c r="X11" s="45"/>
    </row>
    <row r="12" spans="1:25" ht="12.6" customHeight="1" x14ac:dyDescent="0.3">
      <c r="A12" s="1769"/>
      <c r="B12" s="1769"/>
      <c r="C12" s="1769"/>
      <c r="D12" s="1769"/>
      <c r="E12" s="1769"/>
      <c r="F12" s="1769"/>
      <c r="G12" s="1769"/>
      <c r="H12" s="538"/>
      <c r="I12" s="538"/>
      <c r="J12" s="10"/>
      <c r="K12" s="806">
        <f>YEAR(M11)</f>
        <v>2026</v>
      </c>
      <c r="L12" s="10"/>
      <c r="M12" s="1507" t="s">
        <v>97</v>
      </c>
      <c r="N12" s="1507"/>
      <c r="O12" s="1507"/>
      <c r="P12" s="2"/>
      <c r="Q12" s="1508" t="s">
        <v>97</v>
      </c>
      <c r="R12" s="1508"/>
      <c r="S12" s="1508"/>
      <c r="T12" s="36"/>
      <c r="U12" s="1508" t="s">
        <v>97</v>
      </c>
      <c r="V12" s="1508"/>
      <c r="W12" s="1508"/>
      <c r="X12" s="45"/>
    </row>
    <row r="13" spans="1:25" ht="14.4" customHeight="1" x14ac:dyDescent="0.3">
      <c r="A13" s="1770" t="s">
        <v>1294</v>
      </c>
      <c r="B13" s="1770"/>
      <c r="C13" s="1770"/>
      <c r="D13" s="1770"/>
      <c r="E13" s="1770"/>
      <c r="F13" s="1770"/>
      <c r="G13" s="1770"/>
      <c r="H13" s="1770"/>
      <c r="I13" s="1770"/>
      <c r="J13" s="1770"/>
      <c r="K13" s="1770"/>
      <c r="L13" s="1770"/>
      <c r="M13" s="1516" t="str">
        <f>IF(OR(M11="",O11=""),"=",CONCATENATE(ROUND(O14,2)," Months"))</f>
        <v>=</v>
      </c>
      <c r="N13" s="1516"/>
      <c r="O13" s="1516"/>
      <c r="P13" s="2"/>
      <c r="Q13" s="1516" t="str">
        <f>IF(OR(Q11="",S11=""),"=",CONCATENATE(ROUND(S14,2)," Months"))</f>
        <v>12 Months</v>
      </c>
      <c r="R13" s="1516"/>
      <c r="S13" s="1516"/>
      <c r="T13" s="36"/>
      <c r="U13" s="1516" t="str">
        <f>IF(OR(U11="",W11=""),"=",CONCATENATE(ROUND(W14,2)," Months"))</f>
        <v>12 Months</v>
      </c>
      <c r="V13" s="1516"/>
      <c r="W13" s="1516"/>
      <c r="X13" s="45"/>
    </row>
    <row r="14" spans="1:25" ht="3" customHeight="1" x14ac:dyDescent="0.3">
      <c r="A14" s="1770"/>
      <c r="B14" s="1770"/>
      <c r="C14" s="1770"/>
      <c r="D14" s="1770"/>
      <c r="E14" s="1770"/>
      <c r="F14" s="1770"/>
      <c r="G14" s="1770"/>
      <c r="H14" s="1770"/>
      <c r="I14" s="1770"/>
      <c r="J14" s="1770"/>
      <c r="K14" s="1770"/>
      <c r="L14" s="1770"/>
      <c r="M14" s="220">
        <f>YEARFRAC(M11,O11+1,4)</f>
        <v>126</v>
      </c>
      <c r="N14" s="394" t="str">
        <f>IF(OR(M11="",O11=""),"=",(ROUND(O14,2)))</f>
        <v>=</v>
      </c>
      <c r="O14" s="221">
        <f>M14*12</f>
        <v>1512</v>
      </c>
      <c r="P14" s="46">
        <f>IF(AND(M20&lt;&gt;0,U65&lt;&gt;TRUE),N14,0)</f>
        <v>0</v>
      </c>
      <c r="Q14" s="220">
        <f>YEARFRAC(Q11,S11+1,4)</f>
        <v>1</v>
      </c>
      <c r="R14" s="394">
        <f>IF(OR(Q11="",S11=""),"=",(ROUND(S14,2)))</f>
        <v>12</v>
      </c>
      <c r="S14" s="221">
        <f>Q14*12</f>
        <v>12</v>
      </c>
      <c r="T14" s="46">
        <f>IF(AND(Q20&lt;&gt;0,U66&lt;&gt;TRUE),R14,0)</f>
        <v>0</v>
      </c>
      <c r="U14" s="220">
        <f>YEARFRAC(U11,W11+1,4)</f>
        <v>1</v>
      </c>
      <c r="V14" s="394">
        <f>IF(OR(U11="",W11=""),"=",(ROUND(W14,2)))</f>
        <v>12</v>
      </c>
      <c r="W14" s="221">
        <f>U14*12</f>
        <v>12</v>
      </c>
      <c r="X14" s="46">
        <f>IF(AND(U20&lt;&gt;0,U67&lt;&gt;TRUE),V14,0)</f>
        <v>0</v>
      </c>
    </row>
    <row r="15" spans="1:25" ht="18.600000000000001" customHeight="1" x14ac:dyDescent="0.3">
      <c r="A15" s="1770"/>
      <c r="B15" s="1770"/>
      <c r="C15" s="1770"/>
      <c r="D15" s="1770"/>
      <c r="E15" s="1770"/>
      <c r="F15" s="1770"/>
      <c r="G15" s="1770"/>
      <c r="H15" s="1770"/>
      <c r="I15" s="1770"/>
      <c r="J15" s="1770"/>
      <c r="K15" s="1770"/>
      <c r="L15" s="1770"/>
      <c r="M15" s="1517" t="str">
        <f>IF(M10&lt;&gt;K12,"Error: Years don’t match",IF(AND(O11&lt;&gt;"",O11&lt;M11),"Error: &lt; 1 day",IF(AND(N14&gt;12,O11&lt;&gt;""),"Error: &gt; 12 Mo",IF(AND(M20&lt;&gt;0,O11=""),"Enter Dates",""))))</f>
        <v/>
      </c>
      <c r="N15" s="1517"/>
      <c r="O15" s="1517"/>
      <c r="P15" s="799" t="str">
        <f>IF(M15&lt;&gt;"",1,"")</f>
        <v/>
      </c>
      <c r="Q15" s="1517" t="str">
        <f>IF(Q10&lt;&gt;K12-1,"Error: Years don’t match",IF(S11&lt;Q11,"Error: &lt; 1 day",IF(AND(R14&gt;12,S11&lt;&gt;""),"Error: &gt; 12 Mo","")))</f>
        <v/>
      </c>
      <c r="R15" s="1517"/>
      <c r="S15" s="1517"/>
      <c r="T15" s="799" t="str">
        <f>IF(Q15&lt;&gt;"",1,"")</f>
        <v/>
      </c>
      <c r="U15" s="1517" t="str">
        <f>IF(U10&lt;&gt;K12-2,"Error: Years don’t match",IF(W11&lt;U11,"Error: &lt; 1 day",IF(AND(V14&gt;12,W11&lt;&gt;""),"Error: &gt; 12 Mo","")))</f>
        <v/>
      </c>
      <c r="V15" s="1517"/>
      <c r="W15" s="1517"/>
      <c r="X15" s="799" t="str">
        <f>IF(U15&lt;&gt;"",1,"")</f>
        <v/>
      </c>
    </row>
    <row r="16" spans="1:25" ht="15.6" x14ac:dyDescent="0.3">
      <c r="A16" s="86" t="s">
        <v>986</v>
      </c>
      <c r="B16" s="73" t="s">
        <v>978</v>
      </c>
      <c r="C16" s="1773" t="s">
        <v>847</v>
      </c>
      <c r="D16" s="1773"/>
      <c r="E16" s="1773"/>
      <c r="F16" s="1773"/>
      <c r="G16" s="1773"/>
      <c r="H16" s="1773"/>
      <c r="I16" s="1773"/>
      <c r="J16" s="1773"/>
      <c r="K16" s="10"/>
      <c r="M16" s="1502"/>
      <c r="N16" s="1502"/>
      <c r="O16" s="1502"/>
      <c r="P16" s="6"/>
      <c r="Q16" s="1502"/>
      <c r="R16" s="1502"/>
      <c r="S16" s="1502"/>
      <c r="T16" s="2">
        <f>IF(Q22&lt;&gt;0,R16,0)</f>
        <v>0</v>
      </c>
      <c r="U16" s="1502"/>
      <c r="V16" s="1502"/>
      <c r="W16" s="1502"/>
      <c r="X16" s="2">
        <f>IF(U22&lt;&gt;0,V16,0)</f>
        <v>0</v>
      </c>
    </row>
    <row r="17" spans="1:25" ht="3" customHeight="1" x14ac:dyDescent="0.3">
      <c r="A17" s="168"/>
      <c r="B17" s="34"/>
      <c r="C17" s="168"/>
      <c r="D17" s="91"/>
      <c r="E17" s="91"/>
      <c r="F17" s="91"/>
      <c r="G17" s="91"/>
      <c r="H17" s="91"/>
      <c r="I17" s="91"/>
      <c r="J17" s="91"/>
      <c r="K17" s="10"/>
      <c r="N17" s="10"/>
      <c r="O17" s="2"/>
      <c r="P17" s="2"/>
      <c r="Q17" s="42"/>
      <c r="R17" s="2"/>
      <c r="S17" s="2"/>
      <c r="T17" s="2"/>
      <c r="U17" s="2"/>
      <c r="V17" s="2"/>
      <c r="W17" s="2"/>
    </row>
    <row r="18" spans="1:25" ht="15.6" x14ac:dyDescent="0.3">
      <c r="A18" s="86" t="s">
        <v>987</v>
      </c>
      <c r="B18" s="624" t="s">
        <v>239</v>
      </c>
      <c r="C18" s="1771" t="s">
        <v>847</v>
      </c>
      <c r="D18" s="1771"/>
      <c r="E18" s="1771"/>
      <c r="F18" s="1771"/>
      <c r="G18" s="1771"/>
      <c r="H18" s="620"/>
      <c r="I18" s="531"/>
      <c r="J18" s="531"/>
      <c r="K18" s="10"/>
      <c r="M18" s="1502"/>
      <c r="N18" s="1502"/>
      <c r="O18" s="1502"/>
      <c r="P18" s="2"/>
      <c r="Q18" s="1502"/>
      <c r="R18" s="1502"/>
      <c r="S18" s="1502"/>
      <c r="T18" s="2"/>
      <c r="U18" s="1502"/>
      <c r="V18" s="1502"/>
      <c r="W18" s="1502"/>
    </row>
    <row r="19" spans="1:25" ht="6" customHeight="1" x14ac:dyDescent="0.3">
      <c r="A19" s="34"/>
      <c r="B19" s="34"/>
      <c r="C19" s="34"/>
      <c r="D19" s="34"/>
      <c r="E19" s="34"/>
      <c r="F19" s="34"/>
      <c r="G19" s="34"/>
      <c r="H19" s="34"/>
      <c r="I19" s="34"/>
      <c r="J19" s="34"/>
      <c r="K19" s="34"/>
      <c r="L19" s="34"/>
      <c r="M19" s="34"/>
      <c r="N19" s="34"/>
      <c r="O19" s="34"/>
      <c r="P19" s="34"/>
      <c r="Q19" s="34"/>
      <c r="R19" s="34"/>
      <c r="S19" s="34"/>
      <c r="T19" s="34"/>
      <c r="U19" s="34"/>
      <c r="V19" s="34"/>
      <c r="W19" s="34"/>
      <c r="X19" s="34"/>
    </row>
    <row r="20" spans="1:25" s="74" customFormat="1" ht="15.75" customHeight="1" x14ac:dyDescent="0.3">
      <c r="A20" s="1521" t="s">
        <v>988</v>
      </c>
      <c r="B20" s="1521"/>
      <c r="C20" s="1521"/>
      <c r="D20" s="99"/>
      <c r="E20" s="99"/>
      <c r="F20" s="99"/>
      <c r="G20" s="99"/>
      <c r="H20" s="99"/>
      <c r="I20" s="99"/>
      <c r="J20" s="99"/>
      <c r="K20" s="99"/>
      <c r="L20" s="99"/>
      <c r="M20" s="1518">
        <f>M16+M18</f>
        <v>0</v>
      </c>
      <c r="N20" s="1518"/>
      <c r="O20" s="1518"/>
      <c r="P20" s="99"/>
      <c r="Q20" s="1518">
        <f>Q16+Q18</f>
        <v>0</v>
      </c>
      <c r="R20" s="1518"/>
      <c r="S20" s="1518"/>
      <c r="T20" s="99"/>
      <c r="U20" s="1518">
        <f>U16+U18</f>
        <v>0</v>
      </c>
      <c r="V20" s="1518"/>
      <c r="W20" s="1518"/>
      <c r="X20" s="99"/>
    </row>
    <row r="21" spans="1:25" s="421" customFormat="1" ht="9.6" customHeight="1" x14ac:dyDescent="0.3">
      <c r="A21" s="428"/>
      <c r="B21" s="428"/>
      <c r="C21" s="428"/>
      <c r="D21" s="428"/>
      <c r="E21" s="428"/>
      <c r="F21" s="428"/>
      <c r="G21" s="428"/>
      <c r="H21" s="428"/>
      <c r="I21" s="1519" t="s">
        <v>814</v>
      </c>
      <c r="J21" s="1519"/>
      <c r="K21" s="1519"/>
      <c r="L21" s="1519"/>
      <c r="M21" s="1520">
        <f>IF(AND(N14&lt;12,N14&lt;&gt;""),(M20/N14)*12,M20)</f>
        <v>0</v>
      </c>
      <c r="N21" s="1520"/>
      <c r="O21" s="1520"/>
      <c r="P21" s="518"/>
      <c r="Q21" s="1520">
        <f>IF(AND(R14&lt;12,R14&lt;&gt;""),(Q20/R14)*12,Q20)</f>
        <v>0</v>
      </c>
      <c r="R21" s="1520"/>
      <c r="S21" s="1520"/>
      <c r="T21" s="518"/>
      <c r="U21" s="1520">
        <f>IF(AND(V14&lt;12,V14&lt;&gt;""),(U20/V14)*12,U20)</f>
        <v>0</v>
      </c>
      <c r="V21" s="1520"/>
      <c r="W21" s="1520"/>
      <c r="X21" s="428"/>
    </row>
    <row r="22" spans="1:25" ht="9" customHeight="1" x14ac:dyDescent="0.3">
      <c r="A22" s="34"/>
      <c r="B22" s="1774" t="s">
        <v>981</v>
      </c>
      <c r="C22" s="1774"/>
      <c r="D22" s="1774"/>
      <c r="E22" s="1774"/>
      <c r="F22" s="1774"/>
      <c r="G22" s="1774"/>
      <c r="H22" s="1774"/>
      <c r="I22" s="1774"/>
      <c r="J22" s="1774"/>
      <c r="K22" s="1774"/>
      <c r="L22" s="1774"/>
      <c r="M22" s="1528" t="s">
        <v>180</v>
      </c>
      <c r="N22" s="1528"/>
      <c r="O22" s="1528"/>
      <c r="P22" s="34"/>
      <c r="Q22" s="1528" t="s">
        <v>180</v>
      </c>
      <c r="R22" s="1528"/>
      <c r="S22" s="1528"/>
      <c r="T22" s="539"/>
      <c r="U22" s="539" t="s">
        <v>103</v>
      </c>
      <c r="V22" s="539"/>
      <c r="W22" s="539"/>
      <c r="X22" s="539"/>
      <c r="Y22" s="539"/>
    </row>
    <row r="23" spans="1:25" ht="9" customHeight="1" x14ac:dyDescent="0.3">
      <c r="A23" s="34"/>
      <c r="B23" s="1774"/>
      <c r="C23" s="1774"/>
      <c r="D23" s="1774"/>
      <c r="E23" s="1774"/>
      <c r="F23" s="1774"/>
      <c r="G23" s="1774"/>
      <c r="H23" s="1774"/>
      <c r="I23" s="1774"/>
      <c r="J23" s="1774"/>
      <c r="K23" s="1774"/>
      <c r="L23" s="1774"/>
      <c r="M23" s="1529" t="str">
        <f>CONCATENATE("                 ", M10,)</f>
        <v xml:space="preserve">                 2026</v>
      </c>
      <c r="N23" s="1529"/>
      <c r="O23" s="1529"/>
      <c r="P23" s="34"/>
      <c r="Q23" s="1529" t="str">
        <f>CONCATENATE("                 ", Q10,)</f>
        <v xml:space="preserve">                 2025</v>
      </c>
      <c r="R23" s="1529"/>
      <c r="S23" s="1529"/>
      <c r="T23" s="539"/>
      <c r="U23" s="540" t="str">
        <f>CONCATENATE("              ", U10,)</f>
        <v xml:space="preserve">              2024</v>
      </c>
      <c r="V23" s="540"/>
      <c r="W23" s="540"/>
      <c r="X23" s="539"/>
      <c r="Y23" s="539"/>
    </row>
    <row r="24" spans="1:25" ht="12" customHeight="1" x14ac:dyDescent="0.3">
      <c r="A24" s="34"/>
      <c r="B24" s="616"/>
      <c r="C24" s="616"/>
      <c r="D24" s="616"/>
      <c r="E24" s="616"/>
      <c r="F24" s="616"/>
      <c r="G24" s="616"/>
      <c r="H24" s="616"/>
      <c r="I24" s="616"/>
      <c r="J24" s="616"/>
      <c r="K24" s="616"/>
      <c r="L24" s="616"/>
      <c r="M24" s="540"/>
      <c r="N24" s="540"/>
      <c r="O24" s="540"/>
      <c r="P24" s="34"/>
      <c r="Q24" s="540"/>
      <c r="R24" s="540"/>
      <c r="S24" s="540"/>
      <c r="T24" s="539"/>
      <c r="U24" s="540"/>
      <c r="V24" s="540"/>
      <c r="W24" s="540"/>
      <c r="X24" s="539"/>
      <c r="Y24" s="539"/>
    </row>
    <row r="25" spans="1:25" ht="42" customHeight="1" x14ac:dyDescent="0.3">
      <c r="A25" s="34"/>
      <c r="B25" s="34"/>
      <c r="C25" s="34"/>
      <c r="D25" s="34"/>
      <c r="E25" s="34"/>
      <c r="F25" s="34"/>
      <c r="G25" s="1530" t="str">
        <f>IF(OR(P15=1,T15=1,X15=1),"Error with dates above",IF(AND(G29&lt;&gt;J27,J27&lt;&gt;"",G29&lt;&gt;0), "Caution, Number of Months entered does not match number of months calculated based on Dates Entered.  Correct or explain/justify in notes.",""))</f>
        <v/>
      </c>
      <c r="H25" s="1530"/>
      <c r="I25" s="1530"/>
      <c r="J25" s="1530"/>
      <c r="K25" s="1530"/>
      <c r="L25" s="1530"/>
      <c r="M25" s="1530"/>
      <c r="N25" s="1530"/>
      <c r="O25" s="1530"/>
      <c r="P25" s="34"/>
      <c r="Q25" s="1513" t="s">
        <v>991</v>
      </c>
      <c r="R25" s="1513"/>
      <c r="S25" s="1513"/>
      <c r="T25" s="1513"/>
      <c r="U25" s="1513"/>
      <c r="V25" s="1513"/>
      <c r="W25" s="1513"/>
      <c r="X25" s="34"/>
    </row>
    <row r="26" spans="1:25" ht="13.2" customHeight="1" x14ac:dyDescent="0.3">
      <c r="A26" s="1476" t="s">
        <v>995</v>
      </c>
      <c r="B26" s="1476"/>
      <c r="C26" s="1476"/>
      <c r="D26" s="34"/>
      <c r="E26" s="34"/>
      <c r="F26" s="34"/>
      <c r="G26" s="610"/>
      <c r="H26" s="610"/>
      <c r="I26" s="610"/>
      <c r="J26" s="610"/>
      <c r="K26" s="610"/>
      <c r="L26" s="610"/>
      <c r="M26" s="610"/>
      <c r="N26" s="610"/>
      <c r="O26" s="610"/>
      <c r="P26" s="34"/>
      <c r="Q26" s="611"/>
      <c r="R26" s="611"/>
      <c r="S26" s="611"/>
      <c r="T26" s="611"/>
      <c r="U26" s="611"/>
      <c r="V26" s="611"/>
      <c r="W26" s="611"/>
      <c r="X26" s="34"/>
    </row>
    <row r="27" spans="1:25" ht="18.600000000000001" customHeight="1" x14ac:dyDescent="0.45">
      <c r="B27" s="1246" t="s">
        <v>102</v>
      </c>
      <c r="C27" s="1246"/>
      <c r="D27" s="1531">
        <f>M4+M5+M6</f>
        <v>0</v>
      </c>
      <c r="E27" s="1531"/>
      <c r="F27" s="1531"/>
      <c r="G27" s="1476" t="s">
        <v>101</v>
      </c>
      <c r="H27" s="1476"/>
      <c r="I27" s="1476"/>
      <c r="J27" s="1532"/>
      <c r="K27" s="1532"/>
      <c r="L27" s="50"/>
      <c r="M27" s="1246" t="s">
        <v>100</v>
      </c>
      <c r="N27" s="1246"/>
      <c r="O27" s="1246"/>
      <c r="P27" s="1531">
        <f>IF(J27&gt;0,D27/J27,0)</f>
        <v>0</v>
      </c>
      <c r="Q27" s="1531"/>
      <c r="R27" s="1531"/>
      <c r="S27" s="1531"/>
      <c r="T27" s="1476" t="s">
        <v>99</v>
      </c>
      <c r="U27" s="1476"/>
      <c r="V27" s="1476"/>
      <c r="W27" s="1476"/>
      <c r="X27" s="34"/>
    </row>
    <row r="28" spans="1:25" ht="31.8" customHeight="1" thickBot="1" x14ac:dyDescent="0.35">
      <c r="A28" s="34"/>
      <c r="B28" s="34"/>
      <c r="C28" s="34"/>
      <c r="D28" s="10"/>
      <c r="E28" s="10"/>
      <c r="F28" s="10"/>
      <c r="G28" s="10"/>
      <c r="H28" s="10"/>
      <c r="I28" s="10"/>
      <c r="J28" s="10"/>
      <c r="K28" s="10"/>
      <c r="L28" s="10"/>
      <c r="M28" s="10"/>
      <c r="N28" s="2"/>
      <c r="O28" s="2"/>
      <c r="P28" s="2"/>
      <c r="Q28" s="2"/>
      <c r="R28" s="2"/>
      <c r="S28" s="2"/>
      <c r="T28" s="2"/>
      <c r="V28" s="72"/>
      <c r="W28" s="72"/>
    </row>
    <row r="29" spans="1:25" ht="15.6" customHeight="1" x14ac:dyDescent="0.3">
      <c r="A29" s="34"/>
      <c r="B29" s="34"/>
      <c r="C29" s="34"/>
      <c r="D29" s="516"/>
      <c r="E29" s="1539" t="s">
        <v>894</v>
      </c>
      <c r="F29" s="1540" t="s">
        <v>179</v>
      </c>
      <c r="G29" s="1541">
        <f>IF(OR(P15=1,T15=1,X15=1),0,ROUND(P14+T14+X14,2))</f>
        <v>0</v>
      </c>
      <c r="H29" s="1542"/>
      <c r="I29" s="1543" t="s">
        <v>815</v>
      </c>
      <c r="J29" s="1544"/>
      <c r="K29" s="1544"/>
      <c r="L29" s="1544"/>
      <c r="M29" s="1533">
        <f>M10</f>
        <v>2026</v>
      </c>
      <c r="N29" s="1534"/>
      <c r="O29" s="1534"/>
      <c r="P29" s="519"/>
      <c r="Q29" s="1533">
        <f>Q10</f>
        <v>2025</v>
      </c>
      <c r="R29" s="1534"/>
      <c r="S29" s="1534"/>
      <c r="T29" s="520"/>
      <c r="U29" s="1533">
        <f>U10</f>
        <v>2024</v>
      </c>
      <c r="V29" s="1534"/>
      <c r="W29" s="1536"/>
    </row>
    <row r="30" spans="1:25" ht="15.6" customHeight="1" thickBot="1" x14ac:dyDescent="0.35">
      <c r="A30" s="34"/>
      <c r="B30" s="34"/>
      <c r="C30" s="34"/>
      <c r="D30" s="510"/>
      <c r="E30" s="1539"/>
      <c r="F30" s="1540"/>
      <c r="G30" s="1541"/>
      <c r="H30" s="1542"/>
      <c r="I30" s="1545"/>
      <c r="J30" s="1546"/>
      <c r="K30" s="1546"/>
      <c r="L30" s="1546"/>
      <c r="M30" s="1537">
        <f>M21</f>
        <v>0</v>
      </c>
      <c r="N30" s="1537"/>
      <c r="O30" s="1537"/>
      <c r="P30" s="521"/>
      <c r="Q30" s="1537">
        <f>Q21</f>
        <v>0</v>
      </c>
      <c r="R30" s="1537"/>
      <c r="S30" s="1537"/>
      <c r="T30" s="522"/>
      <c r="U30" s="1537">
        <f>U21</f>
        <v>0</v>
      </c>
      <c r="V30" s="1537"/>
      <c r="W30" s="1538"/>
    </row>
    <row r="31" spans="1:25" ht="15.6" customHeight="1" x14ac:dyDescent="0.3">
      <c r="A31" s="34"/>
      <c r="B31" s="34"/>
      <c r="C31" s="34"/>
      <c r="D31" s="114"/>
      <c r="E31" s="511"/>
      <c r="F31" s="165"/>
      <c r="G31" s="615"/>
      <c r="H31" s="511"/>
      <c r="I31" s="512"/>
      <c r="J31" s="515"/>
      <c r="K31" s="515"/>
      <c r="L31" s="515"/>
      <c r="N31" s="2"/>
      <c r="O31" s="2"/>
      <c r="P31" s="2"/>
      <c r="Q31" s="2"/>
      <c r="R31" s="2"/>
      <c r="S31" s="2"/>
      <c r="T31" s="2"/>
      <c r="U31" s="72"/>
      <c r="V31" s="72"/>
      <c r="W31" s="72"/>
    </row>
    <row r="32" spans="1:25" ht="7.2" customHeight="1" x14ac:dyDescent="0.3">
      <c r="A32" s="34"/>
      <c r="B32" s="34"/>
      <c r="C32" s="34"/>
      <c r="D32" s="114"/>
      <c r="E32" s="114"/>
      <c r="F32" s="114"/>
      <c r="G32" s="513"/>
      <c r="H32" s="514"/>
      <c r="I32" s="514"/>
      <c r="J32" s="517"/>
      <c r="K32" s="517"/>
      <c r="L32" s="517"/>
      <c r="M32" s="10"/>
      <c r="N32" s="2"/>
      <c r="O32" s="2"/>
      <c r="P32" s="2"/>
      <c r="Q32" s="2"/>
      <c r="R32" s="2"/>
      <c r="S32" s="2"/>
      <c r="T32" s="2"/>
      <c r="U32" s="72"/>
      <c r="V32" s="72"/>
      <c r="W32" s="72"/>
    </row>
    <row r="33" spans="1:25" ht="15.6" customHeight="1" x14ac:dyDescent="0.3">
      <c r="A33" s="34"/>
      <c r="B33" s="34"/>
      <c r="D33" s="1523" t="str">
        <f>IF(AND(U20&lt;&gt;0,Q20&lt;&gt;0),CONCATENATE(U10," - ",Q10, ":"),"")</f>
        <v/>
      </c>
      <c r="E33" s="1523"/>
      <c r="F33" s="1523"/>
      <c r="G33" s="1523"/>
      <c r="H33" s="1524" t="str">
        <f>IF(AND(Q30&lt;&gt;0,U30&lt;&gt;0,U30&gt;Q30),CONCATENATE(ROUND(((U30-Q30)/U30)*100,2),"%"," Decline from ",U29," to ",Q29),
IF(AND(Q30&lt;&gt;0,U30&lt;&gt;0,U30&lt;Q30),CONCATENATE(ROUND(((Q30-U30)/U30)*100,2),"%"," Increase from ",U29," to ",Q29),
IF(AND(Q30&lt;&gt;0,U30&lt;&gt;0,U30=Q30),"No Change",
"")))</f>
        <v/>
      </c>
      <c r="I33" s="1524"/>
      <c r="J33" s="1524"/>
      <c r="K33" s="1524"/>
      <c r="L33" s="1524"/>
      <c r="M33" s="1524"/>
      <c r="N33" s="1524"/>
      <c r="O33" s="1524"/>
      <c r="P33" s="1524"/>
      <c r="Q33" s="1524"/>
      <c r="R33" s="1524"/>
      <c r="S33" s="1524"/>
      <c r="T33" s="1524"/>
      <c r="U33" s="524"/>
      <c r="V33" s="524"/>
      <c r="W33" s="524"/>
    </row>
    <row r="34" spans="1:25" ht="15.6" customHeight="1" x14ac:dyDescent="0.3">
      <c r="A34" s="34"/>
      <c r="B34" s="34"/>
      <c r="C34" s="523"/>
      <c r="D34" s="1523"/>
      <c r="E34" s="1523"/>
      <c r="F34" s="1523"/>
      <c r="G34" s="1523"/>
      <c r="H34" s="1524"/>
      <c r="I34" s="1524"/>
      <c r="J34" s="1524"/>
      <c r="K34" s="1524"/>
      <c r="L34" s="1524"/>
      <c r="M34" s="1524"/>
      <c r="N34" s="1524"/>
      <c r="O34" s="1524"/>
      <c r="P34" s="1524"/>
      <c r="Q34" s="1524"/>
      <c r="R34" s="1524"/>
      <c r="S34" s="1524"/>
      <c r="T34" s="1524"/>
      <c r="U34" s="524"/>
      <c r="V34" s="524"/>
      <c r="W34" s="524"/>
    </row>
    <row r="35" spans="1:25" ht="15.6" customHeight="1" x14ac:dyDescent="0.3">
      <c r="A35" s="34"/>
      <c r="B35" s="34"/>
      <c r="D35" s="1523" t="str">
        <f>CONCATENATE(Q10," - ",M10,":")</f>
        <v>2025 - 2026:</v>
      </c>
      <c r="E35" s="1523"/>
      <c r="F35" s="1523"/>
      <c r="G35" s="1523"/>
      <c r="H35" s="1524" t="str">
        <f>IF(AND(M30&lt;&gt;0,Q30&lt;&gt;0,Q30&gt;M30),CONCATENATE(ROUND(((Q30-M30)/Q30)*100,2),"%"," Decline from ",Q29," to ",M29),
IF(AND(M30&lt;&gt;0,Q30&lt;&gt;0,Q30&lt;M30),CONCATENATE(ROUND(((M30-Q30)/Q30)*100,2),"%"," Increase from ",Q29," to ",M29),
IF(AND(M30&lt;&gt;0,Q30&lt;&gt;0,Q30=M30),"No Change",
"")))</f>
        <v/>
      </c>
      <c r="I35" s="1524"/>
      <c r="J35" s="1524"/>
      <c r="K35" s="1524"/>
      <c r="L35" s="1524"/>
      <c r="M35" s="1524"/>
      <c r="N35" s="1524"/>
      <c r="O35" s="1524"/>
      <c r="P35" s="1524"/>
      <c r="Q35" s="1524"/>
      <c r="R35" s="1524"/>
      <c r="S35" s="1524"/>
      <c r="T35" s="1524"/>
      <c r="U35" s="524"/>
      <c r="V35" s="524"/>
      <c r="W35" s="524"/>
      <c r="X35" s="1525"/>
    </row>
    <row r="36" spans="1:25" ht="15.6" customHeight="1" x14ac:dyDescent="0.3">
      <c r="A36" s="34"/>
      <c r="B36" s="34"/>
      <c r="C36" s="523"/>
      <c r="D36" s="1523"/>
      <c r="E36" s="1523"/>
      <c r="F36" s="1523"/>
      <c r="G36" s="1523"/>
      <c r="H36" s="1524"/>
      <c r="I36" s="1524"/>
      <c r="J36" s="1524"/>
      <c r="K36" s="1524"/>
      <c r="L36" s="1524"/>
      <c r="M36" s="1524"/>
      <c r="N36" s="1524"/>
      <c r="O36" s="1524"/>
      <c r="P36" s="1524"/>
      <c r="Q36" s="1524"/>
      <c r="R36" s="1524"/>
      <c r="S36" s="1524"/>
      <c r="T36" s="1524"/>
      <c r="U36" s="524"/>
      <c r="V36" s="524"/>
      <c r="W36" s="524"/>
      <c r="X36" s="1525"/>
    </row>
    <row r="37" spans="1:25" ht="15.6" customHeight="1" x14ac:dyDescent="0.3">
      <c r="A37" s="34"/>
      <c r="B37" s="34"/>
      <c r="C37" s="1526" t="s">
        <v>1019</v>
      </c>
      <c r="D37" s="1526"/>
      <c r="E37" s="1526"/>
      <c r="F37" s="1526"/>
      <c r="G37" s="1526"/>
      <c r="H37" s="1526"/>
      <c r="I37" s="1526"/>
      <c r="J37" s="1526"/>
      <c r="K37" s="1526"/>
      <c r="L37" s="1526"/>
      <c r="M37" s="1526"/>
      <c r="N37" s="1526"/>
      <c r="O37" s="1526"/>
      <c r="P37" s="1526"/>
      <c r="Q37" s="1526"/>
      <c r="R37" s="1526"/>
      <c r="S37" s="1526"/>
      <c r="T37" s="1526"/>
      <c r="U37" s="1526"/>
      <c r="V37" s="1526"/>
      <c r="W37" s="1526"/>
    </row>
    <row r="38" spans="1:25" ht="8.4" customHeight="1" x14ac:dyDescent="0.3">
      <c r="A38" s="34"/>
      <c r="B38" s="34"/>
      <c r="C38" s="34"/>
      <c r="D38" s="10"/>
      <c r="E38" s="10"/>
      <c r="F38" s="10"/>
      <c r="G38" s="10"/>
      <c r="H38" s="10"/>
      <c r="I38" s="10"/>
      <c r="J38" s="10"/>
      <c r="K38" s="10"/>
      <c r="L38" s="10"/>
      <c r="M38" s="10"/>
      <c r="N38" s="2"/>
      <c r="O38" s="2"/>
      <c r="P38" s="2"/>
      <c r="Q38" s="2"/>
      <c r="R38" s="2"/>
      <c r="S38" s="2"/>
      <c r="T38" s="2"/>
      <c r="U38" s="2"/>
      <c r="V38" s="2"/>
      <c r="W38" s="2"/>
    </row>
    <row r="39" spans="1:25" ht="10.8" customHeight="1" x14ac:dyDescent="0.3">
      <c r="A39" s="34"/>
      <c r="B39" s="34"/>
      <c r="C39" s="34"/>
      <c r="D39" s="10"/>
      <c r="E39" s="10"/>
      <c r="F39" s="10"/>
      <c r="G39" s="1535" t="s">
        <v>977</v>
      </c>
      <c r="H39" s="1535"/>
      <c r="I39" s="1535"/>
      <c r="J39" s="1535"/>
      <c r="K39" s="1535"/>
      <c r="L39" s="1535"/>
      <c r="M39" s="1535"/>
      <c r="N39" s="1535"/>
      <c r="O39" s="1535"/>
      <c r="P39" s="1535"/>
      <c r="Q39" s="1535"/>
      <c r="R39" s="2"/>
      <c r="S39" s="2"/>
      <c r="T39" s="2"/>
      <c r="U39" s="2"/>
      <c r="V39" s="2"/>
      <c r="W39" s="2"/>
    </row>
    <row r="40" spans="1:25" ht="13.2" customHeight="1" x14ac:dyDescent="0.3">
      <c r="A40" s="34"/>
      <c r="B40" s="34"/>
      <c r="C40" s="34"/>
      <c r="D40" s="10"/>
      <c r="E40" s="10"/>
      <c r="F40" s="10"/>
      <c r="G40" s="1535"/>
      <c r="H40" s="1535"/>
      <c r="I40" s="1535"/>
      <c r="J40" s="1535"/>
      <c r="K40" s="1535"/>
      <c r="L40" s="1535"/>
      <c r="M40" s="1535"/>
      <c r="N40" s="1535"/>
      <c r="O40" s="1535"/>
      <c r="P40" s="1535"/>
      <c r="Q40" s="1535"/>
      <c r="R40" s="2"/>
      <c r="S40" s="2"/>
      <c r="T40" s="2"/>
      <c r="U40" s="2"/>
      <c r="V40" s="2"/>
      <c r="W40" s="2"/>
    </row>
    <row r="41" spans="1:25" ht="10.8" customHeight="1" x14ac:dyDescent="0.3">
      <c r="A41" s="34"/>
      <c r="B41" s="34"/>
      <c r="C41" s="34"/>
      <c r="D41" s="10"/>
      <c r="E41" s="10"/>
      <c r="F41" s="10"/>
      <c r="G41" s="1535"/>
      <c r="H41" s="1535"/>
      <c r="I41" s="1535"/>
      <c r="J41" s="1535"/>
      <c r="K41" s="1535"/>
      <c r="L41" s="1535"/>
      <c r="M41" s="1535"/>
      <c r="N41" s="1535"/>
      <c r="O41" s="1535"/>
      <c r="P41" s="1535"/>
      <c r="Q41" s="1535"/>
      <c r="R41" s="2"/>
      <c r="S41" s="2"/>
      <c r="T41" s="2"/>
      <c r="U41" s="2"/>
      <c r="V41" s="2"/>
      <c r="W41" s="2"/>
    </row>
    <row r="42" spans="1:25" ht="24" customHeight="1" x14ac:dyDescent="0.3">
      <c r="A42" s="1476" t="s">
        <v>996</v>
      </c>
      <c r="B42" s="1476"/>
      <c r="C42" s="1476"/>
      <c r="D42" s="10"/>
      <c r="E42" s="10"/>
      <c r="F42" s="10"/>
      <c r="G42" s="10"/>
      <c r="H42" s="10"/>
      <c r="I42" s="10"/>
      <c r="J42" s="10"/>
      <c r="K42" s="10"/>
      <c r="L42" s="10"/>
      <c r="M42" s="10"/>
      <c r="N42" s="2"/>
      <c r="O42" s="2"/>
      <c r="P42" s="2"/>
      <c r="Q42" s="2"/>
      <c r="R42" s="2"/>
      <c r="S42" s="2"/>
      <c r="T42" s="2"/>
      <c r="U42" s="2"/>
      <c r="V42" s="2"/>
      <c r="W42" s="2"/>
    </row>
    <row r="43" spans="1:25" ht="39" customHeight="1" x14ac:dyDescent="0.3">
      <c r="A43" s="1772" t="s">
        <v>1094</v>
      </c>
      <c r="B43" s="1772"/>
      <c r="C43" s="1772"/>
      <c r="D43" s="1772"/>
      <c r="E43" s="1772"/>
      <c r="F43" s="1772"/>
      <c r="G43" s="1772"/>
      <c r="H43" s="1772"/>
      <c r="I43" s="1772"/>
      <c r="J43" s="1772"/>
      <c r="K43" s="1772"/>
      <c r="L43" s="1772"/>
      <c r="M43" s="1772"/>
      <c r="N43" s="1772"/>
      <c r="O43" s="1772"/>
      <c r="P43" s="1772"/>
      <c r="Q43" s="1772"/>
      <c r="R43" s="612"/>
      <c r="S43" s="797" t="s">
        <v>979</v>
      </c>
      <c r="T43" s="612"/>
      <c r="U43" s="798" t="s">
        <v>980</v>
      </c>
      <c r="V43" s="612"/>
      <c r="W43" s="612"/>
      <c r="X43" s="612"/>
      <c r="Y43" s="612"/>
    </row>
    <row r="44" spans="1:25" ht="24" customHeight="1" x14ac:dyDescent="0.3">
      <c r="A44" s="1786" t="s">
        <v>1095</v>
      </c>
      <c r="B44" s="1786"/>
      <c r="C44" s="1786"/>
      <c r="D44" s="1786"/>
      <c r="E44" s="1786"/>
      <c r="F44" s="1786"/>
      <c r="G44" s="1786"/>
      <c r="H44" s="1786"/>
      <c r="I44" s="1786"/>
      <c r="J44" s="1786"/>
      <c r="K44" s="1786"/>
      <c r="L44" s="1786"/>
      <c r="M44" s="1786"/>
      <c r="N44" s="1786"/>
      <c r="O44" s="1786"/>
      <c r="P44" s="1786"/>
      <c r="Q44" s="1786"/>
      <c r="R44" s="2"/>
      <c r="S44" s="797" t="s">
        <v>979</v>
      </c>
      <c r="T44" s="798" t="s">
        <v>980</v>
      </c>
      <c r="U44" s="798" t="s">
        <v>980</v>
      </c>
      <c r="V44" s="2"/>
      <c r="W44" s="502" t="str">
        <f>IF(W66=2,"N/A","")</f>
        <v/>
      </c>
    </row>
    <row r="45" spans="1:25" ht="15.6" customHeight="1" x14ac:dyDescent="0.3">
      <c r="A45" s="173"/>
      <c r="B45" s="1096" t="str">
        <f>IF(C45="Business Asset used for funds cannot also be used for income","","a.")</f>
        <v>a.</v>
      </c>
      <c r="C45" s="1785" t="str">
        <f>IF(AND(W66=1,X66=1),"Business Asset used for funds cannot also be used for income","Enter full value of asset prior to withdrawal of funds needed for closing:")</f>
        <v>Enter full value of asset prior to withdrawal of funds needed for closing:</v>
      </c>
      <c r="D45" s="1785"/>
      <c r="E45" s="1785"/>
      <c r="F45" s="1785"/>
      <c r="G45" s="1785"/>
      <c r="H45" s="1785"/>
      <c r="I45" s="1785"/>
      <c r="J45" s="1785"/>
      <c r="K45" s="1785"/>
      <c r="L45" s="1785"/>
      <c r="M45" s="1785"/>
      <c r="N45" s="1785"/>
      <c r="O45" s="1785"/>
      <c r="P45" s="99"/>
      <c r="Q45" s="1778"/>
      <c r="R45" s="1778"/>
      <c r="S45" s="1778"/>
      <c r="T45" s="173"/>
      <c r="U45" s="173"/>
      <c r="V45" s="2"/>
      <c r="W45" s="2"/>
    </row>
    <row r="46" spans="1:25" ht="4.2" customHeight="1" x14ac:dyDescent="0.3">
      <c r="A46" s="173"/>
      <c r="B46" s="23"/>
      <c r="C46" s="617"/>
      <c r="D46" s="617"/>
      <c r="E46" s="617"/>
      <c r="F46" s="617"/>
      <c r="G46" s="617"/>
      <c r="H46" s="617"/>
      <c r="I46" s="617"/>
      <c r="J46" s="617"/>
      <c r="K46" s="617"/>
      <c r="L46" s="617"/>
      <c r="M46" s="617"/>
      <c r="N46" s="617"/>
      <c r="O46" s="617"/>
      <c r="P46" s="99"/>
      <c r="Q46" s="618"/>
      <c r="R46" s="618"/>
      <c r="S46" s="618"/>
      <c r="T46" s="173"/>
      <c r="U46" s="173"/>
      <c r="V46" s="2"/>
      <c r="W46" s="2"/>
    </row>
    <row r="47" spans="1:25" ht="15.6" customHeight="1" x14ac:dyDescent="0.3">
      <c r="A47" s="34"/>
      <c r="B47" s="619" t="s">
        <v>619</v>
      </c>
      <c r="C47" s="1777" t="s">
        <v>990</v>
      </c>
      <c r="D47" s="1777"/>
      <c r="E47" s="1777"/>
      <c r="F47" s="1777"/>
      <c r="G47" s="1777"/>
      <c r="H47" s="1777"/>
      <c r="I47" s="1777"/>
      <c r="J47" s="1777"/>
      <c r="K47" s="1777"/>
      <c r="L47" s="1777"/>
      <c r="M47" s="1777"/>
      <c r="N47" s="1777"/>
      <c r="O47" s="1777"/>
      <c r="P47" s="623"/>
      <c r="Q47" s="1778"/>
      <c r="R47" s="1778"/>
      <c r="S47" s="1778"/>
      <c r="T47" s="2"/>
      <c r="U47" s="2"/>
      <c r="V47" s="2"/>
      <c r="W47" s="2"/>
    </row>
    <row r="48" spans="1:25" ht="16.2" customHeight="1" x14ac:dyDescent="0.3">
      <c r="A48" s="34"/>
      <c r="B48" s="34"/>
      <c r="C48" s="34"/>
      <c r="D48" s="10"/>
      <c r="E48" s="10"/>
      <c r="F48" s="10"/>
      <c r="G48" s="10"/>
      <c r="H48" s="10"/>
      <c r="I48" s="10"/>
      <c r="J48" s="10"/>
      <c r="K48" s="10"/>
      <c r="L48" s="10"/>
      <c r="M48" s="10"/>
      <c r="N48" s="2"/>
      <c r="O48" s="2"/>
      <c r="P48" s="2"/>
      <c r="Q48" s="2"/>
      <c r="R48" s="2"/>
      <c r="S48" s="2"/>
      <c r="T48" s="2"/>
      <c r="U48" s="2"/>
      <c r="V48" s="2"/>
      <c r="W48" s="2"/>
    </row>
    <row r="49" spans="1:24" ht="23.4" customHeight="1" thickBot="1" x14ac:dyDescent="0.35">
      <c r="A49" s="34"/>
      <c r="B49" s="1784" t="s">
        <v>983</v>
      </c>
      <c r="C49" s="1784"/>
      <c r="D49" s="1784"/>
      <c r="E49" s="1784"/>
      <c r="F49" s="1783" t="s">
        <v>982</v>
      </c>
      <c r="G49" s="1783"/>
      <c r="H49" s="1783"/>
      <c r="I49" s="1783"/>
      <c r="J49" s="1783"/>
      <c r="K49" s="1783"/>
      <c r="L49" s="1783"/>
      <c r="M49" s="1783"/>
      <c r="N49" s="1779" t="str">
        <f>IF(W66=2,1,IF(AND(W66=1,X66=1),0,IF(AND(W66=1,X66=2,Q45&lt;&gt;"",Q47&lt;&gt;""),(Q47/Q45),"%")))</f>
        <v>%</v>
      </c>
      <c r="O49" s="1779"/>
      <c r="P49" s="1779"/>
      <c r="Q49" s="1780" t="s">
        <v>179</v>
      </c>
      <c r="R49" s="1780"/>
      <c r="S49" s="1781">
        <f>IF(OR(AND(W66=1,X66=2,Q45&lt;&gt;"",Q47&lt;&gt;"",P27&lt;&gt;0),AND(W66=2,P27&lt;&gt;0,N49&lt;&gt;"")),P27*N49,0)</f>
        <v>0</v>
      </c>
      <c r="T49" s="1782"/>
      <c r="U49" s="1782"/>
      <c r="V49" s="2"/>
      <c r="W49" s="756">
        <f>IF(W67=TRUE,0,S49)</f>
        <v>0</v>
      </c>
    </row>
    <row r="50" spans="1:24" ht="15.6" customHeight="1" thickTop="1" x14ac:dyDescent="0.3">
      <c r="A50" s="34"/>
      <c r="B50" s="34"/>
      <c r="F50" s="114"/>
      <c r="G50" s="114"/>
      <c r="H50" s="114"/>
      <c r="I50" s="114"/>
      <c r="J50" s="114"/>
      <c r="K50" s="114"/>
      <c r="L50" s="114"/>
      <c r="M50" s="114"/>
      <c r="N50" s="529"/>
      <c r="O50" s="529"/>
      <c r="P50" s="529"/>
      <c r="Q50" s="529"/>
      <c r="R50" s="2"/>
      <c r="S50" s="2"/>
      <c r="T50" s="2"/>
      <c r="U50" s="2"/>
      <c r="V50" s="2"/>
      <c r="W50" s="2"/>
    </row>
    <row r="51" spans="1:24" ht="15.6" customHeight="1" x14ac:dyDescent="0.3">
      <c r="A51" s="34"/>
      <c r="B51" s="34"/>
      <c r="C51" s="1775" t="s">
        <v>984</v>
      </c>
      <c r="D51" s="1775"/>
      <c r="E51" s="1775"/>
      <c r="F51" s="622"/>
      <c r="G51" s="622"/>
      <c r="H51" s="622"/>
      <c r="I51" s="622"/>
      <c r="J51" s="622"/>
      <c r="K51" s="622"/>
      <c r="L51" s="622"/>
      <c r="M51" s="622"/>
      <c r="N51" s="622"/>
      <c r="O51" s="622"/>
      <c r="P51" s="622"/>
      <c r="Q51" s="622"/>
      <c r="R51" s="2"/>
      <c r="S51" s="2"/>
      <c r="T51" s="2"/>
      <c r="U51" s="2"/>
      <c r="V51" s="2"/>
      <c r="W51" s="2"/>
    </row>
    <row r="52" spans="1:24" ht="15.6" customHeight="1" x14ac:dyDescent="0.3">
      <c r="A52" s="34"/>
      <c r="B52" s="34"/>
      <c r="C52" s="1776" t="s">
        <v>993</v>
      </c>
      <c r="D52" s="1776"/>
      <c r="E52" s="1776"/>
      <c r="F52" s="1776"/>
      <c r="G52" s="1776"/>
      <c r="H52" s="1776"/>
      <c r="I52" s="1776"/>
      <c r="J52" s="1776"/>
      <c r="K52" s="1776"/>
      <c r="L52" s="1776"/>
      <c r="M52" s="1776"/>
      <c r="N52" s="1776"/>
      <c r="O52" s="1776"/>
      <c r="P52" s="1776"/>
      <c r="Q52" s="1776"/>
      <c r="R52" s="2"/>
      <c r="S52" s="2"/>
      <c r="T52" s="2"/>
      <c r="U52" s="2"/>
      <c r="V52" s="2"/>
      <c r="W52" s="2"/>
    </row>
    <row r="53" spans="1:24" ht="15.6" customHeight="1" x14ac:dyDescent="0.3">
      <c r="A53" s="34"/>
      <c r="B53" s="34"/>
      <c r="C53" s="1776"/>
      <c r="D53" s="1776"/>
      <c r="E53" s="1776"/>
      <c r="F53" s="1776"/>
      <c r="G53" s="1776"/>
      <c r="H53" s="1776"/>
      <c r="I53" s="1776"/>
      <c r="J53" s="1776"/>
      <c r="K53" s="1776"/>
      <c r="L53" s="1776"/>
      <c r="M53" s="1776"/>
      <c r="N53" s="1776"/>
      <c r="O53" s="1776"/>
      <c r="P53" s="1776"/>
      <c r="Q53" s="1776"/>
      <c r="R53" s="2"/>
      <c r="S53" s="2"/>
      <c r="T53" s="2"/>
      <c r="U53" s="2"/>
      <c r="V53" s="2"/>
      <c r="W53" s="2"/>
    </row>
    <row r="54" spans="1:24" ht="15.6" customHeight="1" x14ac:dyDescent="0.3">
      <c r="A54" s="34"/>
      <c r="B54" s="34"/>
      <c r="C54" s="1776"/>
      <c r="D54" s="1776"/>
      <c r="E54" s="1776"/>
      <c r="F54" s="1776"/>
      <c r="G54" s="1776"/>
      <c r="H54" s="1776"/>
      <c r="I54" s="1776"/>
      <c r="J54" s="1776"/>
      <c r="K54" s="1776"/>
      <c r="L54" s="1776"/>
      <c r="M54" s="1776"/>
      <c r="N54" s="1776"/>
      <c r="O54" s="1776"/>
      <c r="P54" s="1776"/>
      <c r="Q54" s="1776"/>
      <c r="R54" s="2"/>
      <c r="S54" s="2"/>
      <c r="T54" s="2"/>
      <c r="U54" s="2"/>
      <c r="V54" s="2"/>
      <c r="W54" s="2"/>
    </row>
    <row r="55" spans="1:24" ht="17.399999999999999" customHeight="1" x14ac:dyDescent="0.3">
      <c r="A55" s="34"/>
      <c r="B55" s="34"/>
      <c r="C55" s="34"/>
      <c r="D55" s="10"/>
      <c r="E55" s="10"/>
      <c r="F55" s="10"/>
      <c r="H55" s="10"/>
      <c r="I55" s="10"/>
      <c r="M55" s="10"/>
      <c r="N55" s="2"/>
      <c r="O55" s="2"/>
      <c r="P55" s="2"/>
      <c r="Q55" s="2"/>
      <c r="R55" s="2"/>
      <c r="S55" s="2"/>
      <c r="T55" s="2"/>
      <c r="U55" s="2"/>
      <c r="V55" s="2"/>
      <c r="W55" s="2"/>
    </row>
    <row r="56" spans="1:24" ht="15.75" customHeight="1" x14ac:dyDescent="0.3">
      <c r="A56" s="1494" t="s">
        <v>1078</v>
      </c>
      <c r="B56" s="1494"/>
      <c r="C56" s="1494"/>
      <c r="D56" s="1494"/>
      <c r="E56" s="1494"/>
      <c r="F56" s="1494"/>
      <c r="G56" s="1494"/>
      <c r="H56" s="19"/>
      <c r="I56" s="19"/>
      <c r="J56" s="19"/>
      <c r="K56" s="19"/>
      <c r="L56" s="19"/>
      <c r="M56" s="19"/>
      <c r="N56" s="19"/>
      <c r="O56" s="19"/>
      <c r="P56" s="19"/>
      <c r="Q56" s="19"/>
      <c r="R56" s="19"/>
      <c r="S56" s="19"/>
      <c r="T56" s="19"/>
      <c r="U56" s="19"/>
      <c r="V56" s="19"/>
      <c r="W56" s="19"/>
    </row>
    <row r="57" spans="1:24" ht="15.75" customHeight="1" x14ac:dyDescent="0.3">
      <c r="A57" s="1325"/>
      <c r="B57" s="1325"/>
      <c r="C57" s="1325"/>
      <c r="D57" s="1325"/>
      <c r="E57" s="1325"/>
      <c r="F57" s="1325"/>
      <c r="G57" s="1325"/>
      <c r="H57" s="1325"/>
      <c r="I57" s="1325"/>
      <c r="J57" s="1325"/>
      <c r="K57" s="1325"/>
      <c r="L57" s="1325"/>
      <c r="M57" s="1325"/>
      <c r="N57" s="1325"/>
      <c r="O57" s="1325"/>
      <c r="P57" s="1325"/>
      <c r="Q57" s="1325"/>
      <c r="R57" s="1325"/>
      <c r="S57" s="1325"/>
      <c r="T57" s="1325"/>
      <c r="U57" s="1325"/>
      <c r="V57" s="1325"/>
      <c r="W57" s="1325"/>
      <c r="X57" s="1325"/>
    </row>
    <row r="58" spans="1:24" ht="15.75" customHeight="1" x14ac:dyDescent="0.3">
      <c r="A58" s="1325"/>
      <c r="B58" s="1325"/>
      <c r="C58" s="1325"/>
      <c r="D58" s="1325"/>
      <c r="E58" s="1325"/>
      <c r="F58" s="1325"/>
      <c r="G58" s="1325"/>
      <c r="H58" s="1325"/>
      <c r="I58" s="1325"/>
      <c r="J58" s="1325"/>
      <c r="K58" s="1325"/>
      <c r="L58" s="1325"/>
      <c r="M58" s="1325"/>
      <c r="N58" s="1325"/>
      <c r="O58" s="1325"/>
      <c r="P58" s="1325"/>
      <c r="Q58" s="1325"/>
      <c r="R58" s="1325"/>
      <c r="S58" s="1325"/>
      <c r="T58" s="1325"/>
      <c r="U58" s="1325"/>
      <c r="V58" s="1325"/>
      <c r="W58" s="1325"/>
      <c r="X58" s="1325"/>
    </row>
    <row r="59" spans="1:24" ht="15.75" customHeight="1" x14ac:dyDescent="0.3">
      <c r="A59" s="1325"/>
      <c r="B59" s="1325"/>
      <c r="C59" s="1325"/>
      <c r="D59" s="1325"/>
      <c r="E59" s="1325"/>
      <c r="F59" s="1325"/>
      <c r="G59" s="1325"/>
      <c r="H59" s="1325"/>
      <c r="I59" s="1325"/>
      <c r="J59" s="1325"/>
      <c r="K59" s="1325"/>
      <c r="L59" s="1325"/>
      <c r="M59" s="1325"/>
      <c r="N59" s="1325"/>
      <c r="O59" s="1325"/>
      <c r="P59" s="1325"/>
      <c r="Q59" s="1325"/>
      <c r="R59" s="1325"/>
      <c r="S59" s="1325"/>
      <c r="T59" s="1325"/>
      <c r="U59" s="1325"/>
      <c r="V59" s="1325"/>
      <c r="W59" s="1325"/>
      <c r="X59" s="1325"/>
    </row>
    <row r="60" spans="1:24" ht="15.75" customHeight="1" x14ac:dyDescent="0.3">
      <c r="A60" s="1325"/>
      <c r="B60" s="1325"/>
      <c r="C60" s="1325"/>
      <c r="D60" s="1325"/>
      <c r="E60" s="1325"/>
      <c r="F60" s="1325"/>
      <c r="G60" s="1325"/>
      <c r="H60" s="1325"/>
      <c r="I60" s="1325"/>
      <c r="J60" s="1325"/>
      <c r="K60" s="1325"/>
      <c r="L60" s="1325"/>
      <c r="M60" s="1325"/>
      <c r="N60" s="1325"/>
      <c r="O60" s="1325"/>
      <c r="P60" s="1325"/>
      <c r="Q60" s="1325"/>
      <c r="R60" s="1325"/>
      <c r="S60" s="1325"/>
      <c r="T60" s="1325"/>
      <c r="U60" s="1325"/>
      <c r="V60" s="1325"/>
      <c r="W60" s="1325"/>
      <c r="X60" s="1325"/>
    </row>
    <row r="61" spans="1:24" ht="15.75" customHeight="1" x14ac:dyDescent="0.3">
      <c r="A61" s="1325"/>
      <c r="B61" s="1325"/>
      <c r="C61" s="1325"/>
      <c r="D61" s="1325"/>
      <c r="E61" s="1325"/>
      <c r="F61" s="1325"/>
      <c r="G61" s="1325"/>
      <c r="H61" s="1325"/>
      <c r="I61" s="1325"/>
      <c r="J61" s="1325"/>
      <c r="K61" s="1325"/>
      <c r="L61" s="1325"/>
      <c r="M61" s="1325"/>
      <c r="N61" s="1325"/>
      <c r="O61" s="1325"/>
      <c r="P61" s="1325"/>
      <c r="Q61" s="1325"/>
      <c r="R61" s="1325"/>
      <c r="S61" s="1325"/>
      <c r="T61" s="1325"/>
      <c r="U61" s="1325"/>
      <c r="V61" s="1325"/>
      <c r="W61" s="1325"/>
      <c r="X61" s="1325"/>
    </row>
    <row r="62" spans="1:24" ht="15.75" customHeight="1" x14ac:dyDescent="0.3">
      <c r="A62" s="1325"/>
      <c r="B62" s="1325"/>
      <c r="C62" s="1325"/>
      <c r="D62" s="1325"/>
      <c r="E62" s="1325"/>
      <c r="F62" s="1325"/>
      <c r="G62" s="1325"/>
      <c r="H62" s="1325"/>
      <c r="I62" s="1325"/>
      <c r="J62" s="1325"/>
      <c r="K62" s="1325"/>
      <c r="L62" s="1325"/>
      <c r="M62" s="1325"/>
      <c r="N62" s="1325"/>
      <c r="O62" s="1325"/>
      <c r="P62" s="1325"/>
      <c r="Q62" s="1325"/>
      <c r="R62" s="1325"/>
      <c r="S62" s="1325"/>
      <c r="T62" s="1325"/>
      <c r="U62" s="1325"/>
      <c r="V62" s="1325"/>
      <c r="W62" s="1325"/>
      <c r="X62" s="1325"/>
    </row>
    <row r="63" spans="1:24" ht="15.75" customHeight="1" x14ac:dyDescent="0.3">
      <c r="A63" s="1325"/>
      <c r="B63" s="1325"/>
      <c r="C63" s="1325"/>
      <c r="D63" s="1325"/>
      <c r="E63" s="1325"/>
      <c r="F63" s="1325"/>
      <c r="G63" s="1325"/>
      <c r="H63" s="1325"/>
      <c r="I63" s="1325"/>
      <c r="J63" s="1325"/>
      <c r="K63" s="1325"/>
      <c r="L63" s="1325"/>
      <c r="M63" s="1325"/>
      <c r="N63" s="1325"/>
      <c r="O63" s="1325"/>
      <c r="P63" s="1325"/>
      <c r="Q63" s="1325"/>
      <c r="R63" s="1325"/>
      <c r="S63" s="1325"/>
      <c r="T63" s="1325"/>
      <c r="U63" s="1325"/>
      <c r="V63" s="1325"/>
      <c r="W63" s="1325"/>
      <c r="X63" s="1325"/>
    </row>
    <row r="64" spans="1:24" ht="14.25" customHeight="1" x14ac:dyDescent="0.3">
      <c r="A64" s="1325"/>
      <c r="B64" s="1325"/>
      <c r="C64" s="1325"/>
      <c r="D64" s="1325"/>
      <c r="E64" s="1325"/>
      <c r="F64" s="1325"/>
      <c r="G64" s="1325"/>
      <c r="H64" s="1325"/>
      <c r="I64" s="1325"/>
      <c r="J64" s="1325"/>
      <c r="K64" s="1325"/>
      <c r="L64" s="1325"/>
      <c r="M64" s="1325"/>
      <c r="N64" s="1325"/>
      <c r="O64" s="1325"/>
      <c r="P64" s="1325"/>
      <c r="Q64" s="1325"/>
      <c r="R64" s="1325"/>
      <c r="S64" s="1325"/>
      <c r="T64" s="1325"/>
      <c r="U64" s="1325"/>
      <c r="V64" s="1325"/>
      <c r="W64" s="1325"/>
      <c r="X64" s="1325"/>
    </row>
    <row r="65" spans="1:24" ht="13.2" hidden="1" customHeight="1" x14ac:dyDescent="0.3">
      <c r="A65" s="778"/>
      <c r="U65" s="1046" t="b">
        <v>0</v>
      </c>
      <c r="V65" s="47"/>
      <c r="W65" s="47"/>
    </row>
    <row r="66" spans="1:24" hidden="1" x14ac:dyDescent="0.3">
      <c r="U66" s="1046" t="b">
        <v>0</v>
      </c>
      <c r="V66" s="47"/>
      <c r="W66" s="1046"/>
      <c r="X66" s="1046"/>
    </row>
    <row r="67" spans="1:24" ht="15" hidden="1" customHeight="1" x14ac:dyDescent="0.3">
      <c r="U67" s="1046" t="b">
        <v>0</v>
      </c>
      <c r="V67" s="47"/>
      <c r="W67" s="1046" t="b">
        <v>0</v>
      </c>
    </row>
    <row r="68" spans="1:24" x14ac:dyDescent="0.3">
      <c r="A68" s="1522" t="str">
        <f ca="1">REPLACE(CELL("filename",A68),1,FIND("]",CELL("filename",A68)),"")</f>
        <v>Int. &amp; Div. (sch B)</v>
      </c>
      <c r="B68" s="1522"/>
      <c r="C68" s="1522"/>
      <c r="D68" s="1522"/>
      <c r="E68" s="1522"/>
      <c r="R68" s="186"/>
      <c r="S68" s="186"/>
    </row>
    <row r="72" spans="1:24" x14ac:dyDescent="0.3">
      <c r="T72" s="1419" t="str">
        <f>Version</f>
        <v>Version 2026.1</v>
      </c>
      <c r="U72" s="1419"/>
      <c r="V72" s="1419"/>
      <c r="W72" s="1419"/>
    </row>
  </sheetData>
  <sheetProtection algorithmName="SHA-512" hashValue="yln0Q28CyujFbUFwZGEGyv8VhS+8NGYux7iYe3NHhw/DoenOm2Iqs1rAanBtsyNMS+t4fkWizN4DHgT0uWIFbg==" saltValue="14op9xQpGqQ/2cTFzIgjyw==" spinCount="100000" sheet="1" objects="1" scenarios="1" selectLockedCells="1"/>
  <mergeCells count="89">
    <mergeCell ref="D27:F27"/>
    <mergeCell ref="A57:X64"/>
    <mergeCell ref="A56:G56"/>
    <mergeCell ref="C51:E51"/>
    <mergeCell ref="C52:Q54"/>
    <mergeCell ref="A42:C42"/>
    <mergeCell ref="C47:O47"/>
    <mergeCell ref="Q47:S47"/>
    <mergeCell ref="N49:P49"/>
    <mergeCell ref="Q49:R49"/>
    <mergeCell ref="S49:U49"/>
    <mergeCell ref="F49:M49"/>
    <mergeCell ref="B49:E49"/>
    <mergeCell ref="C45:O45"/>
    <mergeCell ref="Q45:S45"/>
    <mergeCell ref="A44:Q44"/>
    <mergeCell ref="Q29:S29"/>
    <mergeCell ref="A68:E68"/>
    <mergeCell ref="T72:W72"/>
    <mergeCell ref="H11:L11"/>
    <mergeCell ref="C16:J16"/>
    <mergeCell ref="B27:C27"/>
    <mergeCell ref="D35:G36"/>
    <mergeCell ref="H35:T36"/>
    <mergeCell ref="T27:W27"/>
    <mergeCell ref="M22:O22"/>
    <mergeCell ref="Q22:S22"/>
    <mergeCell ref="M23:O23"/>
    <mergeCell ref="Q23:S23"/>
    <mergeCell ref="G25:O25"/>
    <mergeCell ref="Q25:W25"/>
    <mergeCell ref="B22:L23"/>
    <mergeCell ref="A26:C26"/>
    <mergeCell ref="X35:X36"/>
    <mergeCell ref="C37:W37"/>
    <mergeCell ref="G39:Q41"/>
    <mergeCell ref="A43:Q43"/>
    <mergeCell ref="U29:W29"/>
    <mergeCell ref="M30:O30"/>
    <mergeCell ref="Q30:S30"/>
    <mergeCell ref="U30:W30"/>
    <mergeCell ref="D33:G34"/>
    <mergeCell ref="H33:T34"/>
    <mergeCell ref="E29:E30"/>
    <mergeCell ref="F29:F30"/>
    <mergeCell ref="G29:H30"/>
    <mergeCell ref="I29:L30"/>
    <mergeCell ref="M29:O29"/>
    <mergeCell ref="I21:L21"/>
    <mergeCell ref="M21:O21"/>
    <mergeCell ref="Q21:S21"/>
    <mergeCell ref="U21:W21"/>
    <mergeCell ref="G27:I27"/>
    <mergeCell ref="J27:K27"/>
    <mergeCell ref="M27:O27"/>
    <mergeCell ref="P27:S27"/>
    <mergeCell ref="U18:W18"/>
    <mergeCell ref="A20:C20"/>
    <mergeCell ref="M20:O20"/>
    <mergeCell ref="Q20:S20"/>
    <mergeCell ref="U20:W20"/>
    <mergeCell ref="A13:L15"/>
    <mergeCell ref="C18:G18"/>
    <mergeCell ref="M12:O12"/>
    <mergeCell ref="Q12:S12"/>
    <mergeCell ref="U12:W12"/>
    <mergeCell ref="M13:O13"/>
    <mergeCell ref="Q13:S13"/>
    <mergeCell ref="U13:W13"/>
    <mergeCell ref="M15:O15"/>
    <mergeCell ref="Q15:S15"/>
    <mergeCell ref="U15:W15"/>
    <mergeCell ref="M16:O16"/>
    <mergeCell ref="Q16:S16"/>
    <mergeCell ref="U16:W16"/>
    <mergeCell ref="M18:O18"/>
    <mergeCell ref="Q18:S18"/>
    <mergeCell ref="M10:O10"/>
    <mergeCell ref="Q10:S10"/>
    <mergeCell ref="U10:W10"/>
    <mergeCell ref="A2:X2"/>
    <mergeCell ref="A3:X3"/>
    <mergeCell ref="M4:N4"/>
    <mergeCell ref="O4:Y6"/>
    <mergeCell ref="M5:N5"/>
    <mergeCell ref="A6:C6"/>
    <mergeCell ref="D6:K6"/>
    <mergeCell ref="M6:N6"/>
    <mergeCell ref="A10:G12"/>
  </mergeCells>
  <conditionalFormatting sqref="Q16">
    <cfRule type="expression" dxfId="1126" priority="69" stopIfTrue="1">
      <formula>#REF!=2</formula>
    </cfRule>
  </conditionalFormatting>
  <conditionalFormatting sqref="U16">
    <cfRule type="expression" dxfId="1125" priority="68" stopIfTrue="1">
      <formula>#REF!=2</formula>
    </cfRule>
  </conditionalFormatting>
  <conditionalFormatting sqref="Q18">
    <cfRule type="expression" dxfId="1124" priority="67" stopIfTrue="1">
      <formula>#REF!=2</formula>
    </cfRule>
  </conditionalFormatting>
  <conditionalFormatting sqref="M18">
    <cfRule type="expression" dxfId="1123" priority="64" stopIfTrue="1">
      <formula>#REF!=2</formula>
    </cfRule>
  </conditionalFormatting>
  <conditionalFormatting sqref="U20">
    <cfRule type="expression" dxfId="1122" priority="66" stopIfTrue="1">
      <formula>#REF!=2</formula>
    </cfRule>
  </conditionalFormatting>
  <conditionalFormatting sqref="M16">
    <cfRule type="expression" dxfId="1121" priority="65" stopIfTrue="1">
      <formula>#REF!=2</formula>
    </cfRule>
  </conditionalFormatting>
  <conditionalFormatting sqref="M20">
    <cfRule type="expression" dxfId="1120" priority="58" stopIfTrue="1">
      <formula>#REF!=2</formula>
    </cfRule>
  </conditionalFormatting>
  <conditionalFormatting sqref="Q20">
    <cfRule type="expression" dxfId="1119" priority="53" stopIfTrue="1">
      <formula>#REF!=2</formula>
    </cfRule>
  </conditionalFormatting>
  <conditionalFormatting sqref="U18">
    <cfRule type="expression" dxfId="1118" priority="41" stopIfTrue="1">
      <formula>#REF!=2</formula>
    </cfRule>
  </conditionalFormatting>
  <conditionalFormatting sqref="H35">
    <cfRule type="expression" dxfId="1117" priority="24">
      <formula>AND($M$30&lt;&gt;0,$Q$30&lt;&gt;0, $M$30&lt;$Q$30)</formula>
    </cfRule>
  </conditionalFormatting>
  <conditionalFormatting sqref="G25:O25">
    <cfRule type="expression" dxfId="1116" priority="23">
      <formula>$G$25&lt;&gt;""</formula>
    </cfRule>
  </conditionalFormatting>
  <conditionalFormatting sqref="H33 U33:W34">
    <cfRule type="expression" dxfId="1115" priority="22">
      <formula>AND($Q$30&lt;&gt;0,$U$30&lt;&gt;0,$Q$30&lt;$U$30)</formula>
    </cfRule>
  </conditionalFormatting>
  <conditionalFormatting sqref="Q25:W25">
    <cfRule type="expression" dxfId="1114" priority="18">
      <formula>OR($U$65=TRUE,$U$66=TRUE,$U$67=TRUE)</formula>
    </cfRule>
  </conditionalFormatting>
  <conditionalFormatting sqref="G39">
    <cfRule type="expression" dxfId="1113" priority="17">
      <formula>OR(AND($U$30&lt;&gt;0,$Q$30&lt;&gt;0,$Q$30&lt;$U$30),AND($Q$20&lt;&gt;0,$M$20&lt;&gt;0,$M$30&lt;$Q$30))</formula>
    </cfRule>
  </conditionalFormatting>
  <conditionalFormatting sqref="M13:O13">
    <cfRule type="expression" dxfId="1112" priority="11">
      <formula>AND($O$11&lt;$M$11,$O$11&lt;&gt;"")</formula>
    </cfRule>
    <cfRule type="expression" dxfId="1111" priority="1504">
      <formula>$M$20=0</formula>
    </cfRule>
    <cfRule type="expression" dxfId="1110" priority="1505">
      <formula>AND($N$14&gt;12,$O$11&lt;&gt;"")</formula>
    </cfRule>
  </conditionalFormatting>
  <conditionalFormatting sqref="Q13:S13">
    <cfRule type="expression" dxfId="1109" priority="5">
      <formula>$S$11&lt;$Q$11</formula>
    </cfRule>
    <cfRule type="expression" dxfId="1108" priority="1506">
      <formula>$Q$20=0</formula>
    </cfRule>
    <cfRule type="expression" dxfId="1107" priority="1507">
      <formula>AND($R$14&gt;12,$S$11&lt;&gt;"")</formula>
    </cfRule>
  </conditionalFormatting>
  <conditionalFormatting sqref="U13:W13">
    <cfRule type="expression" dxfId="1106" priority="4">
      <formula>$W$11&lt;$U$11</formula>
    </cfRule>
    <cfRule type="expression" dxfId="1105" priority="1508">
      <formula>$U$20=0</formula>
    </cfRule>
    <cfRule type="expression" dxfId="1104" priority="1509">
      <formula>AND($V$14&gt;12,$W$11&lt;&gt;"")</formula>
    </cfRule>
  </conditionalFormatting>
  <conditionalFormatting sqref="O11">
    <cfRule type="expression" dxfId="1103" priority="10">
      <formula>AND($O$11&lt;&gt;"",$O$11&lt;$M$11)</formula>
    </cfRule>
    <cfRule type="expression" dxfId="1102" priority="1511">
      <formula>AND($M$20&lt;&gt;0,$O$11="")</formula>
    </cfRule>
  </conditionalFormatting>
  <conditionalFormatting sqref="O4:Y6">
    <cfRule type="expression" dxfId="1101" priority="1513">
      <formula>AND(A68&lt;&gt;"Int. &amp; Div. (sch B)",A68&lt;&gt;"Int. &amp; Div. (sch B) (2)",A68&lt;&gt;"Int. &amp; Div. (sch B) (3)",A68&lt;&gt;"Int. &amp; Div. (sch B) (4)")</formula>
    </cfRule>
  </conditionalFormatting>
  <conditionalFormatting sqref="Q45 Q47">
    <cfRule type="expression" dxfId="1100" priority="16">
      <formula>AND($W$66=1,$X$66=2)</formula>
    </cfRule>
  </conditionalFormatting>
  <conditionalFormatting sqref="B45:O45">
    <cfRule type="expression" dxfId="1099" priority="14">
      <formula>AND($W$66=1,$X$66=2)</formula>
    </cfRule>
  </conditionalFormatting>
  <conditionalFormatting sqref="B47:C47">
    <cfRule type="expression" dxfId="1098" priority="13">
      <formula>AND($W$66=1,$X$66=2)</formula>
    </cfRule>
  </conditionalFormatting>
  <conditionalFormatting sqref="S49:U49">
    <cfRule type="expression" dxfId="1097" priority="12">
      <formula>$W$67=TRUE</formula>
    </cfRule>
  </conditionalFormatting>
  <conditionalFormatting sqref="C45:O45">
    <cfRule type="expression" dxfId="1096" priority="9">
      <formula>AND($W$66=1,$X$66=1)</formula>
    </cfRule>
  </conditionalFormatting>
  <conditionalFormatting sqref="B45">
    <cfRule type="expression" dxfId="1095" priority="8">
      <formula>AND($W$66=1,$X$66=1)</formula>
    </cfRule>
  </conditionalFormatting>
  <conditionalFormatting sqref="A44:U44">
    <cfRule type="expression" dxfId="1094" priority="7">
      <formula>$W$66=2</formula>
    </cfRule>
  </conditionalFormatting>
  <conditionalFormatting sqref="B45:S47">
    <cfRule type="expression" dxfId="1093" priority="6" stopIfTrue="1">
      <formula>$W$66=2</formula>
    </cfRule>
  </conditionalFormatting>
  <conditionalFormatting sqref="M10:O10 M11">
    <cfRule type="expression" dxfId="1092" priority="3">
      <formula>$M$10&lt;&gt;$K$12</formula>
    </cfRule>
  </conditionalFormatting>
  <conditionalFormatting sqref="Q10:S10 Q11">
    <cfRule type="expression" dxfId="1091" priority="2">
      <formula>$Q$10&lt;&gt;$K$12-1</formula>
    </cfRule>
  </conditionalFormatting>
  <conditionalFormatting sqref="U10:W10 U11">
    <cfRule type="expression" dxfId="1090" priority="1">
      <formula>$U$10&lt;&gt;$K$12-2</formula>
    </cfRule>
  </conditionalFormatting>
  <dataValidations disablePrompts="1" count="1">
    <dataValidation type="custom" allowBlank="1" showInputMessage="1" showErrorMessage="1" errorTitle="Incorrect Entry Type" error="A dollar amount should be entered in this field (ex. 25 or 25.50)" sqref="Q45:S45 Q47:S47 M16:O16 M18:O18 Q16:S16 Q18:S18 U16:W16 U18:W18" xr:uid="{C4BB6DCF-ECF5-4705-AFA9-B645A006F652}">
      <formula1>CELL("format")="C2"</formula1>
    </dataValidation>
  </dataValidations>
  <printOptions horizontalCentered="1"/>
  <pageMargins left="0.25" right="0.30092592592592599" top="0.25" bottom="0.25" header="0.3" footer="0.3"/>
  <pageSetup paperSize="5" scale="8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8065" r:id="rId4" name="Check Box 1">
              <controlPr defaultSize="0" autoFill="0" autoLine="0" autoPict="0">
                <anchor moveWithCells="1" sizeWithCells="1">
                  <from>
                    <xdr:col>12</xdr:col>
                    <xdr:colOff>99060</xdr:colOff>
                    <xdr:row>20</xdr:row>
                    <xdr:rowOff>45720</xdr:rowOff>
                  </from>
                  <to>
                    <xdr:col>14</xdr:col>
                    <xdr:colOff>38100</xdr:colOff>
                    <xdr:row>23</xdr:row>
                    <xdr:rowOff>53340</xdr:rowOff>
                  </to>
                </anchor>
              </controlPr>
            </control>
          </mc:Choice>
        </mc:AlternateContent>
        <mc:AlternateContent xmlns:mc="http://schemas.openxmlformats.org/markup-compatibility/2006">
          <mc:Choice Requires="x14">
            <control shapeId="728066" r:id="rId5" name="Check Box 2">
              <controlPr defaultSize="0" autoFill="0" autoLine="0" autoPict="0">
                <anchor moveWithCells="1" sizeWithCells="1">
                  <from>
                    <xdr:col>16</xdr:col>
                    <xdr:colOff>121920</xdr:colOff>
                    <xdr:row>20</xdr:row>
                    <xdr:rowOff>76200</xdr:rowOff>
                  </from>
                  <to>
                    <xdr:col>18</xdr:col>
                    <xdr:colOff>68580</xdr:colOff>
                    <xdr:row>23</xdr:row>
                    <xdr:rowOff>30480</xdr:rowOff>
                  </to>
                </anchor>
              </controlPr>
            </control>
          </mc:Choice>
        </mc:AlternateContent>
        <mc:AlternateContent xmlns:mc="http://schemas.openxmlformats.org/markup-compatibility/2006">
          <mc:Choice Requires="x14">
            <control shapeId="728067" r:id="rId6" name="Check Box 3">
              <controlPr defaultSize="0" autoFill="0" autoLine="0" autoPict="0">
                <anchor moveWithCells="1" sizeWithCells="1">
                  <from>
                    <xdr:col>20</xdr:col>
                    <xdr:colOff>114300</xdr:colOff>
                    <xdr:row>20</xdr:row>
                    <xdr:rowOff>38100</xdr:rowOff>
                  </from>
                  <to>
                    <xdr:col>22</xdr:col>
                    <xdr:colOff>518160</xdr:colOff>
                    <xdr:row>23</xdr:row>
                    <xdr:rowOff>53340</xdr:rowOff>
                  </to>
                </anchor>
              </controlPr>
            </control>
          </mc:Choice>
        </mc:AlternateContent>
        <mc:AlternateContent xmlns:mc="http://schemas.openxmlformats.org/markup-compatibility/2006">
          <mc:Choice Requires="x14">
            <control shapeId="728072" r:id="rId7" name="Check Box 8">
              <controlPr defaultSize="0" autoFill="0" autoLine="0" autoPict="0">
                <anchor moveWithCells="1">
                  <from>
                    <xdr:col>18</xdr:col>
                    <xdr:colOff>7620</xdr:colOff>
                    <xdr:row>49</xdr:row>
                    <xdr:rowOff>91440</xdr:rowOff>
                  </from>
                  <to>
                    <xdr:col>21</xdr:col>
                    <xdr:colOff>45720</xdr:colOff>
                    <xdr:row>50</xdr:row>
                    <xdr:rowOff>106680</xdr:rowOff>
                  </to>
                </anchor>
              </controlPr>
            </control>
          </mc:Choice>
        </mc:AlternateContent>
        <mc:AlternateContent xmlns:mc="http://schemas.openxmlformats.org/markup-compatibility/2006">
          <mc:Choice Requires="x14">
            <control shapeId="728074" r:id="rId8" name="Option Button 10">
              <controlPr defaultSize="0" autoFill="0" autoLine="0" autoPict="0">
                <anchor moveWithCells="1">
                  <from>
                    <xdr:col>16</xdr:col>
                    <xdr:colOff>480060</xdr:colOff>
                    <xdr:row>41</xdr:row>
                    <xdr:rowOff>274320</xdr:rowOff>
                  </from>
                  <to>
                    <xdr:col>18</xdr:col>
                    <xdr:colOff>541020</xdr:colOff>
                    <xdr:row>42</xdr:row>
                    <xdr:rowOff>243840</xdr:rowOff>
                  </to>
                </anchor>
              </controlPr>
            </control>
          </mc:Choice>
        </mc:AlternateContent>
        <mc:AlternateContent xmlns:mc="http://schemas.openxmlformats.org/markup-compatibility/2006">
          <mc:Choice Requires="x14">
            <control shapeId="728075" r:id="rId9" name="Option Button 11">
              <controlPr defaultSize="0" autoFill="0" autoLine="0" autoPict="0">
                <anchor moveWithCells="1">
                  <from>
                    <xdr:col>19</xdr:col>
                    <xdr:colOff>68580</xdr:colOff>
                    <xdr:row>41</xdr:row>
                    <xdr:rowOff>274320</xdr:rowOff>
                  </from>
                  <to>
                    <xdr:col>22</xdr:col>
                    <xdr:colOff>7620</xdr:colOff>
                    <xdr:row>42</xdr:row>
                    <xdr:rowOff>251460</xdr:rowOff>
                  </to>
                </anchor>
              </controlPr>
            </control>
          </mc:Choice>
        </mc:AlternateContent>
        <mc:AlternateContent xmlns:mc="http://schemas.openxmlformats.org/markup-compatibility/2006">
          <mc:Choice Requires="x14">
            <control shapeId="728076" r:id="rId10" name="Option Button 12">
              <controlPr defaultSize="0" autoFill="0" autoLine="0" autoPict="0">
                <anchor moveWithCells="1">
                  <from>
                    <xdr:col>16</xdr:col>
                    <xdr:colOff>480060</xdr:colOff>
                    <xdr:row>42</xdr:row>
                    <xdr:rowOff>434340</xdr:rowOff>
                  </from>
                  <to>
                    <xdr:col>19</xdr:col>
                    <xdr:colOff>0</xdr:colOff>
                    <xdr:row>43</xdr:row>
                    <xdr:rowOff>213360</xdr:rowOff>
                  </to>
                </anchor>
              </controlPr>
            </control>
          </mc:Choice>
        </mc:AlternateContent>
        <mc:AlternateContent xmlns:mc="http://schemas.openxmlformats.org/markup-compatibility/2006">
          <mc:Choice Requires="x14">
            <control shapeId="728077" r:id="rId11" name="Option Button 13">
              <controlPr defaultSize="0" autoFill="0" autoLine="0" autoPict="0">
                <anchor moveWithCells="1">
                  <from>
                    <xdr:col>19</xdr:col>
                    <xdr:colOff>68580</xdr:colOff>
                    <xdr:row>42</xdr:row>
                    <xdr:rowOff>426720</xdr:rowOff>
                  </from>
                  <to>
                    <xdr:col>22</xdr:col>
                    <xdr:colOff>15240</xdr:colOff>
                    <xdr:row>43</xdr:row>
                    <xdr:rowOff>213360</xdr:rowOff>
                  </to>
                </anchor>
              </controlPr>
            </control>
          </mc:Choice>
        </mc:AlternateContent>
        <mc:AlternateContent xmlns:mc="http://schemas.openxmlformats.org/markup-compatibility/2006">
          <mc:Choice Requires="x14">
            <control shapeId="728080" r:id="rId12" name="Group Box 16">
              <controlPr defaultSize="0" autoFill="0" autoPict="0">
                <anchor moveWithCells="1">
                  <from>
                    <xdr:col>16</xdr:col>
                    <xdr:colOff>297180</xdr:colOff>
                    <xdr:row>41</xdr:row>
                    <xdr:rowOff>144780</xdr:rowOff>
                  </from>
                  <to>
                    <xdr:col>22</xdr:col>
                    <xdr:colOff>175260</xdr:colOff>
                    <xdr:row>42</xdr:row>
                    <xdr:rowOff>281940</xdr:rowOff>
                  </to>
                </anchor>
              </controlPr>
            </control>
          </mc:Choice>
        </mc:AlternateContent>
        <mc:AlternateContent xmlns:mc="http://schemas.openxmlformats.org/markup-compatibility/2006">
          <mc:Choice Requires="x14">
            <control shapeId="728081" r:id="rId13" name="Group Box 17">
              <controlPr defaultSize="0" autoFill="0" autoPict="0">
                <anchor moveWithCells="1">
                  <from>
                    <xdr:col>16</xdr:col>
                    <xdr:colOff>297180</xdr:colOff>
                    <xdr:row>42</xdr:row>
                    <xdr:rowOff>335280</xdr:rowOff>
                  </from>
                  <to>
                    <xdr:col>22</xdr:col>
                    <xdr:colOff>175260</xdr:colOff>
                    <xdr:row>43</xdr:row>
                    <xdr:rowOff>251460</xdr:rowOff>
                  </to>
                </anchor>
              </controlPr>
            </control>
          </mc:Choice>
        </mc:AlternateContent>
        <mc:AlternateContent xmlns:mc="http://schemas.openxmlformats.org/markup-compatibility/2006">
          <mc:Choice Requires="x14">
            <control shapeId="728082" r:id="rId14" name="Button 18">
              <controlPr defaultSize="0" print="0" autoFill="0" autoPict="0" macro="[0]!IW_Copy">
                <anchor moveWithCells="1" sizeWithCells="1">
                  <from>
                    <xdr:col>1</xdr:col>
                    <xdr:colOff>312420</xdr:colOff>
                    <xdr:row>0</xdr:row>
                    <xdr:rowOff>7620</xdr:rowOff>
                  </from>
                  <to>
                    <xdr:col>4</xdr:col>
                    <xdr:colOff>45720</xdr:colOff>
                    <xdr:row>1</xdr:row>
                    <xdr:rowOff>114300</xdr:rowOff>
                  </to>
                </anchor>
              </controlPr>
            </control>
          </mc:Choice>
        </mc:AlternateContent>
        <mc:AlternateContent xmlns:mc="http://schemas.openxmlformats.org/markup-compatibility/2006">
          <mc:Choice Requires="x14">
            <control shapeId="728083" r:id="rId15" name="Button 19">
              <controlPr defaultSize="0" print="0" autoFill="0" autoPict="0" macro="[0]!IW_Home">
                <anchor moveWithCells="1" sizeWithCells="1">
                  <from>
                    <xdr:col>0</xdr:col>
                    <xdr:colOff>0</xdr:colOff>
                    <xdr:row>0</xdr:row>
                    <xdr:rowOff>7620</xdr:rowOff>
                  </from>
                  <to>
                    <xdr:col>1</xdr:col>
                    <xdr:colOff>259080</xdr:colOff>
                    <xdr:row>1</xdr:row>
                    <xdr:rowOff>114300</xdr:rowOff>
                  </to>
                </anchor>
              </controlPr>
            </control>
          </mc:Choice>
        </mc:AlternateContent>
        <mc:AlternateContent xmlns:mc="http://schemas.openxmlformats.org/markup-compatibility/2006">
          <mc:Choice Requires="x14">
            <control shapeId="728084" r:id="rId16" name="Button 20">
              <controlPr defaultSize="0" print="0" autoFill="0" autoPict="0" macro="[0]!IntDiv_Clear">
                <anchor moveWithCells="1" sizeWithCells="1">
                  <from>
                    <xdr:col>4</xdr:col>
                    <xdr:colOff>106680</xdr:colOff>
                    <xdr:row>0</xdr:row>
                    <xdr:rowOff>7620</xdr:rowOff>
                  </from>
                  <to>
                    <xdr:col>4</xdr:col>
                    <xdr:colOff>541020</xdr:colOff>
                    <xdr:row>1</xdr:row>
                    <xdr:rowOff>114300</xdr:rowOff>
                  </to>
                </anchor>
              </controlPr>
            </control>
          </mc:Choice>
        </mc:AlternateContent>
        <mc:AlternateContent xmlns:mc="http://schemas.openxmlformats.org/markup-compatibility/2006">
          <mc:Choice Requires="x14">
            <control shapeId="728085" r:id="rId17" name="Button 21">
              <controlPr defaultSize="0" print="0" autoFill="0" autoPict="0" macro="[0]!IntDiv_OmitHide">
                <anchor moveWithCells="1" sizeWithCells="1">
                  <from>
                    <xdr:col>0</xdr:col>
                    <xdr:colOff>7620</xdr:colOff>
                    <xdr:row>1</xdr:row>
                    <xdr:rowOff>167640</xdr:rowOff>
                  </from>
                  <to>
                    <xdr:col>3</xdr:col>
                    <xdr:colOff>0</xdr:colOff>
                    <xdr:row>2</xdr:row>
                    <xdr:rowOff>7620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5B0A4-5570-4D34-935E-F3663CC460CB}">
  <sheetPr codeName="Sheet41">
    <tabColor rgb="FFFFDDAB"/>
    <pageSetUpPr fitToPage="1"/>
  </sheetPr>
  <dimension ref="A1:Z75"/>
  <sheetViews>
    <sheetView showGridLines="0" showRowColHeaders="0" showRuler="0" view="pageLayout" zoomScale="90" zoomScaleNormal="100" zoomScalePageLayoutView="90" workbookViewId="0">
      <selection activeCell="E7" sqref="E7:H7"/>
    </sheetView>
  </sheetViews>
  <sheetFormatPr defaultColWidth="9.109375" defaultRowHeight="14.4" x14ac:dyDescent="0.3"/>
  <cols>
    <col min="1" max="2" width="2.109375" customWidth="1"/>
    <col min="3" max="3" width="7" customWidth="1"/>
    <col min="4" max="4" width="4.44140625" customWidth="1"/>
    <col min="5" max="5" width="5.21875" customWidth="1"/>
    <col min="6" max="6" width="12.33203125" customWidth="1"/>
    <col min="7" max="7" width="13.44140625" customWidth="1"/>
    <col min="8" max="8" width="11" customWidth="1"/>
    <col min="9" max="9" width="8.21875" customWidth="1"/>
    <col min="10" max="10" width="3.44140625" customWidth="1"/>
    <col min="11" max="11" width="12.77734375" customWidth="1"/>
    <col min="12" max="12" width="3.77734375" customWidth="1"/>
    <col min="13" max="13" width="3.6640625" customWidth="1"/>
    <col min="14" max="14" width="11.77734375" customWidth="1"/>
    <col min="15" max="15" width="7.77734375" customWidth="1"/>
    <col min="16" max="16" width="6.77734375" customWidth="1"/>
    <col min="17" max="17" width="10.109375" hidden="1" customWidth="1"/>
    <col min="18" max="18" width="2.5546875" hidden="1" customWidth="1"/>
    <col min="19" max="19" width="11.33203125" hidden="1" customWidth="1"/>
    <col min="20" max="20" width="2.33203125" hidden="1" customWidth="1"/>
    <col min="21" max="21" width="2.5546875" style="417" hidden="1" customWidth="1"/>
    <col min="22" max="22" width="9.5546875" hidden="1" customWidth="1"/>
    <col min="23" max="23" width="6.33203125" style="417" hidden="1" customWidth="1"/>
    <col min="24" max="24" width="2.21875" hidden="1" customWidth="1"/>
    <col min="25" max="25" width="1.5546875" hidden="1" customWidth="1"/>
  </cols>
  <sheetData>
    <row r="1" spans="1:26" x14ac:dyDescent="0.3">
      <c r="F1" s="1801" t="str">
        <f>IF(OR('I&amp;D Worksheet'!J8="VA",'I&amp;D Worksheet'!J8="USDA"),CONCATENATE("This worksheet is not applicable for the selected Loan Type (",'I&amp;D Worksheet'!J8,")"),"")</f>
        <v/>
      </c>
      <c r="G1" s="1801"/>
      <c r="H1" s="1801"/>
      <c r="I1" s="1801"/>
      <c r="J1" s="1801"/>
      <c r="K1" s="1801"/>
      <c r="L1" s="1801"/>
      <c r="M1" s="1801"/>
      <c r="O1" s="1086">
        <f>'I&amp;D Worksheet'!J8</f>
        <v>0</v>
      </c>
      <c r="P1" s="36">
        <f>IF(OR(O1="Conventional"),1,IF(O1="FHA",2,IF(OR(O1="VA",O1="USDA"),3,0)))</f>
        <v>0</v>
      </c>
    </row>
    <row r="2" spans="1:26" ht="36.75" customHeight="1" x14ac:dyDescent="0.5">
      <c r="A2" s="1321" t="s">
        <v>1104</v>
      </c>
      <c r="B2" s="1321"/>
      <c r="C2" s="1321"/>
      <c r="D2" s="1321"/>
      <c r="E2" s="1321"/>
      <c r="F2" s="1321"/>
      <c r="G2" s="1321"/>
      <c r="H2" s="1321"/>
      <c r="I2" s="1321"/>
      <c r="J2" s="1321"/>
      <c r="K2" s="1321"/>
      <c r="L2" s="1321"/>
      <c r="M2" s="1321"/>
      <c r="N2" s="1321"/>
      <c r="O2" s="1321"/>
      <c r="P2" s="1321"/>
    </row>
    <row r="3" spans="1:26" ht="3.6" customHeight="1" x14ac:dyDescent="0.3">
      <c r="A3" s="1322" t="s">
        <v>1106</v>
      </c>
      <c r="B3" s="1322"/>
      <c r="C3" s="1322"/>
      <c r="D3" s="1322"/>
      <c r="E3" s="1322"/>
      <c r="F3" s="1322"/>
      <c r="G3" s="1322"/>
      <c r="H3" s="1322"/>
      <c r="I3" s="1322"/>
      <c r="J3" s="1322"/>
      <c r="K3" s="1322"/>
      <c r="L3" s="1322"/>
      <c r="M3" s="1322"/>
      <c r="N3" s="1322"/>
      <c r="O3" s="1322"/>
      <c r="P3" s="1322"/>
    </row>
    <row r="4" spans="1:26" x14ac:dyDescent="0.3">
      <c r="A4" s="1322"/>
      <c r="B4" s="1322"/>
      <c r="C4" s="1322"/>
      <c r="D4" s="1322"/>
      <c r="E4" s="1322"/>
      <c r="F4" s="1322"/>
      <c r="G4" s="1322"/>
      <c r="H4" s="1322"/>
      <c r="I4" s="1322"/>
      <c r="J4" s="1322"/>
      <c r="K4" s="1322"/>
      <c r="L4" s="1322"/>
      <c r="M4" s="1322"/>
      <c r="N4" s="1322"/>
      <c r="O4" s="1322"/>
      <c r="P4" s="1322"/>
    </row>
    <row r="5" spans="1:26" ht="21" customHeight="1" x14ac:dyDescent="0.3">
      <c r="A5" s="556"/>
    </row>
    <row r="6" spans="1:26" ht="30" customHeight="1" x14ac:dyDescent="0.3">
      <c r="A6" s="625" t="s">
        <v>1111</v>
      </c>
      <c r="K6" s="503"/>
      <c r="L6" s="503"/>
      <c r="M6" s="503"/>
      <c r="N6" s="503"/>
      <c r="O6" s="1085"/>
    </row>
    <row r="7" spans="1:26" ht="15.75" customHeight="1" x14ac:dyDescent="0.3">
      <c r="A7" s="625" t="s">
        <v>1110</v>
      </c>
      <c r="B7" s="8"/>
      <c r="C7" s="1812" t="s">
        <v>37</v>
      </c>
      <c r="D7" s="1812"/>
      <c r="E7" s="1359"/>
      <c r="F7" s="1359"/>
      <c r="G7" s="1359"/>
      <c r="H7" s="1359"/>
      <c r="I7" s="781"/>
      <c r="J7" s="92"/>
      <c r="K7" s="503"/>
      <c r="L7" s="503"/>
      <c r="M7" s="503"/>
      <c r="N7" s="503"/>
      <c r="O7" s="503"/>
    </row>
    <row r="8" spans="1:26" ht="9.6" customHeight="1" x14ac:dyDescent="0.3">
      <c r="A8" s="625" t="s">
        <v>1113</v>
      </c>
      <c r="I8" s="1813" t="str">
        <f>IF(AND(thirtypercentone&gt;1,thirtypercentone&lt;6,P1&lt;&gt;1,P1&lt;&gt;0),"Loan type selected does not match loan type indicated on I&amp;D worksheet",
IF(AND(thirtypercentone&gt;=6,P1&lt;&gt;2,P1&lt;&gt;0),"Loan type selected does not match loan type indicated on I&amp;D worksheet",
IF(AND(F1&lt;&gt;"",thirtypercentone&gt;1),"Income source not eligible for Loan Type indicated on I&amp;D Worksheet","Note:  (Refer to Guidelines)
-If the borrower can document a full 2 year history of providing foster-care
  services, the full amount may be added an 'Other Income' wkst.
-For 12-24 month foster-care history, please use this wkst.")))</f>
        <v>Note:  (Refer to Guidelines)
-If the borrower can document a full 2 year history of providing foster-care
  services, the full amount may be added an 'Other Income' wkst.
-For 12-24 month foster-care history, please use this wkst.</v>
      </c>
      <c r="J8" s="1814"/>
      <c r="K8" s="1814"/>
      <c r="L8" s="1814"/>
      <c r="M8" s="1814"/>
      <c r="N8" s="1814"/>
      <c r="O8" s="1814"/>
      <c r="P8" s="1814"/>
    </row>
    <row r="9" spans="1:26" ht="15" customHeight="1" x14ac:dyDescent="0.3">
      <c r="A9" s="625" t="s">
        <v>1112</v>
      </c>
      <c r="B9" s="8"/>
      <c r="C9" s="1812" t="s">
        <v>1103</v>
      </c>
      <c r="D9" s="1812"/>
      <c r="E9" s="1812"/>
      <c r="F9" s="807"/>
      <c r="G9" s="807"/>
      <c r="H9" s="807"/>
      <c r="I9" s="1814"/>
      <c r="J9" s="1814"/>
      <c r="K9" s="1814"/>
      <c r="L9" s="1814"/>
      <c r="M9" s="1814"/>
      <c r="N9" s="1814"/>
      <c r="O9" s="1814"/>
      <c r="P9" s="1814"/>
    </row>
    <row r="10" spans="1:26" ht="24" customHeight="1" x14ac:dyDescent="0.3">
      <c r="A10" s="625" t="s">
        <v>1293</v>
      </c>
      <c r="G10" s="1095" t="str">
        <f>IF(OR(P53=1,P53=0,P53=""),"Source",IF(P53=2,A6,IF(P53=3,A7,IF(P53=4,A8,IF(P53=5,A9,IF(P53=6,A10,IF(P53=7,A11,"Source")))))))</f>
        <v>Source</v>
      </c>
      <c r="I10" s="1814"/>
      <c r="J10" s="1814"/>
      <c r="K10" s="1814"/>
      <c r="L10" s="1814"/>
      <c r="M10" s="1814"/>
      <c r="N10" s="1814"/>
      <c r="O10" s="1814"/>
      <c r="P10" s="1814"/>
    </row>
    <row r="11" spans="1:26" ht="7.2" customHeight="1" x14ac:dyDescent="0.35">
      <c r="A11" s="815" t="s">
        <v>1409</v>
      </c>
      <c r="B11" s="75"/>
      <c r="C11" s="75"/>
      <c r="D11" s="75"/>
      <c r="E11" s="75"/>
      <c r="F11" s="75"/>
      <c r="G11" s="75"/>
      <c r="H11" s="75"/>
      <c r="I11" s="75"/>
      <c r="J11" s="241"/>
      <c r="K11" s="557"/>
      <c r="L11" s="557"/>
      <c r="M11" s="557"/>
      <c r="N11" s="557"/>
      <c r="O11" s="557"/>
      <c r="P11" s="557"/>
    </row>
    <row r="12" spans="1:26" ht="40.799999999999997" customHeight="1" x14ac:dyDescent="0.3">
      <c r="A12" s="1810" t="s">
        <v>1117</v>
      </c>
      <c r="B12" s="1811"/>
      <c r="C12" s="1811"/>
      <c r="D12" s="1811"/>
      <c r="E12" s="1811"/>
      <c r="F12" s="1811"/>
      <c r="G12" s="1811"/>
      <c r="H12" s="1811"/>
      <c r="I12" s="1811"/>
      <c r="J12" s="1811"/>
      <c r="K12" s="1811"/>
      <c r="L12" s="1811"/>
      <c r="M12" s="1811"/>
      <c r="N12" s="1811"/>
      <c r="O12" s="1811"/>
      <c r="P12" s="1811"/>
    </row>
    <row r="13" spans="1:26" ht="14.4" customHeight="1" x14ac:dyDescent="0.3">
      <c r="O13" s="1824">
        <f ca="1">L14*1.428571</f>
        <v>0</v>
      </c>
      <c r="P13" s="1824"/>
      <c r="Q13" s="808">
        <f ca="1">L14</f>
        <v>0</v>
      </c>
      <c r="R13" s="827"/>
      <c r="S13" s="826" t="s">
        <v>1114</v>
      </c>
      <c r="T13" s="808" t="s">
        <v>179</v>
      </c>
      <c r="U13" s="1815">
        <f ca="1">Q13*1.428571</f>
        <v>0</v>
      </c>
      <c r="V13" s="1815"/>
      <c r="W13" s="816" t="s">
        <v>1107</v>
      </c>
      <c r="X13" s="817" t="s">
        <v>179</v>
      </c>
      <c r="Y13" s="808">
        <f ca="1">U13*0.3</f>
        <v>0</v>
      </c>
      <c r="Z13" s="808"/>
    </row>
    <row r="14" spans="1:26" ht="15.6" customHeight="1" x14ac:dyDescent="0.3">
      <c r="B14" s="531" t="s">
        <v>142</v>
      </c>
      <c r="C14" s="1826" t="s">
        <v>1108</v>
      </c>
      <c r="D14" s="1791"/>
      <c r="E14" s="1791"/>
      <c r="F14" s="1791"/>
      <c r="G14" s="1791"/>
      <c r="H14" s="1791"/>
      <c r="I14" s="1791"/>
      <c r="J14" s="1791"/>
      <c r="K14" s="1791"/>
      <c r="L14" s="1827">
        <f ca="1">'I&amp;D Worksheet'!F15</f>
        <v>0</v>
      </c>
      <c r="M14" s="1827"/>
      <c r="N14" s="1827"/>
      <c r="O14" s="1825">
        <f ca="1">ROUNDDOWN(L14*1.428571,2)</f>
        <v>0</v>
      </c>
      <c r="P14" s="1825"/>
      <c r="Q14" s="822"/>
      <c r="R14" s="822"/>
      <c r="S14" s="822"/>
      <c r="T14" s="822"/>
      <c r="U14" s="823" t="s">
        <v>240</v>
      </c>
      <c r="V14" s="824">
        <f ca="1">Q13</f>
        <v>0</v>
      </c>
      <c r="W14" s="816"/>
      <c r="X14" s="808"/>
      <c r="Y14" s="808"/>
      <c r="Z14" s="808"/>
    </row>
    <row r="15" spans="1:26" ht="44.4" customHeight="1" x14ac:dyDescent="0.3">
      <c r="C15" s="1828" t="s">
        <v>1118</v>
      </c>
      <c r="D15" s="1828"/>
      <c r="E15" s="1828"/>
      <c r="F15" s="1828"/>
      <c r="G15" s="1828"/>
      <c r="H15" s="1828"/>
      <c r="I15" s="1828"/>
      <c r="J15" s="1828"/>
      <c r="K15" s="1828"/>
      <c r="M15" s="809"/>
      <c r="N15" s="809"/>
      <c r="O15" s="1824">
        <f ca="1">ROUND(O14-L14,2)</f>
        <v>0</v>
      </c>
      <c r="P15" s="1824"/>
      <c r="Q15" s="828" t="s">
        <v>1115</v>
      </c>
      <c r="R15" s="822"/>
      <c r="S15" s="808"/>
      <c r="T15" s="808"/>
      <c r="U15" s="821"/>
      <c r="V15" s="808">
        <f ca="1">U13-V14</f>
        <v>0</v>
      </c>
      <c r="W15" s="816"/>
      <c r="X15" s="808"/>
      <c r="Y15" s="808"/>
      <c r="Z15" s="808"/>
    </row>
    <row r="16" spans="1:26" ht="15.6" customHeight="1" x14ac:dyDescent="0.3">
      <c r="B16" s="531" t="s">
        <v>143</v>
      </c>
      <c r="C16" s="1791" t="str">
        <f>CONCATENATE("Enter the total monthly amount of ","'",G10,"'"," income earned:")</f>
        <v>Enter the total monthly amount of 'Source' income earned:</v>
      </c>
      <c r="D16" s="1791"/>
      <c r="E16" s="1791"/>
      <c r="F16" s="1791"/>
      <c r="G16" s="1791"/>
      <c r="H16" s="1791"/>
      <c r="I16" s="1791"/>
      <c r="J16" s="1791"/>
      <c r="K16" s="1791"/>
      <c r="L16" s="1829"/>
      <c r="M16" s="1829"/>
      <c r="N16" s="1829"/>
      <c r="O16" s="544"/>
      <c r="P16" s="544"/>
      <c r="Q16" s="808">
        <f ca="1">L14</f>
        <v>0</v>
      </c>
      <c r="R16" s="808"/>
      <c r="S16" s="1818" t="s">
        <v>1116</v>
      </c>
      <c r="T16" s="808" t="s">
        <v>179</v>
      </c>
      <c r="U16" s="1815">
        <f ca="1">ROUNDDOWN(Q16*1.428571,2)</f>
        <v>0</v>
      </c>
      <c r="V16" s="1815"/>
      <c r="W16" s="816" t="s">
        <v>1107</v>
      </c>
      <c r="X16" s="817" t="s">
        <v>179</v>
      </c>
      <c r="Y16" s="808">
        <f ca="1">U16*0.3</f>
        <v>0</v>
      </c>
      <c r="Z16" s="808"/>
    </row>
    <row r="17" spans="2:26" ht="24.6" customHeight="1" x14ac:dyDescent="0.3">
      <c r="B17" s="531"/>
      <c r="C17" s="1830" t="str">
        <f>IF(OR(thirtypercentone=2,thirtypercentone=6),"(Complete the 'Primary with Rental Income' wkst for ADU's and enter the calculated total here.)",
IF(OR(thirtypercentone=7),"(Enter the lesser of the 12-month average or the current rent. When documented for at least nine of the 
last 12 months, average the Rental Income received over a 12-month period.)",""))</f>
        <v/>
      </c>
      <c r="D17" s="1830"/>
      <c r="E17" s="1830"/>
      <c r="F17" s="1830"/>
      <c r="G17" s="1830"/>
      <c r="H17" s="1830"/>
      <c r="I17" s="1830"/>
      <c r="J17" s="1830"/>
      <c r="K17" s="1830"/>
      <c r="L17" s="830"/>
      <c r="M17" s="830"/>
      <c r="N17" s="830"/>
      <c r="Q17" s="822"/>
      <c r="R17" s="822"/>
      <c r="S17" s="1819"/>
      <c r="T17" s="808"/>
      <c r="U17" s="823" t="s">
        <v>240</v>
      </c>
      <c r="V17" s="824">
        <f ca="1">Q16</f>
        <v>0</v>
      </c>
      <c r="W17" s="816"/>
      <c r="X17" s="808"/>
      <c r="Y17" s="808"/>
      <c r="Z17" s="808"/>
    </row>
    <row r="18" spans="2:26" ht="36.6" customHeight="1" x14ac:dyDescent="0.3">
      <c r="C18" s="1616" t="str">
        <f ca="1">IF(AND(L16&lt;&gt;"",G10="Source"),"Income Source selection missing above",IF(AND(L16&lt;&gt;"",L14=0),"Total qualifying income from the rest of the workbook is missing",IF(AND(G10&lt;&gt;"Source",L14&gt;0,L16&lt;&gt;"",L16&gt;0,L16&lt;=O15),"Does not exceed 30% of combined total limit (Total Gross Income), may be added to qualifying income.
(Must meet all other program quidelines and requirements for this income type.)",IF(AND(L14&gt;0,L16&gt;0,L16&gt;O15),CONCATENATE("Exceeds 30% of combined total limit (Total Gross Income); Qualifying amount added reduced to $",O15,".","
(Must meet all other program quidelines and requirements for this income type.)"),""))))</f>
        <v/>
      </c>
      <c r="D18" s="1616"/>
      <c r="E18" s="1616"/>
      <c r="F18" s="1616"/>
      <c r="G18" s="1616"/>
      <c r="H18" s="1616"/>
      <c r="I18" s="1616"/>
      <c r="J18" s="1616"/>
      <c r="K18" s="1616"/>
      <c r="L18" s="1616"/>
      <c r="M18" s="1616"/>
      <c r="N18" s="1616"/>
      <c r="O18" s="1616"/>
      <c r="Q18" s="822"/>
      <c r="R18" s="822"/>
      <c r="S18" s="822"/>
      <c r="T18" s="822"/>
      <c r="U18" s="821"/>
      <c r="V18" s="808">
        <f ca="1">U16-V17</f>
        <v>0</v>
      </c>
      <c r="W18" s="816"/>
      <c r="X18" s="808"/>
      <c r="Y18" s="808"/>
      <c r="Z18" s="808"/>
    </row>
    <row r="19" spans="2:26" ht="4.8" customHeight="1" x14ac:dyDescent="0.3">
      <c r="C19" s="814"/>
      <c r="D19" s="814"/>
      <c r="E19" s="814"/>
      <c r="F19" s="814"/>
      <c r="G19" s="814"/>
      <c r="H19" s="814"/>
      <c r="I19" s="814"/>
      <c r="J19" s="814"/>
      <c r="K19" s="814"/>
      <c r="L19" s="814"/>
      <c r="M19" s="814"/>
      <c r="N19" s="814"/>
      <c r="O19" s="814"/>
      <c r="Q19" s="818"/>
      <c r="R19" s="818"/>
      <c r="S19" s="818"/>
      <c r="T19" s="818"/>
      <c r="U19" s="820"/>
      <c r="V19" s="808"/>
      <c r="W19" s="819"/>
      <c r="X19" s="808"/>
      <c r="Y19" s="808"/>
      <c r="Z19" s="808"/>
    </row>
    <row r="20" spans="2:26" ht="10.8" customHeight="1" x14ac:dyDescent="0.3">
      <c r="B20" s="1802" t="s">
        <v>145</v>
      </c>
      <c r="C20" s="1809" t="str">
        <f>CONCATENATE("Total ","'",G10,"'"," income added to qualifying income:")</f>
        <v>Total 'Source' income added to qualifying income:</v>
      </c>
      <c r="D20" s="1809"/>
      <c r="E20" s="1809"/>
      <c r="F20" s="1809"/>
      <c r="G20" s="1809"/>
      <c r="H20" s="1809"/>
      <c r="I20" s="1809"/>
      <c r="J20" s="1809"/>
      <c r="K20" s="1809"/>
      <c r="L20" s="1803">
        <f>IF(G10="Source",0,IF(AND(ISNUMBER(L16),L16&gt;0,L14&gt;0,L16&lt;=O15,G10&lt;&gt;"Source"),L16,
IF(AND(ISNUMBER(L16),L16&gt;0,L14&gt;0,L16&gt;O15),O15,0)))</f>
        <v>0</v>
      </c>
      <c r="M20" s="1803"/>
      <c r="N20" s="1803"/>
      <c r="O20" s="812">
        <f>IF(OR(P54=TRUE,F1&lt;&gt;""),0,IF(I8="Loan type selected does not match loan type indicated on I&amp;D worksheet",0,L20))</f>
        <v>0</v>
      </c>
      <c r="P20" s="812"/>
      <c r="Q20" s="818"/>
      <c r="R20" s="818"/>
      <c r="S20" s="818"/>
      <c r="T20" s="818"/>
      <c r="U20" s="820"/>
      <c r="V20" s="808"/>
      <c r="W20" s="819"/>
      <c r="X20" s="808"/>
      <c r="Y20" s="808"/>
      <c r="Z20" s="808"/>
    </row>
    <row r="21" spans="2:26" ht="11.4" customHeight="1" thickBot="1" x14ac:dyDescent="0.35">
      <c r="B21" s="1802"/>
      <c r="C21" s="1809"/>
      <c r="D21" s="1809"/>
      <c r="E21" s="1809"/>
      <c r="F21" s="1809"/>
      <c r="G21" s="1809"/>
      <c r="H21" s="1809"/>
      <c r="I21" s="1809"/>
      <c r="J21" s="1809"/>
      <c r="K21" s="1809"/>
      <c r="L21" s="1804"/>
      <c r="M21" s="1804"/>
      <c r="N21" s="1804"/>
      <c r="Q21" s="818"/>
      <c r="R21" s="818"/>
      <c r="S21" s="818"/>
      <c r="T21" s="818"/>
      <c r="U21" s="820"/>
      <c r="V21" s="818"/>
      <c r="W21" s="820"/>
      <c r="X21" s="818"/>
      <c r="Y21" s="818"/>
    </row>
    <row r="22" spans="2:26" ht="14.4" customHeight="1" thickTop="1" x14ac:dyDescent="0.3">
      <c r="C22" s="1831" t="str">
        <f>IF(OR(P53=2,P53=6),"ADU income flows to I&amp;D worksheet as 30% of income, rather than rental income on subject","")</f>
        <v/>
      </c>
      <c r="D22" s="1831"/>
      <c r="E22" s="1831"/>
      <c r="F22" s="1831"/>
      <c r="G22" s="1831"/>
      <c r="H22" s="1831"/>
      <c r="I22" s="1831"/>
      <c r="J22" s="1831"/>
      <c r="K22" s="1831"/>
      <c r="L22" s="534"/>
      <c r="M22" s="534"/>
      <c r="Q22" s="818"/>
      <c r="R22" s="818"/>
      <c r="S22" s="818"/>
      <c r="T22" s="818"/>
      <c r="U22" s="820"/>
      <c r="V22" s="818"/>
      <c r="W22" s="820"/>
      <c r="X22" s="818"/>
      <c r="Y22" s="818"/>
    </row>
    <row r="23" spans="2:26" ht="15.75" customHeight="1" x14ac:dyDescent="0.3">
      <c r="J23" s="534"/>
      <c r="K23" s="628"/>
      <c r="L23" s="628"/>
      <c r="M23" s="628"/>
      <c r="N23" s="628"/>
      <c r="O23" s="628"/>
      <c r="Q23" s="818"/>
      <c r="R23" s="818"/>
      <c r="S23" s="818"/>
      <c r="T23" s="818"/>
      <c r="U23" s="820"/>
      <c r="V23" s="818"/>
      <c r="W23" s="820"/>
      <c r="X23" s="818"/>
      <c r="Y23" s="818"/>
    </row>
    <row r="24" spans="2:26" ht="15.75" customHeight="1" thickBot="1" x14ac:dyDescent="0.35">
      <c r="J24" s="534"/>
      <c r="K24" s="628"/>
      <c r="L24" s="628"/>
      <c r="M24" s="628"/>
      <c r="N24" s="628"/>
      <c r="O24" s="628"/>
      <c r="Q24" s="818"/>
      <c r="R24" s="818"/>
      <c r="S24" s="818"/>
      <c r="T24" s="818"/>
      <c r="U24" s="820"/>
      <c r="V24" s="818"/>
      <c r="W24" s="820"/>
      <c r="X24" s="818"/>
      <c r="Y24" s="818"/>
    </row>
    <row r="25" spans="2:26" ht="9" customHeight="1" x14ac:dyDescent="0.3">
      <c r="D25" s="581"/>
      <c r="E25" s="581"/>
      <c r="G25" s="1805" t="s">
        <v>1109</v>
      </c>
      <c r="H25" s="1806"/>
      <c r="I25" s="1816" t="s">
        <v>179</v>
      </c>
      <c r="J25" s="1820">
        <f ca="1">L14+L20</f>
        <v>0</v>
      </c>
      <c r="K25" s="1820"/>
      <c r="L25" s="1821"/>
      <c r="M25" s="829"/>
      <c r="N25" s="628"/>
      <c r="O25" s="628"/>
    </row>
    <row r="26" spans="2:26" ht="24" customHeight="1" thickBot="1" x14ac:dyDescent="0.35">
      <c r="D26" s="20"/>
      <c r="E26" s="20"/>
      <c r="F26" s="825"/>
      <c r="G26" s="1807"/>
      <c r="H26" s="1808"/>
      <c r="I26" s="1817"/>
      <c r="J26" s="1822"/>
      <c r="K26" s="1822"/>
      <c r="L26" s="1823"/>
      <c r="M26" s="829"/>
      <c r="N26" s="20"/>
      <c r="O26" s="20"/>
    </row>
    <row r="27" spans="2:26" ht="13.8" customHeight="1" x14ac:dyDescent="0.3">
      <c r="D27" s="20"/>
      <c r="E27" s="20"/>
      <c r="F27" s="20"/>
      <c r="G27" s="20"/>
      <c r="H27" s="20"/>
      <c r="I27" s="20"/>
      <c r="J27" s="20"/>
      <c r="K27" s="20"/>
      <c r="L27" s="20"/>
      <c r="M27" s="20"/>
      <c r="N27" s="20"/>
      <c r="O27" s="20"/>
    </row>
    <row r="28" spans="2:26" ht="31.2" customHeight="1" x14ac:dyDescent="0.3">
      <c r="D28" s="1787" t="s">
        <v>1420</v>
      </c>
      <c r="E28" s="1788"/>
      <c r="F28" s="1788"/>
      <c r="G28" s="1788"/>
      <c r="H28" s="1788"/>
      <c r="I28" s="1788"/>
      <c r="J28" s="1788"/>
      <c r="K28" s="1788"/>
      <c r="L28" s="1788"/>
      <c r="M28" s="1788"/>
      <c r="N28" s="1789"/>
    </row>
    <row r="29" spans="2:26" ht="15.75" customHeight="1" x14ac:dyDescent="0.3">
      <c r="D29" s="1799" t="s">
        <v>1421</v>
      </c>
      <c r="E29" s="1800"/>
      <c r="F29" s="1800"/>
      <c r="G29" s="1800"/>
      <c r="H29" s="56"/>
      <c r="I29" s="56"/>
      <c r="J29" s="56"/>
      <c r="K29" s="56"/>
      <c r="L29" s="56"/>
      <c r="M29" s="56"/>
      <c r="N29" s="1097"/>
    </row>
    <row r="30" spans="2:26" ht="15.75" customHeight="1" x14ac:dyDescent="0.3">
      <c r="D30" s="1796" t="str">
        <f>IF(G10="FHLMC: ADU","- For FHLMC ADU's, the ADU portion of this income should be entered separately from other income",
IF(G10="FNMA: Foster 12-24 months","- FNMA Foster Income should be entered in MORE LOS as Foster Income under Other Income",
IF(G10="FNMA: Boarder","- FNMA Boarder income should be entered in MORE LOS as Boarder Income under Other Income",
IF(G10="FHLMC: Live-in Aide","- FHLMC Live-in Aide should be entered in MORE LOS as Boarder Income under Other Income",
IF(G10="FHA: ADU","- For FHA ADU's, the ADU portion of this income should be entered separately from other income",
IF(G10="FHA: Boarder","- FHA Boarder income should be entered in MORE LOS as Boarder Income under Other Income",
"- Income Source needed above"))))))</f>
        <v>- Income Source needed above</v>
      </c>
      <c r="E30" s="1797"/>
      <c r="F30" s="1797"/>
      <c r="G30" s="1797"/>
      <c r="H30" s="1797"/>
      <c r="I30" s="1797"/>
      <c r="J30" s="1797"/>
      <c r="K30" s="1797"/>
      <c r="L30" s="1797"/>
      <c r="M30" s="1797"/>
      <c r="N30" s="1798"/>
    </row>
    <row r="31" spans="2:26" ht="15.75" customHeight="1" x14ac:dyDescent="0.3">
      <c r="D31" s="1790" t="s">
        <v>214</v>
      </c>
      <c r="E31" s="1369"/>
      <c r="F31" s="1105">
        <f>O20</f>
        <v>0</v>
      </c>
      <c r="G31" s="1791" t="str">
        <f>IF(G10="FHLMC: ADU"," as 'Accessory unit income' under 'Other Income'.",
IF(G10="FNMA: Foster 12-24 months"," under Other Income as Foster Income",
IF(G10="FNMA: Boarder"," under Other Income as Boarder Income",
IF(G10="FHLMC: Live-in Aide"," under Other Income as Boarder Income.",
IF(G10="FHA: ADU"," as 'Accessory unit income' under 'Other Income'",
IF(G10="FHA: Boarder"," under Other Income as Boarder Income",""))))))</f>
        <v/>
      </c>
      <c r="H31" s="1791"/>
      <c r="I31" s="1791"/>
      <c r="J31" s="1791"/>
      <c r="K31" s="1791"/>
      <c r="L31" s="1791"/>
      <c r="M31" s="1791"/>
      <c r="N31" s="1792"/>
    </row>
    <row r="32" spans="2:26" ht="15.75" customHeight="1" x14ac:dyDescent="0.3">
      <c r="D32" s="1793"/>
      <c r="E32" s="1794"/>
      <c r="F32" s="1794"/>
      <c r="G32" s="1794"/>
      <c r="H32" s="1794"/>
      <c r="I32" s="1794"/>
      <c r="J32" s="1794"/>
      <c r="K32" s="1794"/>
      <c r="L32" s="1794"/>
      <c r="M32" s="1794"/>
      <c r="N32" s="1795"/>
    </row>
    <row r="33" spans="1:15" ht="6" customHeight="1" x14ac:dyDescent="0.3">
      <c r="D33" s="1093"/>
      <c r="E33" s="440"/>
      <c r="F33" s="440"/>
      <c r="G33" s="440"/>
      <c r="H33" s="440"/>
      <c r="I33" s="440"/>
      <c r="J33" s="440"/>
      <c r="K33" s="440"/>
      <c r="L33" s="440"/>
      <c r="M33" s="440"/>
      <c r="N33" s="1094"/>
    </row>
    <row r="34" spans="1:15" ht="15.75" customHeight="1" x14ac:dyDescent="0.3"/>
    <row r="35" spans="1:15" ht="12" customHeight="1" x14ac:dyDescent="0.3"/>
    <row r="36" spans="1:15" ht="15.75" customHeight="1" x14ac:dyDescent="0.3"/>
    <row r="37" spans="1:15" ht="15.75" customHeight="1" x14ac:dyDescent="0.3"/>
    <row r="38" spans="1:15" ht="16.5" customHeight="1" x14ac:dyDescent="0.3"/>
    <row r="39" spans="1:15" ht="15.6" customHeight="1" x14ac:dyDescent="0.3"/>
    <row r="40" spans="1:15" ht="16.2" customHeight="1" x14ac:dyDescent="0.3"/>
    <row r="41" spans="1:15" ht="129" customHeight="1" x14ac:dyDescent="0.3"/>
    <row r="42" spans="1:15" ht="13.8" customHeight="1" x14ac:dyDescent="0.3"/>
    <row r="43" spans="1:15" ht="15.75" customHeight="1" x14ac:dyDescent="0.3"/>
    <row r="44" spans="1:15" ht="18" customHeight="1" x14ac:dyDescent="0.3"/>
    <row r="46" spans="1:15" ht="7.5" customHeight="1" x14ac:dyDescent="0.3"/>
    <row r="47" spans="1:15" ht="10.5" customHeight="1" x14ac:dyDescent="0.3"/>
    <row r="48" spans="1:15" ht="14.4" customHeight="1" x14ac:dyDescent="0.3">
      <c r="A48" s="1475" t="s">
        <v>1074</v>
      </c>
      <c r="B48" s="1475"/>
      <c r="C48" s="1475"/>
      <c r="D48" s="1475"/>
      <c r="E48" s="1475"/>
      <c r="F48" s="1475"/>
      <c r="G48" s="1475"/>
      <c r="H48" s="19"/>
      <c r="I48" s="19"/>
      <c r="J48" s="19"/>
      <c r="K48" s="19"/>
      <c r="L48" s="19"/>
      <c r="M48" s="19"/>
      <c r="N48" s="19"/>
      <c r="O48" s="19"/>
    </row>
    <row r="49" spans="1:18" x14ac:dyDescent="0.3">
      <c r="A49" s="1325"/>
      <c r="B49" s="1325"/>
      <c r="C49" s="1325"/>
      <c r="D49" s="1325"/>
      <c r="E49" s="1325"/>
      <c r="F49" s="1325"/>
      <c r="G49" s="1325"/>
      <c r="H49" s="1325"/>
      <c r="I49" s="1325"/>
      <c r="J49" s="1325"/>
      <c r="K49" s="1325"/>
      <c r="L49" s="1325"/>
      <c r="M49" s="1325"/>
      <c r="N49" s="1325"/>
      <c r="O49" s="1325"/>
      <c r="P49" s="1325"/>
    </row>
    <row r="50" spans="1:18" x14ac:dyDescent="0.3">
      <c r="A50" s="1325"/>
      <c r="B50" s="1325"/>
      <c r="C50" s="1325"/>
      <c r="D50" s="1325"/>
      <c r="E50" s="1325"/>
      <c r="F50" s="1325"/>
      <c r="G50" s="1325"/>
      <c r="H50" s="1325"/>
      <c r="I50" s="1325"/>
      <c r="J50" s="1325"/>
      <c r="K50" s="1325"/>
      <c r="L50" s="1325"/>
      <c r="M50" s="1325"/>
      <c r="N50" s="1325"/>
      <c r="O50" s="1325"/>
      <c r="P50" s="1325"/>
    </row>
    <row r="51" spans="1:18" x14ac:dyDescent="0.3">
      <c r="A51" s="1325"/>
      <c r="B51" s="1325"/>
      <c r="C51" s="1325"/>
      <c r="D51" s="1325"/>
      <c r="E51" s="1325"/>
      <c r="F51" s="1325"/>
      <c r="G51" s="1325"/>
      <c r="H51" s="1325"/>
      <c r="I51" s="1325"/>
      <c r="J51" s="1325"/>
      <c r="K51" s="1325"/>
      <c r="L51" s="1325"/>
      <c r="M51" s="1325"/>
      <c r="N51" s="1325"/>
      <c r="O51" s="1325"/>
      <c r="P51" s="1325"/>
    </row>
    <row r="52" spans="1:18" x14ac:dyDescent="0.3">
      <c r="A52" s="1325"/>
      <c r="B52" s="1325"/>
      <c r="C52" s="1325"/>
      <c r="D52" s="1325"/>
      <c r="E52" s="1325"/>
      <c r="F52" s="1325"/>
      <c r="G52" s="1325"/>
      <c r="H52" s="1325"/>
      <c r="I52" s="1325"/>
      <c r="J52" s="1325"/>
      <c r="K52" s="1325"/>
      <c r="L52" s="1325"/>
      <c r="M52" s="1325"/>
      <c r="N52" s="1325"/>
      <c r="O52" s="1325"/>
      <c r="P52" s="1325"/>
    </row>
    <row r="53" spans="1:18" ht="9" hidden="1" customHeight="1" x14ac:dyDescent="0.3">
      <c r="A53" s="47"/>
      <c r="O53" s="625"/>
      <c r="P53" s="1069">
        <v>1</v>
      </c>
    </row>
    <row r="54" spans="1:18" hidden="1" x14ac:dyDescent="0.3">
      <c r="K54" s="1089" t="str">
        <f>IF(I8="Loan type selected does not match loan type indicated on I&amp;D worksheet","E","")</f>
        <v/>
      </c>
      <c r="O54" s="625"/>
      <c r="P54" s="1069" t="b">
        <v>0</v>
      </c>
    </row>
    <row r="55" spans="1:18" hidden="1" x14ac:dyDescent="0.3">
      <c r="O55" s="625"/>
      <c r="P55" s="625"/>
    </row>
    <row r="56" spans="1:18" ht="15.6" x14ac:dyDescent="0.3">
      <c r="A56" s="1482" t="str">
        <f ca="1">REPLACE(CELL("filename",A56),1,FIND("]",CELL("filename",A56)),"")</f>
        <v>30% of Income Calc.</v>
      </c>
      <c r="B56" s="1482"/>
      <c r="C56" s="1482"/>
      <c r="D56" s="1482"/>
      <c r="E56" s="1482"/>
      <c r="Q56" s="495"/>
      <c r="R56" s="495"/>
    </row>
    <row r="57" spans="1:18" ht="15" customHeight="1" x14ac:dyDescent="0.3"/>
    <row r="58" spans="1:18" ht="15" customHeight="1" x14ac:dyDescent="0.3"/>
    <row r="59" spans="1:18" x14ac:dyDescent="0.3">
      <c r="N59" s="1235" t="str">
        <f>Version</f>
        <v>Version 2026.1</v>
      </c>
      <c r="O59" s="1235"/>
      <c r="P59" s="1235"/>
    </row>
    <row r="60" spans="1:18" ht="64.2" customHeight="1" x14ac:dyDescent="0.3"/>
    <row r="62" spans="1:18" ht="9" customHeight="1" x14ac:dyDescent="0.3"/>
    <row r="65" ht="9.6" customHeight="1" x14ac:dyDescent="0.3"/>
    <row r="68" ht="9.6" customHeight="1" x14ac:dyDescent="0.3"/>
    <row r="72" ht="56.25" customHeight="1" x14ac:dyDescent="0.3"/>
    <row r="73" ht="15" customHeight="1" x14ac:dyDescent="0.3"/>
    <row r="74" ht="13.2" customHeight="1" x14ac:dyDescent="0.3"/>
    <row r="75" ht="13.8" customHeight="1" x14ac:dyDescent="0.3"/>
  </sheetData>
  <sheetProtection algorithmName="SHA-512" hashValue="UtrC117UguCKTIVwTsFdtECOUVB3FDkroXv1jO0cFzJIegF/PX7cbRCnRJyMdSusrRdu/ApRIoETZTFtEEJIlw==" saltValue="CLYU+1cCImtXaAQvQRbyMA==" spinCount="100000" sheet="1" objects="1" scenarios="1" selectLockedCells="1"/>
  <mergeCells count="38">
    <mergeCell ref="U13:V13"/>
    <mergeCell ref="U16:V16"/>
    <mergeCell ref="I25:I26"/>
    <mergeCell ref="S16:S17"/>
    <mergeCell ref="J25:L26"/>
    <mergeCell ref="O13:P13"/>
    <mergeCell ref="C18:O18"/>
    <mergeCell ref="O14:P14"/>
    <mergeCell ref="O15:P15"/>
    <mergeCell ref="C14:K14"/>
    <mergeCell ref="L14:N14"/>
    <mergeCell ref="C15:K15"/>
    <mergeCell ref="L16:N16"/>
    <mergeCell ref="C16:K16"/>
    <mergeCell ref="C17:K17"/>
    <mergeCell ref="C22:K22"/>
    <mergeCell ref="F1:M1"/>
    <mergeCell ref="A56:E56"/>
    <mergeCell ref="N59:P59"/>
    <mergeCell ref="A48:G48"/>
    <mergeCell ref="A49:P52"/>
    <mergeCell ref="B20:B21"/>
    <mergeCell ref="L20:N21"/>
    <mergeCell ref="G25:H26"/>
    <mergeCell ref="C20:K21"/>
    <mergeCell ref="A12:P12"/>
    <mergeCell ref="A2:P2"/>
    <mergeCell ref="A3:P4"/>
    <mergeCell ref="E7:H7"/>
    <mergeCell ref="C7:D7"/>
    <mergeCell ref="C9:E9"/>
    <mergeCell ref="I8:P10"/>
    <mergeCell ref="D28:N28"/>
    <mergeCell ref="D31:E31"/>
    <mergeCell ref="G31:N31"/>
    <mergeCell ref="D32:N32"/>
    <mergeCell ref="D30:N30"/>
    <mergeCell ref="D29:G29"/>
  </mergeCells>
  <conditionalFormatting sqref="L20:N21">
    <cfRule type="expression" dxfId="1089" priority="1">
      <formula>I8="Loan type selected does not match loan type indicated on I&amp;D worksheet"</formula>
    </cfRule>
    <cfRule type="expression" dxfId="1088" priority="4">
      <formula>AND($F$1&lt;&gt;"",$L$20&gt;0)</formula>
    </cfRule>
    <cfRule type="expression" dxfId="1087" priority="18">
      <formula>$P$54=TRUE</formula>
    </cfRule>
  </conditionalFormatting>
  <conditionalFormatting sqref="K23:O23">
    <cfRule type="expression" dxfId="1086" priority="17">
      <formula>AND($L$20&lt;&gt;0,$O$53=TRUE, $O$54=FALSE,$A$56="MCC Income Credit")</formula>
    </cfRule>
  </conditionalFormatting>
  <conditionalFormatting sqref="K23:O23 K24 N24:O24">
    <cfRule type="expression" dxfId="1085" priority="16">
      <formula>AND($L$20&lt;&gt;0,$O$53=TRUE,$O$54=FALSE,$A$56&lt;&gt;"MCC Income Credit")</formula>
    </cfRule>
  </conditionalFormatting>
  <conditionalFormatting sqref="A12:P12">
    <cfRule type="expression" dxfId="1084" priority="13">
      <formula>AND($L$16&lt;&gt;"",$L$14=0)</formula>
    </cfRule>
  </conditionalFormatting>
  <conditionalFormatting sqref="C18:E19">
    <cfRule type="expression" dxfId="1083" priority="11">
      <formula>AND($G$10&lt;&gt;"Source",L14&gt;0,L16&lt;&gt;"",L16&gt;0,L16&lt;=O15)</formula>
    </cfRule>
  </conditionalFormatting>
  <conditionalFormatting sqref="C9:E9">
    <cfRule type="expression" dxfId="1082" priority="10">
      <formula>AND($L$16&gt;0,$G$10="Source")</formula>
    </cfRule>
  </conditionalFormatting>
  <conditionalFormatting sqref="C18:E18">
    <cfRule type="expression" dxfId="1081" priority="9">
      <formula>AND($G$10&lt;&gt;"Source",L14&gt;0,L16&gt;0,L16&gt;O15)</formula>
    </cfRule>
  </conditionalFormatting>
  <conditionalFormatting sqref="K18:O19 J19">
    <cfRule type="expression" dxfId="1080" priority="1731">
      <formula>AND($G$10&lt;&gt;"Source",V14&gt;0,V16&lt;&gt;"",V16&gt;0,V16&lt;=Y15)</formula>
    </cfRule>
  </conditionalFormatting>
  <conditionalFormatting sqref="F18">
    <cfRule type="expression" dxfId="1079" priority="1732">
      <formula>AND($G$10&lt;&gt;"Source",O14&gt;0,O16&lt;&gt;"",O16&gt;0,O16&lt;=S15)</formula>
    </cfRule>
  </conditionalFormatting>
  <conditionalFormatting sqref="K18:O18">
    <cfRule type="expression" dxfId="1078" priority="1734">
      <formula>AND($G$10&lt;&gt;"Source",W14&gt;0,W16&gt;0,W16&gt;Z15)</formula>
    </cfRule>
  </conditionalFormatting>
  <conditionalFormatting sqref="F18">
    <cfRule type="expression" dxfId="1077" priority="1735">
      <formula>AND($G$10&lt;&gt;"Source",O14&gt;0,O16&gt;0,O16&gt;S15)</formula>
    </cfRule>
  </conditionalFormatting>
  <conditionalFormatting sqref="I19">
    <cfRule type="expression" dxfId="1076" priority="1741">
      <formula>AND($G$10&lt;&gt;"Source",S15&gt;0,S17&lt;&gt;"",S17&gt;0,S17&lt;=X16)</formula>
    </cfRule>
  </conditionalFormatting>
  <conditionalFormatting sqref="H18:H19 G18">
    <cfRule type="expression" dxfId="1075" priority="1756">
      <formula>AND($G$10&lt;&gt;"Source",P14&gt;0,P16&lt;&gt;"",P16&gt;0,P16&lt;=V15)</formula>
    </cfRule>
  </conditionalFormatting>
  <conditionalFormatting sqref="G18:H18">
    <cfRule type="expression" dxfId="1074" priority="1757">
      <formula>AND($G$10&lt;&gt;"Source",P14&gt;0,P16&gt;0,P16&gt;V15)</formula>
    </cfRule>
  </conditionalFormatting>
  <conditionalFormatting sqref="F19">
    <cfRule type="expression" dxfId="1073" priority="1762">
      <formula>AND($G$10&lt;&gt;"Source",O15&gt;0,O17&lt;&gt;"",O17&gt;0,O17&lt;=#REF!)</formula>
    </cfRule>
  </conditionalFormatting>
  <conditionalFormatting sqref="I18">
    <cfRule type="expression" dxfId="1072" priority="1765">
      <formula>AND($G$10&lt;&gt;"Source",S16&gt;0,#REF!&lt;&gt;"",#REF!&gt;0,#REF!&lt;=X15)</formula>
    </cfRule>
  </conditionalFormatting>
  <conditionalFormatting sqref="I18">
    <cfRule type="expression" dxfId="1071" priority="1766">
      <formula>AND($G$10&lt;&gt;"Source",S16&gt;0,#REF!&gt;0,#REF!&gt;X15)</formula>
    </cfRule>
  </conditionalFormatting>
  <conditionalFormatting sqref="G19">
    <cfRule type="expression" dxfId="1070" priority="1768">
      <formula>AND($G$10&lt;&gt;"Source",P15&gt;0,P17&lt;&gt;"",P17&gt;0,P17&lt;=#REF!)</formula>
    </cfRule>
  </conditionalFormatting>
  <conditionalFormatting sqref="J18">
    <cfRule type="expression" dxfId="1069" priority="1770">
      <formula>AND($G$10&lt;&gt;"Source",U16&gt;0,#REF!&lt;&gt;"",#REF!&gt;0,#REF!&lt;=Y15)</formula>
    </cfRule>
  </conditionalFormatting>
  <conditionalFormatting sqref="J18">
    <cfRule type="expression" dxfId="1068" priority="1771">
      <formula>AND($G$10&lt;&gt;"Source",U16&gt;0,#REF!&gt;0,#REF!&gt;Y15)</formula>
    </cfRule>
  </conditionalFormatting>
  <conditionalFormatting sqref="I8:P10">
    <cfRule type="expression" dxfId="1067" priority="2">
      <formula>$I$8="Loan Type selected does not match loan type indicated on I&amp;D worksheet"</formula>
    </cfRule>
    <cfRule type="expression" dxfId="1066" priority="3">
      <formula>$P$53=3</formula>
    </cfRule>
    <cfRule type="expression" dxfId="1065" priority="7">
      <formula>AND($F$1&lt;&gt;"",$P$53&gt;1)</formula>
    </cfRule>
  </conditionalFormatting>
  <conditionalFormatting sqref="G25:M26">
    <cfRule type="expression" dxfId="1064" priority="6">
      <formula>$O$20=0</formula>
    </cfRule>
  </conditionalFormatting>
  <conditionalFormatting sqref="F1:M1">
    <cfRule type="expression" dxfId="1063" priority="5">
      <formula>$F$1&lt;&gt;""</formula>
    </cfRule>
  </conditionalFormatting>
  <dataValidations count="1">
    <dataValidation type="custom" allowBlank="1" showInputMessage="1" showErrorMessage="1" errorTitle="Incorrect Entry Type" error="A dollar amount should be entered in this field (ex. 25 or 25.50)" sqref="L16:N16" xr:uid="{BABD923F-61C9-46B8-B6ED-D87577BDE539}">
      <formula1>CELL("format")="C2"</formula1>
    </dataValidation>
  </dataValidations>
  <printOptions horizontalCentered="1"/>
  <pageMargins left="0.25" right="0.25" top="0.25" bottom="0.25" header="0.3" footer="0.3"/>
  <pageSetup paperSize="5" scale="8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5395" r:id="rId4" name="Group Box 3">
              <controlPr defaultSize="0" autoFill="0" autoPict="0">
                <anchor moveWithCells="1" sizeWithCells="1">
                  <from>
                    <xdr:col>6</xdr:col>
                    <xdr:colOff>205740</xdr:colOff>
                    <xdr:row>10</xdr:row>
                    <xdr:rowOff>45720</xdr:rowOff>
                  </from>
                  <to>
                    <xdr:col>9</xdr:col>
                    <xdr:colOff>15240</xdr:colOff>
                    <xdr:row>12</xdr:row>
                    <xdr:rowOff>0</xdr:rowOff>
                  </to>
                </anchor>
              </controlPr>
            </control>
          </mc:Choice>
        </mc:AlternateContent>
        <mc:AlternateContent xmlns:mc="http://schemas.openxmlformats.org/markup-compatibility/2006">
          <mc:Choice Requires="x14">
            <control shapeId="955399" r:id="rId5" name="Check Box 7">
              <controlPr defaultSize="0" autoFill="0" autoLine="0" autoPict="0">
                <anchor moveWithCells="1">
                  <from>
                    <xdr:col>14</xdr:col>
                    <xdr:colOff>53340</xdr:colOff>
                    <xdr:row>19</xdr:row>
                    <xdr:rowOff>0</xdr:rowOff>
                  </from>
                  <to>
                    <xdr:col>15</xdr:col>
                    <xdr:colOff>99060</xdr:colOff>
                    <xdr:row>21</xdr:row>
                    <xdr:rowOff>45720</xdr:rowOff>
                  </to>
                </anchor>
              </controlPr>
            </control>
          </mc:Choice>
        </mc:AlternateContent>
        <mc:AlternateContent xmlns:mc="http://schemas.openxmlformats.org/markup-compatibility/2006">
          <mc:Choice Requires="x14">
            <control shapeId="955401" r:id="rId6" name="Drop Down 9">
              <controlPr defaultSize="0" autoLine="0" autoPict="0">
                <anchor moveWithCells="1">
                  <from>
                    <xdr:col>4</xdr:col>
                    <xdr:colOff>358140</xdr:colOff>
                    <xdr:row>7</xdr:row>
                    <xdr:rowOff>106680</xdr:rowOff>
                  </from>
                  <to>
                    <xdr:col>7</xdr:col>
                    <xdr:colOff>502920</xdr:colOff>
                    <xdr:row>9</xdr:row>
                    <xdr:rowOff>15240</xdr:rowOff>
                  </to>
                </anchor>
              </controlPr>
            </control>
          </mc:Choice>
        </mc:AlternateContent>
        <mc:AlternateContent xmlns:mc="http://schemas.openxmlformats.org/markup-compatibility/2006">
          <mc:Choice Requires="x14">
            <control shapeId="955402" r:id="rId7" name="Button 10">
              <controlPr defaultSize="0" print="0" autoFill="0" autoPict="0" macro="[0]!ThirtyPercent_Clear">
                <anchor moveWithCells="1" sizeWithCells="1">
                  <from>
                    <xdr:col>2</xdr:col>
                    <xdr:colOff>182880</xdr:colOff>
                    <xdr:row>0</xdr:row>
                    <xdr:rowOff>15240</xdr:rowOff>
                  </from>
                  <to>
                    <xdr:col>3</xdr:col>
                    <xdr:colOff>114300</xdr:colOff>
                    <xdr:row>1</xdr:row>
                    <xdr:rowOff>121920</xdr:rowOff>
                  </to>
                </anchor>
              </controlPr>
            </control>
          </mc:Choice>
        </mc:AlternateContent>
        <mc:AlternateContent xmlns:mc="http://schemas.openxmlformats.org/markup-compatibility/2006">
          <mc:Choice Requires="x14">
            <control shapeId="955403" r:id="rId8" name="Button 11">
              <controlPr defaultSize="0" print="0" autoFill="0" autoPict="0" macro="[0]!IW_Home">
                <anchor moveWithCells="1" sizeWithCells="1">
                  <from>
                    <xdr:col>0</xdr:col>
                    <xdr:colOff>0</xdr:colOff>
                    <xdr:row>0</xdr:row>
                    <xdr:rowOff>15240</xdr:rowOff>
                  </from>
                  <to>
                    <xdr:col>2</xdr:col>
                    <xdr:colOff>129540</xdr:colOff>
                    <xdr:row>1</xdr:row>
                    <xdr:rowOff>121920</xdr:rowOff>
                  </to>
                </anchor>
              </controlPr>
            </control>
          </mc:Choice>
        </mc:AlternateContent>
        <mc:AlternateContent xmlns:mc="http://schemas.openxmlformats.org/markup-compatibility/2006">
          <mc:Choice Requires="x14">
            <control shapeId="955405" r:id="rId9" name="Button 13">
              <controlPr defaultSize="0" print="0" autoFill="0" autoPict="0" macro="[0]!ThirtyPercent_OmitHide">
                <anchor moveWithCells="1" sizeWithCells="1">
                  <from>
                    <xdr:col>0</xdr:col>
                    <xdr:colOff>7620</xdr:colOff>
                    <xdr:row>1</xdr:row>
                    <xdr:rowOff>175260</xdr:rowOff>
                  </from>
                  <to>
                    <xdr:col>3</xdr:col>
                    <xdr:colOff>22860</xdr:colOff>
                    <xdr:row>2</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1859A-3D44-4CF6-8DC6-360C0968ADBA}">
  <sheetPr codeName="Sheet38">
    <tabColor rgb="FFFFDDAB"/>
    <pageSetUpPr fitToPage="1"/>
  </sheetPr>
  <dimension ref="A1:K90"/>
  <sheetViews>
    <sheetView showGridLines="0" showRowColHeaders="0" showRuler="0" view="pageLayout" zoomScale="90" zoomScaleNormal="100" zoomScalePageLayoutView="90" workbookViewId="0">
      <selection activeCell="C6" sqref="C6:F6"/>
    </sheetView>
  </sheetViews>
  <sheetFormatPr defaultColWidth="9.109375" defaultRowHeight="14.4" x14ac:dyDescent="0.3"/>
  <cols>
    <col min="1" max="1" width="3.21875" style="15" customWidth="1"/>
    <col min="2" max="2" width="8.21875" style="15" customWidth="1"/>
    <col min="3" max="3" width="18.21875" customWidth="1"/>
    <col min="4" max="4" width="16.21875" customWidth="1"/>
    <col min="5" max="5" width="8.5546875" customWidth="1"/>
    <col min="6" max="6" width="3.33203125" customWidth="1"/>
    <col min="7" max="7" width="9.88671875" customWidth="1"/>
    <col min="8" max="8" width="25.33203125" customWidth="1"/>
    <col min="9" max="9" width="7.88671875" customWidth="1"/>
    <col min="10" max="10" width="8.5546875" customWidth="1"/>
    <col min="11" max="11" width="9.44140625" customWidth="1"/>
    <col min="12" max="12" width="46.77734375" customWidth="1"/>
  </cols>
  <sheetData>
    <row r="1" spans="1:11" x14ac:dyDescent="0.3">
      <c r="D1" s="1846" t="str">
        <f>IF(OR('I&amp;D Worksheet'!J8="FHA",'I&amp;D Worksheet'!J8="VA",'I&amp;D Worksheet'!J8="USDA"),CONCATENATE("This worksheet is not applicable for the selected Loan Type (",'I&amp;D Worksheet'!J8,")"),"")</f>
        <v/>
      </c>
      <c r="E1" s="1846"/>
      <c r="F1" s="1846"/>
      <c r="G1" s="1846"/>
      <c r="H1" s="1846"/>
      <c r="J1" s="36">
        <f>'I&amp;D Worksheet'!J8</f>
        <v>0</v>
      </c>
      <c r="K1" s="36">
        <f>IF(OR(J1="Conventional"),1,IF(J1="FHA",2,IF(OR(J1="VA",J1="USDA"),3,0)))</f>
        <v>0</v>
      </c>
    </row>
    <row r="2" spans="1:11" ht="36" customHeight="1" x14ac:dyDescent="0.5">
      <c r="A2" s="1321" t="s">
        <v>1083</v>
      </c>
      <c r="B2" s="1321"/>
      <c r="C2" s="1321"/>
      <c r="D2" s="1321"/>
      <c r="E2" s="1321"/>
      <c r="F2" s="1321"/>
      <c r="G2" s="1321"/>
      <c r="H2" s="1321"/>
      <c r="I2" s="1321"/>
      <c r="J2" s="1321"/>
      <c r="K2" s="1321"/>
    </row>
    <row r="3" spans="1:11" ht="21" x14ac:dyDescent="0.4">
      <c r="A3" s="1322" t="s">
        <v>1276</v>
      </c>
      <c r="B3" s="1322"/>
      <c r="C3" s="1322"/>
      <c r="D3" s="1322"/>
      <c r="E3" s="1322"/>
      <c r="F3" s="1322"/>
      <c r="G3" s="1322"/>
      <c r="H3" s="1322"/>
      <c r="I3" s="1322"/>
      <c r="J3" s="1322"/>
      <c r="K3" s="1322"/>
    </row>
    <row r="4" spans="1:11" ht="15.75" customHeight="1" x14ac:dyDescent="0.3">
      <c r="B4" s="1178"/>
      <c r="C4" s="1178"/>
      <c r="H4" s="1178"/>
      <c r="I4" s="1178"/>
      <c r="J4" s="1178"/>
      <c r="K4" s="1178"/>
    </row>
    <row r="5" spans="1:11" ht="15.6" x14ac:dyDescent="0.3">
      <c r="A5"/>
      <c r="B5"/>
      <c r="C5" s="2"/>
      <c r="D5" s="2"/>
      <c r="E5" s="2"/>
      <c r="F5" s="2"/>
      <c r="G5" s="36"/>
      <c r="H5" s="36"/>
      <c r="I5" s="703"/>
      <c r="J5" s="703"/>
      <c r="K5" s="703"/>
    </row>
    <row r="6" spans="1:11" ht="15.6" x14ac:dyDescent="0.3">
      <c r="A6" s="1407" t="s">
        <v>37</v>
      </c>
      <c r="B6" s="1407"/>
      <c r="C6" s="1359"/>
      <c r="D6" s="1359"/>
      <c r="E6" s="1359"/>
      <c r="F6" s="1359"/>
      <c r="G6" s="36"/>
      <c r="H6" s="36"/>
      <c r="I6" s="703"/>
      <c r="J6" s="703"/>
      <c r="K6" s="703"/>
    </row>
    <row r="7" spans="1:11" ht="6" customHeight="1" x14ac:dyDescent="0.3">
      <c r="A7"/>
      <c r="B7"/>
      <c r="C7" s="66"/>
      <c r="D7" s="66"/>
      <c r="E7" s="66"/>
      <c r="F7" s="46"/>
      <c r="G7" s="46"/>
      <c r="H7" s="2"/>
      <c r="I7" s="500"/>
      <c r="J7" s="500"/>
      <c r="K7" s="500"/>
    </row>
    <row r="8" spans="1:11" ht="15.6" customHeight="1" x14ac:dyDescent="0.3">
      <c r="A8" s="34"/>
      <c r="B8" s="34"/>
      <c r="C8" s="645"/>
      <c r="D8" s="645"/>
      <c r="E8" s="645"/>
      <c r="F8" s="780"/>
      <c r="G8" s="780"/>
      <c r="H8" s="2"/>
      <c r="I8" s="500"/>
      <c r="J8" s="500"/>
      <c r="K8" s="500"/>
    </row>
    <row r="9" spans="1:11" ht="17.399999999999999" customHeight="1" x14ac:dyDescent="0.3">
      <c r="B9" s="1850" t="s">
        <v>1024</v>
      </c>
      <c r="C9" s="1850"/>
      <c r="D9" s="1850"/>
      <c r="E9" s="781"/>
      <c r="F9" s="781"/>
      <c r="G9" s="1174"/>
      <c r="H9" s="1848" t="str">
        <f>IF(AND($D$1&lt;&gt;"",E10&lt;&gt;""),"Does not match loan type
selected on the I&amp;D Worksheet","")</f>
        <v/>
      </c>
      <c r="I9" s="1848"/>
      <c r="J9" s="1848"/>
      <c r="K9" s="1090"/>
    </row>
    <row r="10" spans="1:11" ht="15.75" customHeight="1" x14ac:dyDescent="0.3">
      <c r="A10" s="4"/>
      <c r="B10" s="1841" t="s">
        <v>1277</v>
      </c>
      <c r="C10" s="1841"/>
      <c r="D10" s="1841"/>
      <c r="E10" s="1847" t="s">
        <v>847</v>
      </c>
      <c r="F10" s="1847"/>
      <c r="G10" s="1847"/>
      <c r="H10" s="1848"/>
      <c r="I10" s="1848"/>
      <c r="J10" s="1848"/>
      <c r="K10" s="1090"/>
    </row>
    <row r="11" spans="1:11" ht="15.6" customHeight="1" x14ac:dyDescent="0.3">
      <c r="A11" s="4"/>
      <c r="B11" s="1179"/>
      <c r="C11" s="1179"/>
      <c r="D11" s="1179"/>
      <c r="E11" s="1176" t="s">
        <v>941</v>
      </c>
      <c r="F11" s="1179"/>
      <c r="G11" s="895"/>
      <c r="H11" s="1848"/>
      <c r="I11" s="1848"/>
      <c r="J11" s="1848"/>
      <c r="K11" s="1090"/>
    </row>
    <row r="12" spans="1:11" ht="15.75" customHeight="1" x14ac:dyDescent="0.3">
      <c r="A12" s="4"/>
      <c r="B12" s="1841" t="s">
        <v>1091</v>
      </c>
      <c r="C12" s="1841"/>
      <c r="D12" s="1841"/>
      <c r="E12" s="1841"/>
      <c r="F12" s="1841"/>
      <c r="G12" s="895"/>
      <c r="H12" s="895"/>
      <c r="I12" s="895"/>
      <c r="J12" s="895"/>
      <c r="K12" s="895"/>
    </row>
    <row r="13" spans="1:11" ht="7.8" customHeight="1" x14ac:dyDescent="0.3">
      <c r="A13" s="4"/>
      <c r="B13" s="1844" t="s">
        <v>1085</v>
      </c>
      <c r="C13" s="1844"/>
      <c r="D13" s="1844"/>
      <c r="E13" s="1844"/>
      <c r="F13" s="1849" t="s">
        <v>1087</v>
      </c>
      <c r="G13" s="1844" t="s">
        <v>1086</v>
      </c>
      <c r="H13" s="1844"/>
      <c r="I13" s="1844"/>
      <c r="J13" s="1179"/>
      <c r="K13" s="1179"/>
    </row>
    <row r="14" spans="1:11" ht="15.6" customHeight="1" x14ac:dyDescent="0.3">
      <c r="A14" s="4"/>
      <c r="B14" s="1844"/>
      <c r="C14" s="1844"/>
      <c r="D14" s="1844"/>
      <c r="E14" s="1844"/>
      <c r="F14" s="1849"/>
      <c r="G14" s="1844"/>
      <c r="H14" s="1844"/>
      <c r="I14" s="1844"/>
      <c r="J14" s="1180"/>
      <c r="K14" s="1180"/>
    </row>
    <row r="15" spans="1:11" ht="9.6" customHeight="1" x14ac:dyDescent="0.3">
      <c r="A15" s="4"/>
      <c r="B15" s="1179"/>
      <c r="C15" s="1179"/>
      <c r="D15" s="1179"/>
      <c r="E15" s="1179"/>
      <c r="F15" s="1179"/>
      <c r="G15" s="1179"/>
      <c r="H15" s="1179"/>
      <c r="I15" s="1179"/>
      <c r="J15" s="1179"/>
      <c r="K15" s="1179"/>
    </row>
    <row r="16" spans="1:11" ht="15.75" customHeight="1" x14ac:dyDescent="0.3">
      <c r="A16" s="4"/>
      <c r="B16" s="1841" t="s">
        <v>1090</v>
      </c>
      <c r="C16" s="1841"/>
      <c r="D16" s="1841"/>
      <c r="E16" s="1841"/>
      <c r="F16" s="1841"/>
      <c r="G16" s="1841"/>
      <c r="H16" s="1179"/>
      <c r="I16" s="1179"/>
      <c r="J16" s="1179"/>
      <c r="K16" s="1179"/>
    </row>
    <row r="17" spans="1:11" ht="7.8" customHeight="1" x14ac:dyDescent="0.3">
      <c r="A17" s="4"/>
      <c r="B17" s="1844" t="s">
        <v>1089</v>
      </c>
      <c r="C17" s="1844"/>
      <c r="D17" s="1844"/>
      <c r="E17" s="1842" t="s">
        <v>1087</v>
      </c>
      <c r="F17" s="1843" t="s">
        <v>1088</v>
      </c>
      <c r="G17" s="1843"/>
      <c r="H17" s="1843"/>
      <c r="I17" s="1179"/>
      <c r="J17" s="1179"/>
      <c r="K17" s="1179"/>
    </row>
    <row r="18" spans="1:11" ht="15.6" customHeight="1" x14ac:dyDescent="0.3">
      <c r="A18" s="4"/>
      <c r="B18" s="1844"/>
      <c r="C18" s="1844"/>
      <c r="D18" s="1844"/>
      <c r="E18" s="1842"/>
      <c r="F18" s="1843"/>
      <c r="G18" s="1843"/>
      <c r="H18" s="1843"/>
      <c r="I18" s="1180"/>
      <c r="J18" s="1180"/>
      <c r="K18" s="1180"/>
    </row>
    <row r="19" spans="1:11" ht="15.6" customHeight="1" x14ac:dyDescent="0.3">
      <c r="A19" s="4"/>
      <c r="B19" s="1179"/>
      <c r="C19" s="795" t="str">
        <f>IF(AND(K84=1,K85=1),"Performance Based Shares",
IF(AND(K84=1,K85=2),"Performance Based Cash Equivalents",
IF(AND(K84=2,K85=1),"Time-Based Shares",
IF(AND(K84=2,K85=2),"Time Based Cash Equivalents",
""))))</f>
        <v/>
      </c>
      <c r="D19" s="1179"/>
      <c r="E19" s="1179"/>
      <c r="F19" s="1179"/>
      <c r="G19" s="1179"/>
      <c r="H19" s="1179"/>
      <c r="I19" s="1179"/>
      <c r="J19" s="1179"/>
      <c r="K19" s="1179"/>
    </row>
    <row r="20" spans="1:11" ht="26.4" customHeight="1" x14ac:dyDescent="0.3">
      <c r="B20" s="1181"/>
      <c r="C20" s="1181"/>
      <c r="D20" s="1181"/>
      <c r="E20" s="1181"/>
    </row>
    <row r="21" spans="1:11" s="1182" customFormat="1" ht="25.2" customHeight="1" x14ac:dyDescent="0.3">
      <c r="B21" s="1845" t="s">
        <v>1406</v>
      </c>
      <c r="C21" s="1845"/>
      <c r="D21" s="1845"/>
      <c r="E21" s="1845"/>
      <c r="F21" s="1845"/>
      <c r="G21" s="1845"/>
      <c r="H21" s="1845"/>
      <c r="I21" s="1845"/>
      <c r="J21" s="1845"/>
      <c r="K21" s="1845"/>
    </row>
    <row r="22" spans="1:11" ht="14.4" customHeight="1" x14ac:dyDescent="0.3">
      <c r="A22" s="86"/>
      <c r="B22" s="1832" t="s">
        <v>1092</v>
      </c>
      <c r="C22" s="1832"/>
      <c r="D22" s="1832"/>
      <c r="E22" s="1832"/>
      <c r="F22" s="1832"/>
      <c r="G22" s="1832"/>
      <c r="H22" s="1832"/>
      <c r="I22" s="1832"/>
      <c r="J22" s="1832"/>
      <c r="K22" s="1832"/>
    </row>
    <row r="23" spans="1:11" ht="13.2" customHeight="1" x14ac:dyDescent="0.3">
      <c r="A23" s="168"/>
      <c r="B23" s="1833" t="str">
        <f>IF(E11="Fannie","1. Go to finance.yahoo.com,","1. Go to marketwatch.com,")</f>
        <v>1. Go to finance.yahoo.com,</v>
      </c>
      <c r="C23" s="1833"/>
      <c r="D23" s="1833"/>
      <c r="E23" s="1833"/>
      <c r="F23" s="1833"/>
      <c r="G23" s="1833"/>
      <c r="H23" s="1833"/>
      <c r="I23" s="1833"/>
      <c r="J23" s="1833"/>
      <c r="K23" s="1833"/>
    </row>
    <row r="24" spans="1:11" ht="13.2" customHeight="1" x14ac:dyDescent="0.3">
      <c r="A24" s="168"/>
      <c r="B24" s="1833" t="str">
        <f>IF(E11="Fannie","2. Enter stock name/abv in search bar,","2. Click on the Search icon and enter the stock name/abv,")</f>
        <v>2. Enter stock name/abv in search bar,</v>
      </c>
      <c r="C24" s="1833"/>
      <c r="D24" s="1833"/>
      <c r="E24" s="1833"/>
      <c r="F24" s="1833"/>
      <c r="G24" s="1833"/>
      <c r="H24" s="1833"/>
      <c r="I24" s="1833"/>
      <c r="J24" s="1833"/>
      <c r="K24" s="1833"/>
    </row>
    <row r="25" spans="1:11" ht="13.2" customHeight="1" x14ac:dyDescent="0.3">
      <c r="A25" s="86"/>
      <c r="B25" s="1833" t="str">
        <f>IF(E11="Fannie","3. Select the 'Statistics' tab,","3. Select the 'Historical Quotes' tab,")</f>
        <v>3. Select the 'Statistics' tab,</v>
      </c>
      <c r="C25" s="1833"/>
      <c r="D25" s="1833"/>
      <c r="E25" s="1833"/>
      <c r="F25" s="1833"/>
      <c r="G25" s="1833"/>
      <c r="H25" s="1833"/>
      <c r="I25" s="1833"/>
      <c r="J25" s="1833"/>
      <c r="K25" s="1833"/>
    </row>
    <row r="26" spans="1:11" ht="13.2" customHeight="1" x14ac:dyDescent="0.3">
      <c r="A26" s="86"/>
      <c r="B26" s="1834" t="str">
        <f>IF(E11="Fannie","4. Look under the 'Trading Information' section,","4. Under 'Date Range' enter dates for 1 yr prior to app date, then click update,")</f>
        <v>4. Look under the 'Trading Information' section,</v>
      </c>
      <c r="C26" s="1834"/>
      <c r="D26" s="1834"/>
      <c r="E26" s="1834"/>
      <c r="F26" s="1834"/>
      <c r="G26" s="1834"/>
      <c r="H26" s="1834"/>
      <c r="I26" s="1834"/>
      <c r="J26" s="1834"/>
      <c r="K26" s="1834"/>
    </row>
    <row r="27" spans="1:11" ht="13.2" customHeight="1" x14ac:dyDescent="0.3">
      <c r="A27" s="86"/>
      <c r="B27" s="1834" t="str">
        <f>IF(E11="Fannie","5. Locate the '200-Day Moving Average',","5. Change 'Frequency' to Weekly,")</f>
        <v>5. Locate the '200-Day Moving Average',</v>
      </c>
      <c r="C27" s="1834"/>
      <c r="D27" s="1834"/>
      <c r="E27" s="1834"/>
      <c r="F27" s="1834"/>
      <c r="G27" s="1834"/>
      <c r="H27" s="1834"/>
      <c r="I27" s="1834"/>
      <c r="J27" s="1834"/>
      <c r="K27" s="1834"/>
    </row>
    <row r="28" spans="1:11" ht="13.2" customHeight="1" x14ac:dyDescent="0.3">
      <c r="A28" s="168"/>
      <c r="B28" s="1834" t="str">
        <f>IF(E11="Fannie","6. Enter the '200-Day Moving Average' amount shown in the line below,","6. Click 'Download' and open the downloaded excel,")</f>
        <v>6. Enter the '200-Day Moving Average' amount shown in the line below,</v>
      </c>
      <c r="C28" s="1834"/>
      <c r="D28" s="1834"/>
      <c r="E28" s="1834"/>
      <c r="F28" s="1834"/>
      <c r="G28" s="1834"/>
      <c r="H28" s="1834"/>
      <c r="I28" s="1834"/>
      <c r="J28" s="1834"/>
      <c r="K28" s="1834"/>
    </row>
    <row r="29" spans="1:11" ht="13.2" customHeight="1" x14ac:dyDescent="0.3">
      <c r="A29" s="168"/>
      <c r="B29" s="1834" t="str">
        <f>IF(E11="Fannie","7. Once you have entered this amount below, Proceed to section 3.","7. Copy the appropriate 52 'Week' dates (full weeks), Paste in Section 2 (see step 9),")</f>
        <v>7. Once you have entered this amount below, Proceed to section 3.</v>
      </c>
      <c r="C29" s="1834"/>
      <c r="D29" s="1834"/>
      <c r="E29" s="1834"/>
      <c r="F29" s="1834"/>
      <c r="G29" s="1834"/>
      <c r="H29" s="1834"/>
      <c r="I29" s="1834"/>
      <c r="J29" s="1834"/>
      <c r="K29" s="1834"/>
    </row>
    <row r="30" spans="1:11" ht="13.2" customHeight="1" x14ac:dyDescent="0.3">
      <c r="A30" s="86"/>
      <c r="B30" s="1834"/>
      <c r="C30" s="1834"/>
      <c r="D30" s="1834"/>
      <c r="E30" s="1834"/>
      <c r="F30" s="1834"/>
      <c r="G30" s="1834"/>
      <c r="H30" s="1834"/>
      <c r="I30" s="1834"/>
      <c r="J30" s="1834"/>
      <c r="K30" s="1834"/>
    </row>
    <row r="31" spans="1:11" ht="13.2" customHeight="1" x14ac:dyDescent="0.3">
      <c r="A31" s="86"/>
      <c r="B31" s="1834"/>
      <c r="C31" s="1834"/>
      <c r="D31" s="1834"/>
      <c r="E31" s="1834"/>
      <c r="F31" s="1834"/>
      <c r="G31" s="1834"/>
      <c r="H31" s="1834"/>
      <c r="I31" s="1834"/>
      <c r="J31" s="1834"/>
      <c r="K31" s="1834"/>
    </row>
    <row r="32" spans="1:11" ht="13.2" customHeight="1" x14ac:dyDescent="0.3">
      <c r="A32" s="86"/>
      <c r="B32" s="1834"/>
      <c r="C32" s="1834"/>
      <c r="D32" s="1834"/>
      <c r="E32" s="1834"/>
      <c r="F32" s="1834"/>
      <c r="G32" s="1834"/>
      <c r="H32" s="1834"/>
      <c r="I32" s="1834"/>
      <c r="J32" s="1834"/>
      <c r="K32" s="1834"/>
    </row>
    <row r="33" spans="1:11" ht="13.2" customHeight="1" x14ac:dyDescent="0.3">
      <c r="A33" s="86"/>
      <c r="B33" s="1455" t="s">
        <v>1300</v>
      </c>
      <c r="C33" s="1455"/>
      <c r="D33" s="1455"/>
      <c r="E33" s="1455"/>
      <c r="F33" s="1455"/>
      <c r="G33" s="1455"/>
      <c r="H33" s="1455"/>
      <c r="I33" s="1837"/>
      <c r="J33" s="1837"/>
    </row>
    <row r="34" spans="1:11" ht="13.2" customHeight="1" x14ac:dyDescent="0.3">
      <c r="A34" s="168"/>
      <c r="B34" s="417"/>
      <c r="C34" s="1183"/>
      <c r="D34" s="830"/>
      <c r="E34" s="1175"/>
      <c r="G34" s="1836"/>
      <c r="H34" s="1836"/>
      <c r="I34" s="1840"/>
      <c r="J34" s="1840"/>
    </row>
    <row r="35" spans="1:11" ht="13.2" customHeight="1" x14ac:dyDescent="0.3">
      <c r="A35" s="168"/>
      <c r="B35" s="417"/>
      <c r="C35" s="1183"/>
      <c r="D35" s="830"/>
      <c r="E35" s="1175"/>
      <c r="F35" s="1839" t="str">
        <f>IF(AND(E23=0,D75&gt;0),"All 52 week values required (or enter 52 week average manually below)","")</f>
        <v/>
      </c>
      <c r="G35" s="1839"/>
      <c r="H35" s="1839"/>
      <c r="I35" s="1839"/>
      <c r="J35" s="1839"/>
      <c r="K35" s="1839"/>
    </row>
    <row r="36" spans="1:11" ht="13.2" customHeight="1" x14ac:dyDescent="0.3">
      <c r="A36" s="86"/>
      <c r="B36" s="417"/>
      <c r="C36" s="1184"/>
      <c r="D36" s="830"/>
      <c r="E36" s="531"/>
    </row>
    <row r="37" spans="1:11" ht="13.2" customHeight="1" x14ac:dyDescent="0.3">
      <c r="A37" s="86"/>
      <c r="B37" s="417"/>
      <c r="C37" s="1184"/>
      <c r="D37" s="830"/>
      <c r="E37" s="531"/>
      <c r="G37" s="1835"/>
      <c r="H37" s="1835"/>
      <c r="I37" s="1838"/>
      <c r="J37" s="1838"/>
    </row>
    <row r="38" spans="1:11" ht="13.2" customHeight="1" x14ac:dyDescent="0.3">
      <c r="A38" s="86"/>
      <c r="B38" s="417"/>
      <c r="C38" s="1184"/>
      <c r="D38" s="830"/>
      <c r="E38" s="531"/>
      <c r="G38" s="1835"/>
      <c r="H38" s="1835"/>
    </row>
    <row r="39" spans="1:11" ht="13.2" customHeight="1" x14ac:dyDescent="0.3">
      <c r="A39" s="168"/>
      <c r="B39" s="417"/>
      <c r="C39" s="1183"/>
      <c r="D39" s="830"/>
      <c r="E39" s="1175"/>
      <c r="K39" s="791"/>
    </row>
    <row r="40" spans="1:11" ht="13.2" customHeight="1" x14ac:dyDescent="0.3">
      <c r="A40" s="168"/>
      <c r="B40" s="1856" t="s">
        <v>1084</v>
      </c>
      <c r="C40" s="1856"/>
      <c r="D40" s="1856"/>
      <c r="E40" s="1856"/>
      <c r="F40" s="1856"/>
      <c r="G40" s="1856"/>
      <c r="H40" s="1856"/>
      <c r="I40" s="1856"/>
      <c r="J40" s="1856"/>
      <c r="K40" s="791"/>
    </row>
    <row r="41" spans="1:11" ht="13.2" customHeight="1" x14ac:dyDescent="0.3">
      <c r="A41" s="86"/>
      <c r="B41" s="1856"/>
      <c r="C41" s="1856"/>
      <c r="D41" s="1856"/>
      <c r="E41" s="1856"/>
      <c r="F41" s="1856"/>
      <c r="G41" s="1856"/>
      <c r="H41" s="1856"/>
      <c r="I41" s="1856"/>
      <c r="J41" s="1856"/>
    </row>
    <row r="42" spans="1:11" ht="13.2" customHeight="1" x14ac:dyDescent="0.3">
      <c r="A42" s="86"/>
      <c r="B42" s="793" t="s">
        <v>142</v>
      </c>
      <c r="C42" s="1857" t="str">
        <f>IF(AND(E10="Freddie",K84=1,K85=1),"Total Number of Vested Shares distributed
(pre-tax) to borrower in past 2 years:",
IF(AND(E10="Freddie",K84=1,K85=2),"Total Dollar Amount distributed (pre-tax) from
cash equivalent vested shares in past 2 years:",
IF(AND(E10="Freddie",K84=2,K85=1),"Total Number of Vested Shares distributed 
(pre-tax) to borrower in past 1 year:",
IF(AND(E10="Freddie",K84=2,K85=2),"Total Dollar Amount distributed (pre-tax) from
cash equivalent vested shares in the past 1 year:",
IF(AND(E10="Fannie",K84=1,K85=1),"Total Number of Vested Shares distributed
(pre-tax) to borrower in past 2 years:",
IF(AND(E10="Fannie",K84=1,K85=2),"Total Dollar Amount distributed (pre-tax) from
cash equivalent vested shares in past 2 years:",
IF(AND(E10="Fannie",K84=2,K85=1),"Total Number of Vested Shares distributed 
(pre-tax) to borrower in past 2 years:",
IF(AND(E10="Fannie",K84=2,K85=2),"Total Dollar Amount distributed (pre-tax) from
cash equivalent vested shares in the past 2 years:",
"Shares or Cash Value  (Section 1 needed)"))))))))</f>
        <v>Shares or Cash Value  (Section 1 needed)</v>
      </c>
      <c r="D42" s="1857"/>
      <c r="E42" s="1857"/>
      <c r="F42" s="1857"/>
      <c r="G42" s="1857"/>
      <c r="H42" s="1857"/>
      <c r="I42" s="1837"/>
      <c r="J42" s="1837"/>
    </row>
    <row r="43" spans="1:11" ht="13.2" customHeight="1" x14ac:dyDescent="0.3">
      <c r="A43" s="86"/>
      <c r="B43" s="417"/>
      <c r="C43" s="1857"/>
      <c r="D43" s="1857"/>
      <c r="E43" s="1857"/>
      <c r="F43" s="1857"/>
      <c r="G43" s="1857"/>
      <c r="H43" s="1857"/>
    </row>
    <row r="44" spans="1:11" ht="13.2" customHeight="1" x14ac:dyDescent="0.3">
      <c r="A44" s="86"/>
      <c r="B44" s="417"/>
      <c r="C44" s="1857"/>
      <c r="D44" s="1857"/>
      <c r="E44" s="1857"/>
      <c r="F44" s="1857"/>
      <c r="G44" s="1857"/>
      <c r="H44" s="1857"/>
    </row>
    <row r="45" spans="1:11" ht="13.2" customHeight="1" x14ac:dyDescent="0.3">
      <c r="A45" s="86"/>
      <c r="B45" s="793" t="s">
        <v>143</v>
      </c>
      <c r="C45" s="1791" t="s">
        <v>1302</v>
      </c>
      <c r="D45" s="1791"/>
      <c r="E45" s="1791"/>
      <c r="F45" s="1791"/>
      <c r="G45" s="1791"/>
      <c r="H45" s="1791"/>
      <c r="I45" s="1852"/>
      <c r="J45" s="1852"/>
      <c r="K45" s="36">
        <f>IF(I45="",0,IF(I45="Less than 12 months",1,IF(I45="24 or more",3,2)))</f>
        <v>0</v>
      </c>
    </row>
    <row r="46" spans="1:11" ht="12.6" customHeight="1" x14ac:dyDescent="0.3">
      <c r="A46" s="168"/>
      <c r="B46" s="417"/>
      <c r="C46" s="1855" t="str">
        <f>IF(AND(OR(E10="",K85&lt;1,K84&lt;1,),OR(I33&gt;0,I34&gt;0,I37&gt;0,I42&gt;0,I45&lt;&gt;"")),"Data missing from Section 1",IF(AND(E11="Freddie",K84=1,K85=1,J84=FALSE,I34&gt;0,I42&gt;0,K45=1),"Cannot use RSU income when received less than 12 months",
IF(AND(E11="Freddie",K84=1,K85=1,J84=FALSE,I34&gt;0,I42&gt;0,K45=2),CONCATENATE("12-24 month history may be considered stable if the Seller provides a written analysis and sufficient supporting documentation justifying the determination of stability."," Seller must take into consideration factors such as income and/or employment characteristics and the overall layering of risk factors,","  including the Borrower’s demonstrated ability to repay obligations. 
Must be likely to continue for at least the next three years, otherwise omit."),
IF(AND(E11="Freddie",K84=1,K85=1,J84=FALSE,I34&gt;0,I42&gt;0,K45=3),"Must be likely to continue for at least the next three years, otherwise omit",
IF(AND(E11="Freddie",K84=1,K85=1,J84=TRUE,I42&gt;0,K45=1),"Cannot use RSU income when received less than 12 months",
IF(AND(E11="Freddie",K84=1,K85=1,J84=TRUE,I42&gt;0,K45=2),CONCATENATE("12-24 month history may be considered stable if the Seller provides a written analysis and sufficient supporting documentation justifying the determination of stability."," Seller must take into consideration factors such as income and/or employment characteristics and the overall layering of risk factors,","  including the Borrower’s demonstrated ability to repay obligations. 
Must be likely to continue for at least the next three years, otherwise omit."),
IF(AND(E11="Freddie",K84=1,K85=1,J84=TRUE,I42&gt;0,K45=3),"Must be likely to continue for at least the next three years, otherwise omit",
IF(AND(E11="Freddie",K84=2,K85=1,J84=FALSE,I34&gt;0,I42&gt;0,K45=1),"Cannot use RSU income when received less than 12 months",
IF(AND(E11="Freddie",K84=2,K85=1,J84=FALSE,I34&gt;0,I42&gt;0,K45=2),"Must be likely to continue for at least the next three years, otherwise omit",
IF(AND(E11="Freddie",K84=2,K85=1,J84=FALSE,I34&gt;0,I42&gt;0,K45=3),"Must be likely to continue for at least the next three years, otherwise omit",
IF(AND(E11="Freddie",K84=2,K85=1,J84=TRUE,I42&gt;0,K45=1),"Cannot use RSU income when received less than 12 months",
IF(AND(E11="Freddie",K84=2,K85=1,J84=TRUE,I42&gt;0,K45=2),"Must be likely to continue for at least the next three years, otherwise omit",
IF(AND(E11="Freddie",K84=2,K85=1,J84=TRUE,I42&gt;0,K45=3),"Must be likely to continue for at least the next three years, otherwise omit",
IF(AND(E11="Freddie",K84=1,K85=2,I42&gt;0,K45=1),"Cannot use RSU income when received less than 12 months",
IF(AND(E10="Freddie",K84=1,K85=2,I42&gt;0,K45=2),CONCATENATE("If the Borrower has not received the RS or RSU income from their current employer for a full 24 months,"," the Seller may calculate the monthly income using the actual number of months received if supported by a written analysis"," and documented compensating factors, (e.g., a history of receipt of RS or RSU income for the previous five years from a prior employer)."),
IF(AND(E11="Freddie",K84=1,K85=2,I42&gt;0,K45=3),"Must be likely to continue for at least the next three years, otherwise omit",
IF(AND(E11="Freddie",K84=2,K85=2,I42&gt;0,K45=1),"Cannot use RSU income when received less than 12 months",
IF(AND(E11="Freddie",K84=2,K85=2,I42&gt;0,K45=2),"Must be likely to continue for at least the next three years, otherwise omit",
IF(AND(E11="Freddie",K84=2,K85=2,I42&gt;0,K45=3),"Must be likely to continue for at least the next three years, otherwise omit",
IF(AND(E11="Fannie",K84=1,K85=1,I33&gt;0,I42&gt;0,K45=1),"Cannot use RSU income when received less than 12 months",
IF(AND(E11="Fannie",K84=1,K85=1,I33&gt;0,I42&gt;0,K45=2),CONCATENATE("May be considered as acceptable income if there are positive factors to offset the shorter income history such as"," future vesting equal to or greater than previous vesting and that will continue for at least 24 months; or restricted stock income received for the previous 5 years from any employer."),
IF(AND(E11="Fannie",K84=1,K85=1,I33&gt;0,I42&gt;0,K45=3),"",
IF(AND(E11="Fannie",K84=1,K85=2,I42&gt;0,K45=1),"Cannot use RSU income when received less than 12 months",
IF(AND(E10="Fannie",K84=1,K85=2,I42&gt;0,K45=2),CONCATENATE("May be considered as acceptable income if there are positive factors to offset the shorter income history such as"," future vesting equal to or greater than previous vesting and that will continue for at least 24 months; or restricted stock income received for the previous 5 years from any employer."),
IF(AND(E11="Fannie",K84=1,K85=2,I42&gt;0,K45=3),"",
IF(AND(E11="Fannie",K84=2,K85=1,I33&gt;0,I42&gt;0,K45=1),"Cannot use RSU income when received less than 12 months",
IF(AND(E11="Fannie",K84=2,K85=1,I33&gt;0,I42&gt;0,K45=2),"",
IF(AND(E11="Fannie",K84=2,K85=1,I33&gt;0,I42&gt;0,K45=3),"",
IF(AND(E11="Fannie",K84=2,K85=2,I42&gt;0,K45=1),"Cannot use RSU income when received less than 12 months",
IF(AND(E11="Fannie",K84=2,K85=2,I42&gt;0,K45=2),"",
IF(AND(E11="Fannie",K84=2,K85=2,I42&gt;0,K45=3),"",
"")))))))))))))))))))))))))))))))</f>
        <v/>
      </c>
      <c r="D46" s="1855"/>
      <c r="E46" s="1855"/>
      <c r="F46" s="1855"/>
      <c r="G46" s="1855"/>
      <c r="H46" s="1855"/>
      <c r="I46" s="1855"/>
      <c r="J46" s="1855"/>
    </row>
    <row r="47" spans="1:11" ht="7.8" customHeight="1" x14ac:dyDescent="0.3">
      <c r="A47" s="168"/>
      <c r="B47" s="417"/>
      <c r="C47" s="1855"/>
      <c r="D47" s="1855"/>
      <c r="E47" s="1855"/>
      <c r="F47" s="1855"/>
      <c r="G47" s="1855"/>
      <c r="H47" s="1855"/>
      <c r="I47" s="1855"/>
      <c r="J47" s="1855"/>
    </row>
    <row r="48" spans="1:11" ht="7.8" customHeight="1" x14ac:dyDescent="0.3">
      <c r="A48" s="86"/>
      <c r="B48" s="417"/>
      <c r="C48" s="1855"/>
      <c r="D48" s="1855"/>
      <c r="E48" s="1855"/>
      <c r="F48" s="1855"/>
      <c r="G48" s="1855"/>
      <c r="H48" s="1855"/>
      <c r="I48" s="1855"/>
      <c r="J48" s="1855"/>
    </row>
    <row r="49" spans="1:11" ht="7.8" customHeight="1" x14ac:dyDescent="0.3">
      <c r="A49" s="86"/>
      <c r="B49" s="417"/>
      <c r="C49" s="1855"/>
      <c r="D49" s="1855"/>
      <c r="E49" s="1855"/>
      <c r="F49" s="1855"/>
      <c r="G49" s="1855"/>
      <c r="H49" s="1855"/>
      <c r="I49" s="1855"/>
      <c r="J49" s="1855"/>
      <c r="K49" s="24"/>
    </row>
    <row r="50" spans="1:11" ht="7.8" customHeight="1" x14ac:dyDescent="0.3">
      <c r="A50" s="86"/>
      <c r="B50" s="417"/>
      <c r="C50" s="1855"/>
      <c r="D50" s="1855"/>
      <c r="E50" s="1855"/>
      <c r="F50" s="1855"/>
      <c r="G50" s="1855"/>
      <c r="H50" s="1855"/>
      <c r="I50" s="1855"/>
      <c r="J50" s="1855"/>
    </row>
    <row r="51" spans="1:11" ht="12" customHeight="1" x14ac:dyDescent="0.3">
      <c r="A51" s="168"/>
      <c r="B51" s="417"/>
      <c r="C51" s="1855"/>
      <c r="D51" s="1855"/>
      <c r="E51" s="1855"/>
      <c r="F51" s="1855"/>
      <c r="G51" s="1855"/>
      <c r="H51" s="1855"/>
      <c r="I51" s="1855"/>
      <c r="J51" s="1855"/>
    </row>
    <row r="52" spans="1:11" ht="13.2" customHeight="1" thickBot="1" x14ac:dyDescent="0.4">
      <c r="A52" s="168"/>
      <c r="B52" s="793" t="s">
        <v>145</v>
      </c>
      <c r="C52" s="1414" t="str">
        <f>IF(AND(E11&lt;&gt;"",K84=1,K85=1),"Total Monthly RSU Income",
IF(AND(E11&lt;&gt;"",K84=1,K85=2),"Total Monthly RSU Income",
IF(AND(E11&lt;&gt;"",K84=2,K85=1),"Total Monthly RSU Income",
IF(AND(E11&lt;&gt;"",K84=2,K85=2),"Total Monthly RSU Income",
"Total Monthly RSU Income  (Section 1 needed)"))))</f>
        <v>Total Monthly RSU Income  (Section 1 needed)</v>
      </c>
      <c r="D52" s="1414"/>
      <c r="E52" s="1414"/>
      <c r="F52" s="1414"/>
      <c r="G52" s="1414"/>
      <c r="H52" s="1414"/>
      <c r="I52" s="1854">
        <f>IF(AND(E10="Freddie",K84=1,K85=1,I33&gt;0,I42&gt;0,K45=1),0,
IF(AND(E10="Freddie",K84=1,K85=1,I33&gt;0,I42&gt;0,K45=2),ROUNDDOWN((I42*I33)/I45,2),
IF(AND(E10="Freddie",K84=1,K85=1,I33&gt;0,I42&gt;0,K45=3),ROUNDDOWN((I42*I33)/24,2),
IF(AND(E10="Freddie",K84=1,K85=2,I42&gt;0,K45=1),0,
IF(AND(E10="Freddie",K84=1,K85=2,I42&gt;0,K45=2),ROUNDDOWN(I42/I45,2),
IF(AND(E10="Freddie",K84=1,K85=2,I42&gt;0,K45=3),ROUNDDOWN(I42/24,2),
IF(AND(E10="Freddie",K84=2,K85=1,I33&gt;0,I42&gt;0,K45=1),0,
IF(AND(E10="Freddie",K84=2,K85=1,I33&gt;0,I42&gt;0,K45=2),ROUNDDOWN((I42*I33)/12,2),
IF(AND(E10="Freddie",K84=2,K85=1,I33&gt;0,I42&gt;0,K45=3),ROUNDDOWN((I42*I33)/12,2),
IF(AND(E10="Freddie",K84=2,K85=2,I42&gt;0,K45=1),0,
IF(AND(E10="Freddie",K84=2,K85=2,I42&gt;0,K45=2),ROUNDDOWN(I42/12,2),
IF(AND(E10="Freddie",K84=2,K85=2,I42&gt;0,K45=3),ROUNDDOWN(I42/12,2),
IF(AND(E10="Fannie",K84=1,K85=1,I33&gt;0,I42&gt;0,K45=1),0,
IF(AND(E10="Fannie",K84=1,K85=1,I33&gt;0,I42&gt;0,K45=2),ROUNDDOWN((I42*I33)/I45,2),
IF(AND(E10="Fannie",K84=1,K85=1,I33&gt;0,I42&gt;0,K45=3),ROUNDDOWN((I42*I33)/24,2),
IF(AND(E10="Fannie",K84=1,K85=2,I42&gt;0,K45=1),0,
IF(AND(E10="Fannie",K84=1,K85=2,I42&gt;0,K45=2),ROUNDDOWN(I42/I45,2),
IF(AND(E10="Fannie",K84=1,K85=2,I42&gt;0,K45=3),ROUNDDOWN(I42/24,2),
IF(AND(E10="Fannie",K84=2,K85=1,I33&gt;0,I42&gt;0,K45=1),0,
IF(AND(E10="Fannie",K84=2,K85=1,I33&gt;0,I42&gt;0,K45=2),ROUNDDOWN((I42*I33)/I45,2),
IF(AND(E10="Fannie",K84=2,K85=1,I33&gt;0,I42&gt;0,K45=3),ROUNDDOWN((I42*I33)/24,2),
IF(AND(E10="Fannie",K84=2,K85=2,I42&gt;0,K45=1),0,
IF(AND(E10="Fannie",K84=2,K85=2,I42&gt;0,K45=2),ROUNDDOWN(I42/I45,2),
IF(AND(E10="Fannie",K84=2,K85=2,I42&gt;0,K45=3),ROUNDDOWN(I42/24,2),
0))))))))))))))))))))))))</f>
        <v>0</v>
      </c>
      <c r="J52" s="1854"/>
      <c r="K52" s="792">
        <f>IF(OR(J85=TRUE,D1&lt;&gt;""),0,I52)</f>
        <v>0</v>
      </c>
    </row>
    <row r="53" spans="1:11" ht="13.2" customHeight="1" thickTop="1" x14ac:dyDescent="0.35">
      <c r="A53" s="86"/>
      <c r="B53" s="417"/>
      <c r="C53" s="1184"/>
      <c r="D53" s="830"/>
      <c r="E53" s="531"/>
      <c r="G53" s="1185" t="str">
        <f>IF(AND(K83=TRUE,K84=1,K85=1),"(Section 3-1 times 52 week avg., divided by 24)",
IF(AND(K83=TRUE,K84=1,K85=2),"(Section 3-1 divided by 24)",
IF(AND(K83=TRUE,K84=2,K85=1),"(Section 3-1 times 52 week avg., divided by 12)",
IF(AND(K83=TRUE,K84=2,K85=2),"(Section 3-1 divided by 12)",
""))))</f>
        <v/>
      </c>
      <c r="H53" s="784"/>
      <c r="I53" s="784"/>
      <c r="J53" s="784"/>
      <c r="K53" s="783"/>
    </row>
    <row r="54" spans="1:11" ht="13.2" customHeight="1" x14ac:dyDescent="0.35">
      <c r="A54" s="86"/>
      <c r="B54" s="417"/>
      <c r="C54" s="1184"/>
      <c r="D54" s="830"/>
      <c r="E54" s="531"/>
      <c r="F54" s="785"/>
      <c r="H54" s="784"/>
      <c r="I54" s="784"/>
      <c r="J54" s="784"/>
      <c r="K54" s="783"/>
    </row>
    <row r="55" spans="1:11" ht="13.2" customHeight="1" x14ac:dyDescent="0.35">
      <c r="A55" s="86"/>
      <c r="B55" s="417"/>
      <c r="C55" s="1184"/>
      <c r="D55" s="830"/>
      <c r="E55" s="531"/>
      <c r="F55" s="782"/>
      <c r="H55" s="783"/>
      <c r="I55" s="783"/>
      <c r="J55" s="783"/>
      <c r="K55" s="783"/>
    </row>
    <row r="56" spans="1:11" ht="13.2" customHeight="1" x14ac:dyDescent="0.35">
      <c r="A56" s="86"/>
      <c r="B56" s="417"/>
      <c r="C56" s="1184"/>
      <c r="D56" s="830"/>
      <c r="E56" s="531"/>
      <c r="F56" s="783"/>
      <c r="G56" s="790"/>
      <c r="H56" s="1853" t="s">
        <v>1278</v>
      </c>
      <c r="I56" s="1853"/>
      <c r="J56" s="1853"/>
      <c r="K56" s="1853"/>
    </row>
    <row r="57" spans="1:11" ht="13.2" customHeight="1" x14ac:dyDescent="0.35">
      <c r="A57" s="168"/>
      <c r="B57" s="417"/>
      <c r="C57" s="1183"/>
      <c r="D57" s="830"/>
      <c r="E57" s="1175"/>
      <c r="F57" s="783"/>
      <c r="H57" s="1853"/>
      <c r="I57" s="1853"/>
      <c r="J57" s="1853"/>
      <c r="K57" s="1853"/>
    </row>
    <row r="58" spans="1:11" ht="13.2" customHeight="1" x14ac:dyDescent="0.3">
      <c r="A58" s="168"/>
      <c r="B58" s="417"/>
      <c r="C58" s="1183"/>
      <c r="D58" s="830"/>
      <c r="E58" s="1175"/>
      <c r="F58" s="782"/>
      <c r="G58" s="1177"/>
      <c r="H58" s="1853"/>
      <c r="I58" s="1853"/>
      <c r="J58" s="1853"/>
      <c r="K58" s="1853"/>
    </row>
    <row r="59" spans="1:11" ht="13.2" customHeight="1" x14ac:dyDescent="0.3">
      <c r="A59" s="86"/>
      <c r="B59" s="417"/>
      <c r="C59" s="1184"/>
      <c r="D59" s="830"/>
      <c r="E59" s="531"/>
      <c r="F59" s="782"/>
      <c r="G59" s="784"/>
      <c r="H59" s="784"/>
      <c r="I59" s="784"/>
      <c r="J59" s="784"/>
      <c r="K59" s="788"/>
    </row>
    <row r="60" spans="1:11" ht="13.2" customHeight="1" x14ac:dyDescent="0.3">
      <c r="A60" s="86"/>
      <c r="B60" s="417"/>
      <c r="C60" s="1184"/>
      <c r="D60" s="830"/>
      <c r="E60" s="531"/>
      <c r="F60" s="782"/>
      <c r="G60" s="787"/>
      <c r="H60" s="787"/>
      <c r="I60" s="787"/>
      <c r="J60" s="787"/>
      <c r="K60" s="788"/>
    </row>
    <row r="61" spans="1:11" ht="13.2" customHeight="1" x14ac:dyDescent="0.3">
      <c r="A61" s="86"/>
      <c r="B61" s="417"/>
      <c r="C61" s="1184"/>
      <c r="D61" s="830"/>
      <c r="E61" s="531"/>
      <c r="F61" s="782"/>
      <c r="G61" s="784"/>
      <c r="H61" s="784"/>
      <c r="I61" s="784"/>
      <c r="J61" s="784"/>
      <c r="K61" s="788"/>
    </row>
    <row r="62" spans="1:11" ht="13.2" customHeight="1" x14ac:dyDescent="0.3">
      <c r="A62" s="168"/>
      <c r="B62" s="417"/>
      <c r="C62" s="1183"/>
      <c r="D62" s="830"/>
      <c r="E62" s="1175"/>
      <c r="F62" s="782"/>
      <c r="H62" s="786"/>
      <c r="I62" s="2"/>
      <c r="J62" s="2"/>
      <c r="K62" s="2"/>
    </row>
    <row r="63" spans="1:11" ht="13.2" customHeight="1" x14ac:dyDescent="0.3">
      <c r="A63" s="168"/>
      <c r="B63" s="417"/>
      <c r="C63" s="1183"/>
      <c r="D63" s="830"/>
      <c r="E63" s="1175"/>
      <c r="F63" s="782"/>
      <c r="H63" s="786"/>
      <c r="I63" s="2"/>
      <c r="J63" s="2"/>
      <c r="K63" s="2"/>
    </row>
    <row r="64" spans="1:11" ht="13.2" customHeight="1" x14ac:dyDescent="0.3">
      <c r="A64" s="86"/>
      <c r="B64" s="417"/>
      <c r="C64" s="1184"/>
      <c r="D64" s="830"/>
      <c r="E64" s="531"/>
      <c r="F64" s="782"/>
      <c r="G64" s="784"/>
      <c r="H64" s="784"/>
      <c r="I64" s="784"/>
      <c r="J64" s="784"/>
      <c r="K64" s="788"/>
    </row>
    <row r="65" spans="1:11" ht="13.2" customHeight="1" x14ac:dyDescent="0.3">
      <c r="A65" s="86"/>
      <c r="B65" s="417"/>
      <c r="C65" s="1184"/>
      <c r="D65" s="830"/>
      <c r="E65" s="531"/>
      <c r="F65" s="782"/>
      <c r="G65" s="787"/>
      <c r="H65" s="787"/>
      <c r="I65" s="787"/>
      <c r="J65" s="787"/>
      <c r="K65" s="788"/>
    </row>
    <row r="66" spans="1:11" ht="13.2" customHeight="1" x14ac:dyDescent="0.3">
      <c r="A66" s="86"/>
      <c r="B66" s="417"/>
      <c r="C66" s="1183"/>
      <c r="D66" s="830"/>
      <c r="E66" s="531"/>
      <c r="F66" s="782"/>
      <c r="G66" s="787"/>
      <c r="H66" s="787"/>
      <c r="I66" s="787"/>
      <c r="J66" s="787"/>
      <c r="K66" s="788"/>
    </row>
    <row r="67" spans="1:11" ht="13.2" customHeight="1" x14ac:dyDescent="0.3">
      <c r="A67" s="86"/>
      <c r="B67" s="417"/>
      <c r="C67" s="1183"/>
      <c r="D67" s="830"/>
      <c r="E67" s="531"/>
      <c r="F67" s="782"/>
      <c r="G67" s="787"/>
      <c r="H67" s="787"/>
      <c r="I67" s="787"/>
      <c r="J67" s="787"/>
      <c r="K67" s="788"/>
    </row>
    <row r="68" spans="1:11" ht="13.2" customHeight="1" x14ac:dyDescent="0.3">
      <c r="A68" s="86"/>
      <c r="B68" s="417"/>
      <c r="C68" s="1183"/>
      <c r="D68" s="830"/>
      <c r="E68" s="531"/>
      <c r="F68" s="782"/>
      <c r="G68" s="784"/>
      <c r="H68" s="784"/>
      <c r="I68" s="784"/>
      <c r="J68" s="784"/>
      <c r="K68" s="788"/>
    </row>
    <row r="69" spans="1:11" ht="13.2" customHeight="1" x14ac:dyDescent="0.3">
      <c r="A69" s="168"/>
      <c r="B69" s="417"/>
      <c r="C69" s="1183"/>
      <c r="D69" s="830"/>
      <c r="E69" s="1175"/>
      <c r="F69" s="782"/>
      <c r="H69" s="786"/>
      <c r="I69" s="2"/>
      <c r="J69" s="2"/>
      <c r="K69" s="2"/>
    </row>
    <row r="70" spans="1:11" ht="13.2" customHeight="1" x14ac:dyDescent="0.3">
      <c r="A70" s="168"/>
      <c r="B70" s="417"/>
      <c r="C70" s="1183"/>
      <c r="D70" s="830"/>
      <c r="E70" s="1175"/>
      <c r="F70" s="782"/>
      <c r="H70" s="786"/>
      <c r="I70" s="2"/>
      <c r="J70" s="2"/>
      <c r="K70" s="2"/>
    </row>
    <row r="71" spans="1:11" ht="13.2" customHeight="1" x14ac:dyDescent="0.3">
      <c r="A71" s="86"/>
      <c r="B71" s="417"/>
      <c r="C71" s="1183"/>
      <c r="D71" s="830"/>
      <c r="E71" s="531"/>
      <c r="F71" s="782"/>
      <c r="G71" s="784"/>
      <c r="H71" s="784"/>
      <c r="I71" s="784"/>
      <c r="J71" s="784"/>
      <c r="K71" s="788"/>
    </row>
    <row r="72" spans="1:11" ht="13.2" customHeight="1" x14ac:dyDescent="0.3">
      <c r="A72" s="86"/>
      <c r="B72" s="417"/>
      <c r="C72" s="1183"/>
      <c r="D72" s="830"/>
      <c r="E72" s="531"/>
      <c r="F72" s="782"/>
      <c r="G72" s="787"/>
      <c r="H72" s="787"/>
      <c r="I72" s="787"/>
      <c r="J72" s="787"/>
      <c r="K72" s="788"/>
    </row>
    <row r="73" spans="1:11" ht="13.2" customHeight="1" x14ac:dyDescent="0.3">
      <c r="A73" s="86"/>
      <c r="B73" s="417"/>
      <c r="C73" s="1183"/>
      <c r="D73" s="830"/>
      <c r="E73" s="531"/>
      <c r="F73" s="782"/>
      <c r="G73" s="787"/>
      <c r="H73" s="787"/>
      <c r="I73" s="787"/>
      <c r="J73" s="787"/>
      <c r="K73" s="788"/>
    </row>
    <row r="74" spans="1:11" ht="13.2" customHeight="1" x14ac:dyDescent="0.3">
      <c r="A74" s="86"/>
      <c r="B74" s="417"/>
      <c r="C74" s="1183"/>
      <c r="D74" s="830"/>
      <c r="E74" s="531"/>
      <c r="F74" s="782"/>
      <c r="G74" s="787"/>
      <c r="H74" s="787"/>
      <c r="I74" s="787"/>
      <c r="J74" s="787"/>
      <c r="K74" s="788"/>
    </row>
    <row r="75" spans="1:11" ht="6" customHeight="1" x14ac:dyDescent="0.3">
      <c r="A75" s="34"/>
      <c r="B75" s="34"/>
      <c r="C75" s="34"/>
      <c r="D75" s="1186"/>
      <c r="E75" s="34"/>
      <c r="F75" s="782"/>
      <c r="G75" s="34"/>
      <c r="H75" s="34"/>
      <c r="I75" s="34"/>
      <c r="J75" s="34"/>
      <c r="K75" s="34"/>
    </row>
    <row r="76" spans="1:11" s="74" customFormat="1" ht="15.75" customHeight="1" x14ac:dyDescent="0.3">
      <c r="A76" s="173"/>
      <c r="B76" s="173"/>
      <c r="C76" s="99"/>
      <c r="D76" s="1186"/>
      <c r="E76" s="99"/>
      <c r="F76" s="782"/>
      <c r="G76" s="789"/>
      <c r="H76" s="789"/>
      <c r="I76" s="789"/>
      <c r="J76" s="789"/>
      <c r="K76" s="99"/>
    </row>
    <row r="77" spans="1:11" s="74" customFormat="1" ht="15.75" customHeight="1" x14ac:dyDescent="0.3">
      <c r="A77" s="173"/>
      <c r="B77" s="173"/>
      <c r="C77" s="99"/>
      <c r="D77" s="1187"/>
      <c r="E77" s="99"/>
      <c r="F77" s="782"/>
      <c r="G77" s="789"/>
      <c r="H77" s="789"/>
      <c r="I77" s="789"/>
      <c r="J77" s="789"/>
      <c r="K77" s="99"/>
    </row>
    <row r="78" spans="1:11" s="74" customFormat="1" ht="15.75" customHeight="1" x14ac:dyDescent="0.3">
      <c r="A78" s="173"/>
      <c r="B78" s="173"/>
      <c r="C78" s="99"/>
      <c r="D78" s="1187"/>
      <c r="E78" s="99"/>
      <c r="F78" s="782"/>
      <c r="G78" s="789"/>
      <c r="H78" s="789"/>
      <c r="I78" s="789"/>
      <c r="J78" s="789"/>
      <c r="K78" s="99"/>
    </row>
    <row r="79" spans="1:11" ht="15.75" customHeight="1" x14ac:dyDescent="0.3">
      <c r="A79" s="1494" t="s">
        <v>1074</v>
      </c>
      <c r="B79" s="1494"/>
      <c r="C79" s="1494"/>
      <c r="D79" s="1494"/>
      <c r="E79" s="19"/>
      <c r="F79" s="19"/>
      <c r="G79" s="19"/>
      <c r="H79" s="19"/>
      <c r="I79" s="19"/>
      <c r="J79" s="19"/>
      <c r="K79" s="19"/>
    </row>
    <row r="80" spans="1:11" ht="15.75" customHeight="1" x14ac:dyDescent="0.3">
      <c r="A80" s="1325"/>
      <c r="B80" s="1325"/>
      <c r="C80" s="1325"/>
      <c r="D80" s="1325"/>
      <c r="E80" s="1325"/>
      <c r="F80" s="1325"/>
      <c r="G80" s="1325"/>
      <c r="H80" s="1325"/>
      <c r="I80" s="1325"/>
      <c r="J80" s="1325"/>
      <c r="K80" s="1325"/>
    </row>
    <row r="81" spans="1:11" ht="15.75" customHeight="1" x14ac:dyDescent="0.3">
      <c r="A81" s="1325"/>
      <c r="B81" s="1325"/>
      <c r="C81" s="1325"/>
      <c r="D81" s="1325"/>
      <c r="E81" s="1325"/>
      <c r="F81" s="1325"/>
      <c r="G81" s="1325"/>
      <c r="H81" s="1325"/>
      <c r="I81" s="1325"/>
      <c r="J81" s="1325"/>
      <c r="K81" s="1325"/>
    </row>
    <row r="82" spans="1:11" ht="15.75" customHeight="1" x14ac:dyDescent="0.3">
      <c r="A82" s="1325"/>
      <c r="B82" s="1325"/>
      <c r="C82" s="1325"/>
      <c r="D82" s="1325"/>
      <c r="E82" s="1325"/>
      <c r="F82" s="1325"/>
      <c r="G82" s="1325"/>
      <c r="H82" s="1325"/>
      <c r="I82" s="1325"/>
      <c r="J82" s="1325"/>
      <c r="K82" s="1325"/>
    </row>
    <row r="83" spans="1:11" ht="6.6" hidden="1" customHeight="1" x14ac:dyDescent="0.3">
      <c r="A83" s="1070"/>
      <c r="K83" s="1046" t="b">
        <v>0</v>
      </c>
    </row>
    <row r="84" spans="1:11" hidden="1" x14ac:dyDescent="0.3">
      <c r="J84" s="1046" t="b">
        <v>0</v>
      </c>
      <c r="K84" s="1046">
        <v>0</v>
      </c>
    </row>
    <row r="85" spans="1:11" ht="15" hidden="1" customHeight="1" x14ac:dyDescent="0.3">
      <c r="I85" s="1190" t="str">
        <f>IF(AND(H9&lt;&gt;"",RSUOmit&lt;&gt;TRUE),"E","")</f>
        <v/>
      </c>
      <c r="J85" s="1046" t="b">
        <v>0</v>
      </c>
      <c r="K85" s="1046">
        <v>0</v>
      </c>
    </row>
    <row r="86" spans="1:11" ht="18" hidden="1" customHeight="1" x14ac:dyDescent="0.3">
      <c r="A86" s="1851" t="str">
        <f ca="1">REPLACE(CELL("filename",A86),1,FIND("]",CELL("filename",A86)),"")</f>
        <v>RSU Income</v>
      </c>
      <c r="B86" s="1851"/>
      <c r="C86" s="1851"/>
    </row>
    <row r="87" spans="1:11" ht="20.399999999999999" customHeight="1" x14ac:dyDescent="0.3"/>
    <row r="89" spans="1:11" ht="22.8" customHeight="1" x14ac:dyDescent="0.3">
      <c r="J89" s="1419" t="str">
        <f>Version</f>
        <v>Version 2026.1</v>
      </c>
      <c r="K89" s="1419"/>
    </row>
    <row r="90" spans="1:11" ht="69" customHeight="1" x14ac:dyDescent="0.3"/>
  </sheetData>
  <sheetProtection algorithmName="SHA-512" hashValue="pssGoborJWZU1kWsmqjHu98lb/Xnv2jNZ7BqsgZIjXuPocEsIz5xFPYsMeplmJoKMDOUmQcbpTgGs0SYHhJBtA==" saltValue="1Cu+irNGJ01145dq3RW/Qw==" spinCount="100000" sheet="1" objects="1" scenarios="1" selectLockedCells="1"/>
  <mergeCells count="50">
    <mergeCell ref="B28:K28"/>
    <mergeCell ref="B29:K29"/>
    <mergeCell ref="J89:K89"/>
    <mergeCell ref="A86:C86"/>
    <mergeCell ref="A80:K82"/>
    <mergeCell ref="A79:D79"/>
    <mergeCell ref="G38:H38"/>
    <mergeCell ref="I45:J45"/>
    <mergeCell ref="H56:K58"/>
    <mergeCell ref="I52:J52"/>
    <mergeCell ref="I42:J42"/>
    <mergeCell ref="C52:H52"/>
    <mergeCell ref="C46:J51"/>
    <mergeCell ref="B40:J41"/>
    <mergeCell ref="C42:H44"/>
    <mergeCell ref="C45:H45"/>
    <mergeCell ref="D1:H1"/>
    <mergeCell ref="B12:F12"/>
    <mergeCell ref="E10:G10"/>
    <mergeCell ref="H9:J11"/>
    <mergeCell ref="G13:I14"/>
    <mergeCell ref="F13:F14"/>
    <mergeCell ref="A2:K2"/>
    <mergeCell ref="A3:K3"/>
    <mergeCell ref="A6:B6"/>
    <mergeCell ref="B9:D9"/>
    <mergeCell ref="C6:F6"/>
    <mergeCell ref="B10:D10"/>
    <mergeCell ref="B13:E14"/>
    <mergeCell ref="B16:G16"/>
    <mergeCell ref="E17:E18"/>
    <mergeCell ref="F17:H18"/>
    <mergeCell ref="B17:D18"/>
    <mergeCell ref="B21:K21"/>
    <mergeCell ref="B22:K22"/>
    <mergeCell ref="B23:K23"/>
    <mergeCell ref="B25:K25"/>
    <mergeCell ref="B26:K26"/>
    <mergeCell ref="G37:H37"/>
    <mergeCell ref="G34:H34"/>
    <mergeCell ref="I33:J33"/>
    <mergeCell ref="I37:J37"/>
    <mergeCell ref="F35:K35"/>
    <mergeCell ref="I34:J34"/>
    <mergeCell ref="B30:K30"/>
    <mergeCell ref="B31:K31"/>
    <mergeCell ref="B32:K32"/>
    <mergeCell ref="B24:K24"/>
    <mergeCell ref="B33:H33"/>
    <mergeCell ref="B27:K27"/>
  </mergeCells>
  <conditionalFormatting sqref="G76:G78">
    <cfRule type="expression" dxfId="1062" priority="143" stopIfTrue="1">
      <formula>#REF!=2</formula>
    </cfRule>
  </conditionalFormatting>
  <conditionalFormatting sqref="G56">
    <cfRule type="expression" dxfId="1061" priority="124" stopIfTrue="1">
      <formula>#REF!=2</formula>
    </cfRule>
  </conditionalFormatting>
  <conditionalFormatting sqref="G59:G60">
    <cfRule type="expression" dxfId="1060" priority="81" stopIfTrue="1">
      <formula>#REF!=2</formula>
    </cfRule>
  </conditionalFormatting>
  <conditionalFormatting sqref="G61">
    <cfRule type="expression" dxfId="1059" priority="76" stopIfTrue="1">
      <formula>#REF!=2</formula>
    </cfRule>
  </conditionalFormatting>
  <conditionalFormatting sqref="G64:G67">
    <cfRule type="expression" dxfId="1058" priority="73" stopIfTrue="1">
      <formula>#REF!=2</formula>
    </cfRule>
  </conditionalFormatting>
  <conditionalFormatting sqref="G68">
    <cfRule type="expression" dxfId="1057" priority="66" stopIfTrue="1">
      <formula>#REF!=2</formula>
    </cfRule>
  </conditionalFormatting>
  <conditionalFormatting sqref="G71:G74">
    <cfRule type="expression" dxfId="1056" priority="63" stopIfTrue="1">
      <formula>#REF!=2</formula>
    </cfRule>
  </conditionalFormatting>
  <conditionalFormatting sqref="B40 F54:F55 B42 F58:F78">
    <cfRule type="expression" dxfId="1055" priority="1748">
      <formula>#REF!=2</formula>
    </cfRule>
  </conditionalFormatting>
  <conditionalFormatting sqref="B40 F54:F55 B42 F58:F78">
    <cfRule type="expression" dxfId="1054" priority="1753">
      <formula>#REF!=3</formula>
    </cfRule>
  </conditionalFormatting>
  <conditionalFormatting sqref="F54">
    <cfRule type="expression" dxfId="1053" priority="59">
      <formula>#REF!=2</formula>
    </cfRule>
  </conditionalFormatting>
  <conditionalFormatting sqref="F54">
    <cfRule type="expression" dxfId="1052" priority="60">
      <formula>#REF!=3</formula>
    </cfRule>
  </conditionalFormatting>
  <conditionalFormatting sqref="F56:F57">
    <cfRule type="expression" dxfId="1051" priority="57">
      <formula>#REF!=2</formula>
    </cfRule>
  </conditionalFormatting>
  <conditionalFormatting sqref="F56:F57">
    <cfRule type="expression" dxfId="1050" priority="58">
      <formula>#REF!=3</formula>
    </cfRule>
  </conditionalFormatting>
  <conditionalFormatting sqref="F35:F36 F37:G37 H36 G38 K36:K37 F34:G34 K33:K34 B22:B32">
    <cfRule type="expression" dxfId="1049" priority="41">
      <formula>$K$85=2</formula>
    </cfRule>
  </conditionalFormatting>
  <conditionalFormatting sqref="G12:K12 G11">
    <cfRule type="expression" dxfId="1048" priority="39">
      <formula>$G$11&lt;&gt;""</formula>
    </cfRule>
  </conditionalFormatting>
  <conditionalFormatting sqref="B10 E10:E11">
    <cfRule type="expression" dxfId="1047" priority="38">
      <formula>$G$11&lt;&gt;""</formula>
    </cfRule>
  </conditionalFormatting>
  <conditionalFormatting sqref="I42:J42">
    <cfRule type="expression" dxfId="1046" priority="37">
      <formula>$K$85=1</formula>
    </cfRule>
  </conditionalFormatting>
  <conditionalFormatting sqref="B52">
    <cfRule type="expression" dxfId="1045" priority="35">
      <formula>#REF!=2</formula>
    </cfRule>
  </conditionalFormatting>
  <conditionalFormatting sqref="B52">
    <cfRule type="expression" dxfId="1044" priority="36">
      <formula>#REF!=3</formula>
    </cfRule>
  </conditionalFormatting>
  <conditionalFormatting sqref="H9">
    <cfRule type="expression" dxfId="1043" priority="30">
      <formula>$H$9&lt;&gt;""</formula>
    </cfRule>
  </conditionalFormatting>
  <conditionalFormatting sqref="I52:J52">
    <cfRule type="expression" dxfId="1042" priority="1">
      <formula>$K$45=1</formula>
    </cfRule>
    <cfRule type="expression" dxfId="1041" priority="1838">
      <formula>AND($I$52&gt;0,$D$1&lt;&gt;"")</formula>
    </cfRule>
    <cfRule type="expression" dxfId="1040" priority="1839">
      <formula>$J$85</formula>
    </cfRule>
  </conditionalFormatting>
  <conditionalFormatting sqref="D1:H1">
    <cfRule type="expression" dxfId="1039" priority="29">
      <formula>$D$1&lt;&gt;""</formula>
    </cfRule>
  </conditionalFormatting>
  <conditionalFormatting sqref="B21">
    <cfRule type="expression" dxfId="1038" priority="17">
      <formula>$K$85=2</formula>
    </cfRule>
  </conditionalFormatting>
  <conditionalFormatting sqref="B45">
    <cfRule type="expression" dxfId="1037" priority="6">
      <formula>#REF!=2</formula>
    </cfRule>
  </conditionalFormatting>
  <conditionalFormatting sqref="B45">
    <cfRule type="expression" dxfId="1036" priority="7">
      <formula>#REF!=3</formula>
    </cfRule>
  </conditionalFormatting>
  <conditionalFormatting sqref="I45:J45">
    <cfRule type="expression" dxfId="1035" priority="5">
      <formula>$K$85=1</formula>
    </cfRule>
  </conditionalFormatting>
  <conditionalFormatting sqref="H56:K58">
    <cfRule type="expression" dxfId="1034" priority="2">
      <formula>AND(A86&lt;&gt;"RSU Income",A86&lt;&gt;"RSU Income (2)",A86&lt;&gt;"RSU Income (3)")</formula>
    </cfRule>
  </conditionalFormatting>
  <conditionalFormatting sqref="F35:K35">
    <cfRule type="expression" dxfId="1033" priority="2383">
      <formula>$E$11="Fannie"</formula>
    </cfRule>
    <cfRule type="expression" dxfId="1032" priority="2384">
      <formula>$F$35&lt;&gt;""</formula>
    </cfRule>
  </conditionalFormatting>
  <conditionalFormatting sqref="F35:K36 F37:G38 I38:K38 F34:H34 K34 K37">
    <cfRule type="expression" dxfId="1031" priority="2391">
      <formula>$E$11="Fannie"</formula>
    </cfRule>
  </conditionalFormatting>
  <conditionalFormatting sqref="I33:J33 B33">
    <cfRule type="expression" dxfId="1030" priority="2394">
      <formula>AND($E$11="Fannie",$K$85=2)</formula>
    </cfRule>
  </conditionalFormatting>
  <conditionalFormatting sqref="B32">
    <cfRule type="expression" dxfId="1029" priority="2398">
      <formula>$E$11&lt;&gt;"Fannie"</formula>
    </cfRule>
  </conditionalFormatting>
  <conditionalFormatting sqref="I33:J33">
    <cfRule type="expression" dxfId="1028" priority="2399">
      <formula>AND($E$11="Fannie",$K$85=2)</formula>
    </cfRule>
  </conditionalFormatting>
  <dataValidations disablePrompts="1" count="2">
    <dataValidation type="list" allowBlank="1" showInputMessage="1" showErrorMessage="1" sqref="I45:J45" xr:uid="{446288D4-5840-4283-AD51-D4931F70085E}">
      <formula1>"Less than 12 months,12,13,14,15,16,17,18,19,20,21,22,23,24 or more"</formula1>
    </dataValidation>
    <dataValidation type="list" allowBlank="1" showInputMessage="1" showErrorMessage="1" sqref="E10" xr:uid="{44222FDB-759D-4380-A160-E069CB074CF3}">
      <formula1>"Fannie,Freddie"</formula1>
    </dataValidation>
  </dataValidations>
  <printOptions horizontalCentered="1"/>
  <pageMargins left="0.25" right="0.30092592592592599" top="0.25" bottom="0.25" header="0.3" footer="0.3"/>
  <pageSetup paperSize="5"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8120" r:id="rId4" name="Check Box 8">
              <controlPr defaultSize="0" autoFill="0" autoLine="0" autoPict="0">
                <anchor moveWithCells="1">
                  <from>
                    <xdr:col>8</xdr:col>
                    <xdr:colOff>7620</xdr:colOff>
                    <xdr:row>52</xdr:row>
                    <xdr:rowOff>53340</xdr:rowOff>
                  </from>
                  <to>
                    <xdr:col>10</xdr:col>
                    <xdr:colOff>60960</xdr:colOff>
                    <xdr:row>53</xdr:row>
                    <xdr:rowOff>99060</xdr:rowOff>
                  </to>
                </anchor>
              </controlPr>
            </control>
          </mc:Choice>
        </mc:AlternateContent>
        <mc:AlternateContent xmlns:mc="http://schemas.openxmlformats.org/markup-compatibility/2006">
          <mc:Choice Requires="x14">
            <control shapeId="858126" r:id="rId5" name="Option Button 14">
              <controlPr defaultSize="0" autoFill="0" autoLine="0" autoPict="0">
                <anchor moveWithCells="1">
                  <from>
                    <xdr:col>1</xdr:col>
                    <xdr:colOff>441960</xdr:colOff>
                    <xdr:row>12</xdr:row>
                    <xdr:rowOff>30480</xdr:rowOff>
                  </from>
                  <to>
                    <xdr:col>4</xdr:col>
                    <xdr:colOff>190500</xdr:colOff>
                    <xdr:row>13</xdr:row>
                    <xdr:rowOff>160020</xdr:rowOff>
                  </to>
                </anchor>
              </controlPr>
            </control>
          </mc:Choice>
        </mc:AlternateContent>
        <mc:AlternateContent xmlns:mc="http://schemas.openxmlformats.org/markup-compatibility/2006">
          <mc:Choice Requires="x14">
            <control shapeId="858127" r:id="rId6" name="Option Button 15">
              <controlPr defaultSize="0" autoFill="0" autoLine="0" autoPict="0">
                <anchor moveWithCells="1">
                  <from>
                    <xdr:col>6</xdr:col>
                    <xdr:colOff>441960</xdr:colOff>
                    <xdr:row>12</xdr:row>
                    <xdr:rowOff>22860</xdr:rowOff>
                  </from>
                  <to>
                    <xdr:col>8</xdr:col>
                    <xdr:colOff>289560</xdr:colOff>
                    <xdr:row>13</xdr:row>
                    <xdr:rowOff>175260</xdr:rowOff>
                  </to>
                </anchor>
              </controlPr>
            </control>
          </mc:Choice>
        </mc:AlternateContent>
        <mc:AlternateContent xmlns:mc="http://schemas.openxmlformats.org/markup-compatibility/2006">
          <mc:Choice Requires="x14">
            <control shapeId="858128" r:id="rId7" name="Option Button 16">
              <controlPr defaultSize="0" autoFill="0" autoLine="0" autoPict="0">
                <anchor moveWithCells="1">
                  <from>
                    <xdr:col>1</xdr:col>
                    <xdr:colOff>441960</xdr:colOff>
                    <xdr:row>16</xdr:row>
                    <xdr:rowOff>30480</xdr:rowOff>
                  </from>
                  <to>
                    <xdr:col>3</xdr:col>
                    <xdr:colOff>929640</xdr:colOff>
                    <xdr:row>17</xdr:row>
                    <xdr:rowOff>167640</xdr:rowOff>
                  </to>
                </anchor>
              </controlPr>
            </control>
          </mc:Choice>
        </mc:AlternateContent>
        <mc:AlternateContent xmlns:mc="http://schemas.openxmlformats.org/markup-compatibility/2006">
          <mc:Choice Requires="x14">
            <control shapeId="858129" r:id="rId8" name="Option Button 17">
              <controlPr defaultSize="0" autoFill="0" autoLine="0" autoPict="0">
                <anchor moveWithCells="1">
                  <from>
                    <xdr:col>4</xdr:col>
                    <xdr:colOff>579120</xdr:colOff>
                    <xdr:row>16</xdr:row>
                    <xdr:rowOff>22860</xdr:rowOff>
                  </from>
                  <to>
                    <xdr:col>7</xdr:col>
                    <xdr:colOff>1767840</xdr:colOff>
                    <xdr:row>17</xdr:row>
                    <xdr:rowOff>167640</xdr:rowOff>
                  </to>
                </anchor>
              </controlPr>
            </control>
          </mc:Choice>
        </mc:AlternateContent>
        <mc:AlternateContent xmlns:mc="http://schemas.openxmlformats.org/markup-compatibility/2006">
          <mc:Choice Requires="x14">
            <control shapeId="858131" r:id="rId9" name="Group Box 19">
              <controlPr defaultSize="0" autoFill="0" autoPict="0">
                <anchor moveWithCells="1">
                  <from>
                    <xdr:col>1</xdr:col>
                    <xdr:colOff>243840</xdr:colOff>
                    <xdr:row>16</xdr:row>
                    <xdr:rowOff>22860</xdr:rowOff>
                  </from>
                  <to>
                    <xdr:col>8</xdr:col>
                    <xdr:colOff>320040</xdr:colOff>
                    <xdr:row>18</xdr:row>
                    <xdr:rowOff>76200</xdr:rowOff>
                  </to>
                </anchor>
              </controlPr>
            </control>
          </mc:Choice>
        </mc:AlternateContent>
        <mc:AlternateContent xmlns:mc="http://schemas.openxmlformats.org/markup-compatibility/2006">
          <mc:Choice Requires="x14">
            <control shapeId="858132" r:id="rId10" name="Group Box 20">
              <controlPr defaultSize="0" autoFill="0" autoPict="0">
                <anchor moveWithCells="1">
                  <from>
                    <xdr:col>1</xdr:col>
                    <xdr:colOff>243840</xdr:colOff>
                    <xdr:row>12</xdr:row>
                    <xdr:rowOff>45720</xdr:rowOff>
                  </from>
                  <to>
                    <xdr:col>9</xdr:col>
                    <xdr:colOff>38100</xdr:colOff>
                    <xdr:row>14</xdr:row>
                    <xdr:rowOff>68580</xdr:rowOff>
                  </to>
                </anchor>
              </controlPr>
            </control>
          </mc:Choice>
        </mc:AlternateContent>
        <mc:AlternateContent xmlns:mc="http://schemas.openxmlformats.org/markup-compatibility/2006">
          <mc:Choice Requires="x14">
            <control shapeId="858133" r:id="rId11" name="Button 21">
              <controlPr defaultSize="0" print="0" autoFill="0" autoPict="0" macro="[0]!IW_Copy">
                <anchor moveWithCells="1" sizeWithCells="1">
                  <from>
                    <xdr:col>1</xdr:col>
                    <xdr:colOff>259080</xdr:colOff>
                    <xdr:row>0</xdr:row>
                    <xdr:rowOff>7620</xdr:rowOff>
                  </from>
                  <to>
                    <xdr:col>2</xdr:col>
                    <xdr:colOff>106680</xdr:colOff>
                    <xdr:row>1</xdr:row>
                    <xdr:rowOff>114300</xdr:rowOff>
                  </to>
                </anchor>
              </controlPr>
            </control>
          </mc:Choice>
        </mc:AlternateContent>
        <mc:AlternateContent xmlns:mc="http://schemas.openxmlformats.org/markup-compatibility/2006">
          <mc:Choice Requires="x14">
            <control shapeId="858134" r:id="rId12" name="Button 22">
              <controlPr defaultSize="0" print="0" autoFill="0" autoPict="0" macro="[0]!IW_Home">
                <anchor moveWithCells="1" sizeWithCells="1">
                  <from>
                    <xdr:col>0</xdr:col>
                    <xdr:colOff>0</xdr:colOff>
                    <xdr:row>0</xdr:row>
                    <xdr:rowOff>7620</xdr:rowOff>
                  </from>
                  <to>
                    <xdr:col>1</xdr:col>
                    <xdr:colOff>205740</xdr:colOff>
                    <xdr:row>1</xdr:row>
                    <xdr:rowOff>114300</xdr:rowOff>
                  </to>
                </anchor>
              </controlPr>
            </control>
          </mc:Choice>
        </mc:AlternateContent>
        <mc:AlternateContent xmlns:mc="http://schemas.openxmlformats.org/markup-compatibility/2006">
          <mc:Choice Requires="x14">
            <control shapeId="858135" r:id="rId13" name="Button 23">
              <controlPr defaultSize="0" print="0" autoFill="0" autoPict="0" macro="[0]!RSU_Clear">
                <anchor moveWithCells="1" sizeWithCells="1">
                  <from>
                    <xdr:col>2</xdr:col>
                    <xdr:colOff>167640</xdr:colOff>
                    <xdr:row>0</xdr:row>
                    <xdr:rowOff>7620</xdr:rowOff>
                  </from>
                  <to>
                    <xdr:col>2</xdr:col>
                    <xdr:colOff>601980</xdr:colOff>
                    <xdr:row>1</xdr:row>
                    <xdr:rowOff>114300</xdr:rowOff>
                  </to>
                </anchor>
              </controlPr>
            </control>
          </mc:Choice>
        </mc:AlternateContent>
        <mc:AlternateContent xmlns:mc="http://schemas.openxmlformats.org/markup-compatibility/2006">
          <mc:Choice Requires="x14">
            <control shapeId="858136" r:id="rId14" name="Button 24">
              <controlPr defaultSize="0" print="0" autoFill="0" autoPict="0" macro="[0]!RSU_OmitHide">
                <anchor moveWithCells="1" sizeWithCells="1">
                  <from>
                    <xdr:col>0</xdr:col>
                    <xdr:colOff>7620</xdr:colOff>
                    <xdr:row>1</xdr:row>
                    <xdr:rowOff>175260</xdr:rowOff>
                  </from>
                  <to>
                    <xdr:col>2</xdr:col>
                    <xdr:colOff>15240</xdr:colOff>
                    <xdr:row>2</xdr:row>
                    <xdr:rowOff>7620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5246F-5B0E-4222-9080-BB2F34FE3577}">
  <sheetPr codeName="Sheet36">
    <tabColor rgb="FFFFDDAB"/>
    <pageSetUpPr fitToPage="1"/>
  </sheetPr>
  <dimension ref="A2:X71"/>
  <sheetViews>
    <sheetView showGridLines="0" showRowColHeaders="0" showRuler="0" view="pageLayout" zoomScale="90" zoomScaleNormal="100" zoomScalePageLayoutView="90" workbookViewId="0">
      <selection activeCell="D6" sqref="D6:K6"/>
    </sheetView>
  </sheetViews>
  <sheetFormatPr defaultColWidth="9.109375" defaultRowHeight="14.4" x14ac:dyDescent="0.3"/>
  <cols>
    <col min="1" max="1" width="2.44140625" style="15" customWidth="1"/>
    <col min="2" max="2" width="5.88671875" style="15" customWidth="1"/>
    <col min="3" max="3" width="3.33203125" customWidth="1"/>
    <col min="4" max="4" width="0.6640625" customWidth="1"/>
    <col min="5" max="5" width="14.109375" customWidth="1"/>
    <col min="6" max="6" width="1.88671875" customWidth="1"/>
    <col min="7" max="7" width="11.109375" customWidth="1"/>
    <col min="8" max="8" width="0.5546875" customWidth="1"/>
    <col min="9" max="9" width="1.88671875" customWidth="1"/>
    <col min="10" max="10" width="4" customWidth="1"/>
    <col min="11" max="11" width="6.44140625" customWidth="1"/>
    <col min="12" max="12" width="1.33203125" customWidth="1"/>
    <col min="13" max="13" width="8.109375" customWidth="1"/>
    <col min="14" max="14" width="1.21875" customWidth="1"/>
    <col min="15" max="15" width="7.77734375" customWidth="1"/>
    <col min="16" max="16" width="1.33203125" customWidth="1"/>
    <col min="17" max="17" width="7.77734375" customWidth="1"/>
    <col min="18" max="18" width="1.21875" customWidth="1"/>
    <col min="19" max="19" width="7.77734375" customWidth="1"/>
    <col min="20" max="20" width="1.33203125" customWidth="1"/>
    <col min="21" max="21" width="7.88671875" customWidth="1"/>
    <col min="22" max="22" width="1.33203125" customWidth="1"/>
    <col min="23" max="23" width="7.77734375" customWidth="1"/>
    <col min="24" max="24" width="1.33203125" customWidth="1"/>
  </cols>
  <sheetData>
    <row r="2" spans="1:24" ht="36" customHeight="1" x14ac:dyDescent="0.5">
      <c r="A2" s="1321" t="s">
        <v>1022</v>
      </c>
      <c r="B2" s="1321"/>
      <c r="C2" s="1321"/>
      <c r="D2" s="1321"/>
      <c r="E2" s="1321"/>
      <c r="F2" s="1321"/>
      <c r="G2" s="1321"/>
      <c r="H2" s="1321"/>
      <c r="I2" s="1321"/>
      <c r="J2" s="1321"/>
      <c r="K2" s="1321"/>
      <c r="L2" s="1321"/>
      <c r="M2" s="1321"/>
      <c r="N2" s="1321"/>
      <c r="O2" s="1321"/>
      <c r="P2" s="1321"/>
      <c r="Q2" s="1321"/>
      <c r="R2" s="1321"/>
      <c r="S2" s="1321"/>
      <c r="T2" s="1321"/>
      <c r="U2" s="1321"/>
      <c r="V2" s="1321"/>
      <c r="W2" s="1321"/>
      <c r="X2" s="1321"/>
    </row>
    <row r="3" spans="1:24" ht="23.4" x14ac:dyDescent="0.45">
      <c r="A3" s="1409" t="s">
        <v>1023</v>
      </c>
      <c r="B3" s="1409"/>
      <c r="C3" s="1409"/>
      <c r="D3" s="1409"/>
      <c r="E3" s="1409"/>
      <c r="F3" s="1409"/>
      <c r="G3" s="1409"/>
      <c r="H3" s="1409"/>
      <c r="I3" s="1409"/>
      <c r="J3" s="1409"/>
      <c r="K3" s="1409"/>
      <c r="L3" s="1409"/>
      <c r="M3" s="1409"/>
      <c r="N3" s="1409"/>
      <c r="O3" s="1409"/>
      <c r="P3" s="1409"/>
      <c r="Q3" s="1409"/>
      <c r="R3" s="1409"/>
      <c r="S3" s="1409"/>
      <c r="T3" s="1409"/>
      <c r="U3" s="1409"/>
      <c r="V3" s="1409"/>
      <c r="W3" s="1409"/>
      <c r="X3" s="1409"/>
    </row>
    <row r="4" spans="1:24" ht="15.75" customHeight="1" x14ac:dyDescent="0.3">
      <c r="M4" s="1509">
        <f>IF(U68=TRUE,0,M22)</f>
        <v>1200</v>
      </c>
      <c r="N4" s="1509"/>
      <c r="O4" s="1768" t="s">
        <v>974</v>
      </c>
      <c r="P4" s="1768"/>
      <c r="Q4" s="1768"/>
      <c r="R4" s="1768"/>
      <c r="S4" s="1768"/>
      <c r="T4" s="1768"/>
      <c r="U4" s="1768"/>
      <c r="V4" s="1768"/>
      <c r="W4" s="1768"/>
      <c r="X4" s="1768"/>
    </row>
    <row r="5" spans="1:24" ht="15.6" x14ac:dyDescent="0.3">
      <c r="A5"/>
      <c r="B5"/>
      <c r="D5" s="2"/>
      <c r="E5" s="2"/>
      <c r="F5" s="2"/>
      <c r="G5" s="2"/>
      <c r="H5" s="2"/>
      <c r="I5" s="2"/>
      <c r="J5" s="2"/>
      <c r="K5" s="2"/>
      <c r="L5" s="2"/>
      <c r="M5" s="1509">
        <f>IF(U69=TRUE,0,Q22)</f>
        <v>5000</v>
      </c>
      <c r="N5" s="1509"/>
      <c r="O5" s="1768"/>
      <c r="P5" s="1768"/>
      <c r="Q5" s="1768"/>
      <c r="R5" s="1768"/>
      <c r="S5" s="1768"/>
      <c r="T5" s="1768"/>
      <c r="U5" s="1768"/>
      <c r="V5" s="1768"/>
      <c r="W5" s="1768"/>
      <c r="X5" s="1768"/>
    </row>
    <row r="6" spans="1:24" ht="15.6" x14ac:dyDescent="0.3">
      <c r="A6" s="1407" t="s">
        <v>37</v>
      </c>
      <c r="B6" s="1407"/>
      <c r="C6" s="1407"/>
      <c r="D6" s="1359"/>
      <c r="E6" s="1359"/>
      <c r="F6" s="1359"/>
      <c r="G6" s="1359"/>
      <c r="H6" s="1359"/>
      <c r="I6" s="1359"/>
      <c r="J6" s="1359"/>
      <c r="K6" s="1359"/>
      <c r="L6" s="52"/>
      <c r="M6" s="1509">
        <f>IF(U70=TRUE,0,U22)</f>
        <v>5000</v>
      </c>
      <c r="N6" s="1509"/>
      <c r="O6" s="1768"/>
      <c r="P6" s="1768"/>
      <c r="Q6" s="1768"/>
      <c r="R6" s="1768"/>
      <c r="S6" s="1768"/>
      <c r="T6" s="1768"/>
      <c r="U6" s="1768"/>
      <c r="V6" s="1768"/>
      <c r="W6" s="1768"/>
      <c r="X6" s="1768"/>
    </row>
    <row r="7" spans="1:24" ht="6" customHeight="1" x14ac:dyDescent="0.3">
      <c r="A7"/>
      <c r="B7"/>
      <c r="D7" s="66"/>
      <c r="E7" s="66"/>
      <c r="F7" s="66"/>
      <c r="G7" s="66"/>
      <c r="H7" s="66"/>
      <c r="I7" s="66"/>
      <c r="J7" s="66"/>
      <c r="K7" s="66"/>
      <c r="L7" s="46"/>
      <c r="M7" s="46"/>
      <c r="N7" s="2"/>
      <c r="O7" s="500"/>
      <c r="P7" s="500"/>
      <c r="Q7" s="500"/>
      <c r="R7" s="500"/>
      <c r="S7" s="500"/>
      <c r="T7" s="500"/>
      <c r="U7" s="500"/>
      <c r="V7" s="500"/>
      <c r="W7" s="500"/>
      <c r="X7" s="45"/>
    </row>
    <row r="8" spans="1:24" ht="15.6" x14ac:dyDescent="0.3">
      <c r="A8" s="34"/>
      <c r="B8" s="34"/>
      <c r="C8" s="34"/>
      <c r="D8" s="114"/>
      <c r="E8" s="114"/>
      <c r="F8" s="114"/>
      <c r="G8" s="114"/>
      <c r="H8" s="114"/>
      <c r="I8" s="114"/>
      <c r="J8" s="114"/>
      <c r="K8" s="632" t="s">
        <v>1025</v>
      </c>
      <c r="L8" s="52"/>
      <c r="M8" s="52" t="str">
        <f>IF(D8="","",D8)</f>
        <v/>
      </c>
      <c r="N8" s="2"/>
      <c r="O8" s="500"/>
      <c r="P8" s="500"/>
      <c r="Q8" s="500"/>
      <c r="R8" s="500"/>
      <c r="S8" s="500"/>
      <c r="T8" s="500"/>
      <c r="U8" s="500"/>
      <c r="V8" s="500"/>
      <c r="W8" s="500"/>
      <c r="X8" s="45"/>
    </row>
    <row r="9" spans="1:24" ht="15.75" customHeight="1" x14ac:dyDescent="0.3">
      <c r="A9" s="1476" t="s">
        <v>1024</v>
      </c>
      <c r="B9" s="1476"/>
      <c r="C9" s="1476"/>
      <c r="D9" s="10"/>
      <c r="E9" s="10"/>
      <c r="F9" s="10"/>
      <c r="G9" s="10"/>
      <c r="H9" s="10"/>
      <c r="I9" s="10"/>
      <c r="J9" s="10"/>
      <c r="K9" s="632" t="s">
        <v>1026</v>
      </c>
      <c r="L9" s="10"/>
      <c r="M9" s="1398" t="s">
        <v>984</v>
      </c>
      <c r="N9" s="1398"/>
      <c r="O9" s="1398"/>
      <c r="P9" s="1398"/>
      <c r="Q9" s="1398"/>
      <c r="R9" s="1398"/>
      <c r="S9" s="1398"/>
      <c r="T9" s="1398"/>
      <c r="U9" s="1398"/>
      <c r="V9" s="1398"/>
      <c r="W9" s="1398"/>
      <c r="X9" s="45"/>
    </row>
    <row r="10" spans="1:24" ht="15.75" customHeight="1" x14ac:dyDescent="0.3">
      <c r="A10" s="4"/>
      <c r="B10" s="1867" t="s">
        <v>1029</v>
      </c>
      <c r="C10" s="1867"/>
      <c r="D10" s="1867"/>
      <c r="E10" s="1867"/>
      <c r="F10" s="1867"/>
      <c r="G10" s="1867"/>
      <c r="H10" s="1867"/>
      <c r="I10" s="1867"/>
      <c r="J10" s="1867"/>
      <c r="K10" s="1867"/>
      <c r="L10" s="10"/>
      <c r="M10" s="1868" t="str">
        <f>IF(W68=2," - Two years tax returns required.",IF(W68=3," - Three years tax returns required.","Select Loan Type"))</f>
        <v xml:space="preserve"> - Two years tax returns required.</v>
      </c>
      <c r="N10" s="1868"/>
      <c r="O10" s="1868"/>
      <c r="P10" s="1868"/>
      <c r="Q10" s="1868"/>
      <c r="R10" s="1868"/>
      <c r="S10" s="1868"/>
      <c r="T10" s="1868"/>
      <c r="U10" s="1868"/>
      <c r="V10" s="1868"/>
      <c r="W10" s="1868"/>
      <c r="X10" s="45"/>
    </row>
    <row r="11" spans="1:24" ht="15.6" customHeight="1" x14ac:dyDescent="0.3">
      <c r="A11" s="4"/>
      <c r="B11" s="4"/>
      <c r="C11" s="4"/>
      <c r="D11" s="10"/>
      <c r="E11" s="10"/>
      <c r="F11" s="10"/>
      <c r="G11" s="10"/>
      <c r="H11" s="10"/>
      <c r="I11" s="10"/>
      <c r="J11" s="10"/>
      <c r="K11" s="10"/>
      <c r="L11" s="10"/>
      <c r="M11" s="1868" t="str">
        <f>IF(W68=2," - A trending Loss does not have to be counted.",IF(W68=3," - Losses must be counted against the borrowers income.",""))</f>
        <v xml:space="preserve"> - A trending Loss does not have to be counted.</v>
      </c>
      <c r="N11" s="1868"/>
      <c r="O11" s="1868"/>
      <c r="P11" s="1868"/>
      <c r="Q11" s="1868"/>
      <c r="R11" s="1868"/>
      <c r="S11" s="1868"/>
      <c r="T11" s="1868"/>
      <c r="U11" s="1868"/>
      <c r="V11" s="1868"/>
      <c r="W11" s="1868"/>
      <c r="X11" s="45"/>
    </row>
    <row r="12" spans="1:24" ht="49.8" customHeight="1" x14ac:dyDescent="0.3">
      <c r="A12" s="4"/>
      <c r="B12" s="4"/>
      <c r="C12" s="4"/>
      <c r="D12" s="10"/>
      <c r="E12" s="10"/>
      <c r="F12" s="10"/>
      <c r="G12" s="10"/>
      <c r="H12" s="10"/>
      <c r="I12" s="10"/>
      <c r="J12" s="10"/>
      <c r="K12" s="10"/>
      <c r="L12" s="10"/>
      <c r="M12" s="1869" t="str">
        <f>IF(OR(W68=2,W68=3)," - Evidence of current ownership of Assets that can be sold 
    if needed.","")</f>
        <v xml:space="preserve"> - Evidence of current ownership of Assets that can be sold 
    if needed.</v>
      </c>
      <c r="N12" s="1869"/>
      <c r="O12" s="1869"/>
      <c r="P12" s="1869"/>
      <c r="Q12" s="1869"/>
      <c r="R12" s="1869"/>
      <c r="S12" s="1869"/>
      <c r="T12" s="1869"/>
      <c r="U12" s="1869"/>
      <c r="V12" s="1869"/>
      <c r="W12" s="1869"/>
      <c r="X12" s="45"/>
    </row>
    <row r="13" spans="1:24" ht="7.2" customHeight="1" x14ac:dyDescent="0.3">
      <c r="A13" s="4"/>
      <c r="B13" s="4"/>
      <c r="C13" s="4"/>
      <c r="D13" s="10"/>
      <c r="E13" s="10"/>
      <c r="F13" s="10"/>
      <c r="G13" s="10"/>
      <c r="H13" s="10"/>
      <c r="I13" s="10"/>
      <c r="J13" s="10"/>
      <c r="K13" s="10"/>
      <c r="L13" s="1861"/>
      <c r="M13" s="1861"/>
      <c r="N13" s="1861"/>
      <c r="O13" s="1861"/>
      <c r="P13" s="1861"/>
      <c r="Q13" s="1861"/>
      <c r="R13" s="1861"/>
      <c r="S13" s="1861"/>
      <c r="T13" s="1861"/>
      <c r="U13" s="1861"/>
      <c r="V13" s="1861"/>
      <c r="W13" s="1861"/>
      <c r="X13" s="1861"/>
    </row>
    <row r="14" spans="1:24" ht="18.75" customHeight="1" x14ac:dyDescent="0.3">
      <c r="A14" s="1769" t="s">
        <v>995</v>
      </c>
      <c r="B14" s="1769"/>
      <c r="C14" s="1769"/>
      <c r="D14" s="1769"/>
      <c r="E14" s="1769"/>
      <c r="F14" s="1769"/>
      <c r="G14" s="1769"/>
      <c r="H14" s="538"/>
      <c r="I14" s="538"/>
      <c r="J14" s="10"/>
      <c r="K14" s="10"/>
      <c r="L14" s="1861"/>
      <c r="M14" s="1504">
        <v>2023</v>
      </c>
      <c r="N14" s="1504"/>
      <c r="O14" s="1504"/>
      <c r="P14" s="2"/>
      <c r="Q14" s="1505">
        <f>M14-1</f>
        <v>2022</v>
      </c>
      <c r="R14" s="1505"/>
      <c r="S14" s="1505"/>
      <c r="T14" s="1859"/>
      <c r="U14" s="1505">
        <f>M14-2</f>
        <v>2021</v>
      </c>
      <c r="V14" s="1505"/>
      <c r="W14" s="1505"/>
      <c r="X14" s="1860"/>
    </row>
    <row r="15" spans="1:24" ht="3.6" customHeight="1" x14ac:dyDescent="0.3">
      <c r="A15" s="630"/>
      <c r="B15" s="630"/>
      <c r="C15" s="630"/>
      <c r="D15" s="630"/>
      <c r="E15" s="630"/>
      <c r="F15" s="630"/>
      <c r="G15" s="630"/>
      <c r="H15" s="538"/>
      <c r="I15" s="538"/>
      <c r="J15" s="10"/>
      <c r="K15" s="10"/>
      <c r="L15" s="1861"/>
      <c r="M15" s="631"/>
      <c r="N15" s="631"/>
      <c r="O15" s="631"/>
      <c r="P15" s="2"/>
      <c r="Q15" s="631"/>
      <c r="R15" s="631"/>
      <c r="S15" s="631"/>
      <c r="T15" s="1859"/>
      <c r="U15" s="631"/>
      <c r="V15" s="631"/>
      <c r="W15" s="631"/>
      <c r="X15" s="1860"/>
    </row>
    <row r="16" spans="1:24" ht="15.6" x14ac:dyDescent="0.3">
      <c r="A16" s="86" t="s">
        <v>986</v>
      </c>
      <c r="B16" s="1858" t="s">
        <v>1027</v>
      </c>
      <c r="C16" s="1858"/>
      <c r="D16" s="1858"/>
      <c r="E16" s="1858"/>
      <c r="F16" s="1858"/>
      <c r="G16" s="1858"/>
      <c r="H16" s="1858"/>
      <c r="I16" s="1858"/>
      <c r="J16" s="1858"/>
      <c r="K16" s="1858"/>
      <c r="L16" s="1861"/>
      <c r="M16" s="1502">
        <v>1200</v>
      </c>
      <c r="N16" s="1502"/>
      <c r="O16" s="1502"/>
      <c r="P16" s="6"/>
      <c r="Q16" s="1502">
        <v>5000</v>
      </c>
      <c r="R16" s="1502"/>
      <c r="S16" s="1502"/>
      <c r="T16" s="1859"/>
      <c r="U16" s="1502">
        <v>5000</v>
      </c>
      <c r="V16" s="1502"/>
      <c r="W16" s="1502"/>
      <c r="X16" s="1860"/>
    </row>
    <row r="17" spans="1:24" ht="3" customHeight="1" x14ac:dyDescent="0.3">
      <c r="A17" s="168"/>
      <c r="B17" s="34"/>
      <c r="C17" s="168"/>
      <c r="D17" s="91"/>
      <c r="E17" s="91"/>
      <c r="F17" s="91"/>
      <c r="G17" s="91"/>
      <c r="H17" s="91"/>
      <c r="I17" s="91"/>
      <c r="J17" s="91"/>
      <c r="K17" s="10"/>
      <c r="L17" s="1861"/>
      <c r="N17" s="10"/>
      <c r="O17" s="2"/>
      <c r="P17" s="2"/>
      <c r="Q17" s="42"/>
      <c r="R17" s="2"/>
      <c r="S17" s="2"/>
      <c r="T17" s="1859"/>
      <c r="U17" s="2"/>
      <c r="V17" s="2"/>
      <c r="W17" s="2"/>
      <c r="X17" s="1860"/>
    </row>
    <row r="18" spans="1:24" ht="15.6" x14ac:dyDescent="0.3">
      <c r="A18" s="86" t="s">
        <v>987</v>
      </c>
      <c r="B18" s="1858" t="s">
        <v>1028</v>
      </c>
      <c r="C18" s="1858"/>
      <c r="D18" s="1858"/>
      <c r="E18" s="1858"/>
      <c r="F18" s="1858"/>
      <c r="G18" s="1858"/>
      <c r="H18" s="1858"/>
      <c r="I18" s="1858"/>
      <c r="J18" s="1858"/>
      <c r="K18" s="1858"/>
      <c r="L18" s="1861"/>
      <c r="M18" s="1502"/>
      <c r="N18" s="1502"/>
      <c r="O18" s="1502"/>
      <c r="P18" s="6"/>
      <c r="Q18" s="1502"/>
      <c r="R18" s="1502"/>
      <c r="S18" s="1502"/>
      <c r="T18" s="1859"/>
      <c r="U18" s="1502"/>
      <c r="V18" s="1502"/>
      <c r="W18" s="1502"/>
      <c r="X18" s="1860"/>
    </row>
    <row r="19" spans="1:24" ht="3" customHeight="1" x14ac:dyDescent="0.3">
      <c r="A19" s="168"/>
      <c r="B19" s="34"/>
      <c r="C19" s="168"/>
      <c r="D19" s="91"/>
      <c r="E19" s="91"/>
      <c r="F19" s="91"/>
      <c r="G19" s="91"/>
      <c r="H19" s="91"/>
      <c r="I19" s="91"/>
      <c r="J19" s="91"/>
      <c r="K19" s="10"/>
      <c r="L19" s="1861"/>
      <c r="N19" s="10"/>
      <c r="O19" s="2"/>
      <c r="P19" s="2"/>
      <c r="Q19" s="42"/>
      <c r="R19" s="2"/>
      <c r="S19" s="2"/>
      <c r="T19" s="1859"/>
      <c r="U19" s="2"/>
      <c r="V19" s="2"/>
      <c r="W19" s="2"/>
      <c r="X19" s="1860"/>
    </row>
    <row r="20" spans="1:24" ht="15.6" x14ac:dyDescent="0.3">
      <c r="A20" s="86" t="s">
        <v>987</v>
      </c>
      <c r="B20" s="624" t="s">
        <v>239</v>
      </c>
      <c r="C20" s="1773" t="s">
        <v>847</v>
      </c>
      <c r="D20" s="1773"/>
      <c r="E20" s="1773"/>
      <c r="F20" s="1773"/>
      <c r="G20" s="1773"/>
      <c r="H20" s="1773"/>
      <c r="I20" s="1773"/>
      <c r="J20" s="1773"/>
      <c r="K20" s="10"/>
      <c r="L20" s="1861"/>
      <c r="M20" s="1502"/>
      <c r="N20" s="1502"/>
      <c r="O20" s="1502"/>
      <c r="P20" s="2"/>
      <c r="Q20" s="1502"/>
      <c r="R20" s="1502"/>
      <c r="S20" s="1502"/>
      <c r="T20" s="1859"/>
      <c r="U20" s="1502"/>
      <c r="V20" s="1502"/>
      <c r="W20" s="1502"/>
      <c r="X20" s="1860"/>
    </row>
    <row r="21" spans="1:24" ht="6" customHeight="1" x14ac:dyDescent="0.3">
      <c r="A21" s="34"/>
      <c r="B21" s="34"/>
      <c r="C21" s="34"/>
      <c r="D21" s="34"/>
      <c r="E21" s="34"/>
      <c r="F21" s="34"/>
      <c r="G21" s="34"/>
      <c r="H21" s="34"/>
      <c r="I21" s="34"/>
      <c r="J21" s="34"/>
      <c r="K21" s="34"/>
      <c r="L21" s="1861"/>
      <c r="M21" s="34"/>
      <c r="N21" s="34"/>
      <c r="O21" s="34"/>
      <c r="P21" s="34"/>
      <c r="Q21" s="34"/>
      <c r="R21" s="34"/>
      <c r="S21" s="34"/>
      <c r="T21" s="1859"/>
      <c r="U21" s="34"/>
      <c r="V21" s="34"/>
      <c r="W21" s="34"/>
      <c r="X21" s="1860"/>
    </row>
    <row r="22" spans="1:24" s="74" customFormat="1" ht="15.75" customHeight="1" x14ac:dyDescent="0.3">
      <c r="A22" s="1521" t="s">
        <v>988</v>
      </c>
      <c r="B22" s="1521"/>
      <c r="C22" s="1521"/>
      <c r="D22" s="99"/>
      <c r="E22" s="99"/>
      <c r="F22" s="99"/>
      <c r="G22" s="99"/>
      <c r="H22" s="99"/>
      <c r="I22" s="99"/>
      <c r="J22" s="99"/>
      <c r="K22" s="99"/>
      <c r="L22" s="1861"/>
      <c r="M22" s="1518">
        <f>M16+M20</f>
        <v>1200</v>
      </c>
      <c r="N22" s="1518"/>
      <c r="O22" s="1518"/>
      <c r="P22" s="99"/>
      <c r="Q22" s="1518">
        <f>Q16+Q20</f>
        <v>5000</v>
      </c>
      <c r="R22" s="1518"/>
      <c r="S22" s="1518"/>
      <c r="T22" s="1859"/>
      <c r="U22" s="1518">
        <f>U16+U20</f>
        <v>5000</v>
      </c>
      <c r="V22" s="1518"/>
      <c r="W22" s="1518"/>
      <c r="X22" s="1860"/>
    </row>
    <row r="23" spans="1:24" s="421" customFormat="1" ht="4.2" customHeight="1" x14ac:dyDescent="0.3">
      <c r="A23" s="428"/>
      <c r="B23" s="428"/>
      <c r="C23" s="428"/>
      <c r="D23" s="428"/>
      <c r="E23" s="428"/>
      <c r="F23" s="428"/>
      <c r="G23" s="428"/>
      <c r="H23" s="428"/>
      <c r="I23" s="633"/>
      <c r="J23" s="633"/>
      <c r="K23" s="633"/>
      <c r="L23" s="1861"/>
      <c r="M23" s="1520"/>
      <c r="N23" s="1520"/>
      <c r="O23" s="1520"/>
      <c r="P23" s="518"/>
      <c r="Q23" s="1520"/>
      <c r="R23" s="1520"/>
      <c r="S23" s="1520"/>
      <c r="T23" s="1859"/>
      <c r="U23" s="1520"/>
      <c r="V23" s="1520"/>
      <c r="W23" s="1520"/>
      <c r="X23" s="1860"/>
    </row>
    <row r="24" spans="1:24" ht="9" customHeight="1" x14ac:dyDescent="0.3">
      <c r="A24" s="34"/>
      <c r="B24" s="1774" t="s">
        <v>981</v>
      </c>
      <c r="C24" s="1774"/>
      <c r="D24" s="1774"/>
      <c r="E24" s="1774"/>
      <c r="F24" s="1774"/>
      <c r="G24" s="1774"/>
      <c r="H24" s="1774"/>
      <c r="I24" s="1774"/>
      <c r="J24" s="1774"/>
      <c r="K24" s="1774"/>
      <c r="L24" s="1861"/>
      <c r="M24" s="1528" t="s">
        <v>180</v>
      </c>
      <c r="N24" s="1528"/>
      <c r="O24" s="1528"/>
      <c r="P24" s="34"/>
      <c r="Q24" s="1528" t="s">
        <v>180</v>
      </c>
      <c r="R24" s="1528"/>
      <c r="S24" s="1528"/>
      <c r="T24" s="1859"/>
      <c r="U24" s="539" t="s">
        <v>103</v>
      </c>
      <c r="V24" s="539"/>
      <c r="W24" s="539"/>
      <c r="X24" s="1860"/>
    </row>
    <row r="25" spans="1:24" ht="12.6" customHeight="1" x14ac:dyDescent="0.3">
      <c r="A25" s="34"/>
      <c r="B25" s="1774"/>
      <c r="C25" s="1774"/>
      <c r="D25" s="1774"/>
      <c r="E25" s="1774"/>
      <c r="F25" s="1774"/>
      <c r="G25" s="1774"/>
      <c r="H25" s="1774"/>
      <c r="I25" s="1774"/>
      <c r="J25" s="1774"/>
      <c r="K25" s="1774"/>
      <c r="L25" s="1861"/>
      <c r="M25" s="1445" t="str">
        <f>CONCATENATE("                 ", M14,)</f>
        <v xml:space="preserve">                 2023</v>
      </c>
      <c r="N25" s="1445"/>
      <c r="O25" s="1445"/>
      <c r="P25" s="34"/>
      <c r="Q25" s="1445" t="str">
        <f>CONCATENATE("                 ", Q14,)</f>
        <v xml:space="preserve">                 2022</v>
      </c>
      <c r="R25" s="1445"/>
      <c r="S25" s="1445"/>
      <c r="T25" s="1859"/>
      <c r="U25" s="1445" t="str">
        <f>CONCATENATE("              ", U14,)</f>
        <v xml:space="preserve">              2021</v>
      </c>
      <c r="V25" s="1445"/>
      <c r="W25" s="1445"/>
      <c r="X25" s="1860"/>
    </row>
    <row r="26" spans="1:24" ht="7.2" customHeight="1" x14ac:dyDescent="0.3">
      <c r="A26" s="34"/>
      <c r="B26" s="616"/>
      <c r="C26" s="616"/>
      <c r="D26" s="616"/>
      <c r="E26" s="616"/>
      <c r="F26" s="616"/>
      <c r="G26" s="616"/>
      <c r="H26" s="616"/>
      <c r="I26" s="616"/>
      <c r="J26" s="616"/>
      <c r="K26" s="616"/>
      <c r="L26" s="1861"/>
      <c r="M26" s="1862"/>
      <c r="N26" s="1862"/>
      <c r="O26" s="1862"/>
      <c r="P26" s="1862"/>
      <c r="Q26" s="1862"/>
      <c r="R26" s="1862"/>
      <c r="S26" s="1862"/>
      <c r="T26" s="1862"/>
      <c r="U26" s="1862"/>
      <c r="V26" s="1862"/>
      <c r="W26" s="1862"/>
      <c r="X26" s="1862"/>
    </row>
    <row r="27" spans="1:24" ht="7.2" customHeight="1" x14ac:dyDescent="0.3">
      <c r="A27" s="34"/>
      <c r="B27" s="616"/>
      <c r="C27" s="616"/>
      <c r="D27" s="616"/>
      <c r="E27" s="616"/>
      <c r="F27" s="616"/>
      <c r="G27" s="616"/>
      <c r="H27" s="616"/>
      <c r="I27" s="616"/>
      <c r="J27" s="616"/>
      <c r="K27" s="616"/>
      <c r="L27" s="166"/>
      <c r="M27" s="639">
        <f>IF(M22&lt;&gt;0,12,0)</f>
        <v>12</v>
      </c>
      <c r="N27" s="639"/>
      <c r="O27" s="639"/>
      <c r="P27" s="639"/>
      <c r="Q27" s="639">
        <f>IF(Q22&lt;&gt;0,12,0)</f>
        <v>12</v>
      </c>
      <c r="R27" s="639"/>
      <c r="S27" s="639"/>
      <c r="T27" s="639"/>
      <c r="U27" s="639">
        <f>IF(U22&lt;&gt;0,12,0)</f>
        <v>12</v>
      </c>
      <c r="V27" s="634"/>
      <c r="W27" s="634"/>
      <c r="X27" s="634"/>
    </row>
    <row r="28" spans="1:24" ht="42" customHeight="1" x14ac:dyDescent="0.3">
      <c r="A28" s="34"/>
      <c r="B28" s="34"/>
      <c r="C28" s="34"/>
      <c r="D28" s="34"/>
      <c r="E28" s="34"/>
      <c r="F28" s="34"/>
      <c r="P28" s="34"/>
      <c r="Q28" s="1513" t="s">
        <v>991</v>
      </c>
      <c r="R28" s="1513"/>
      <c r="S28" s="1513"/>
      <c r="T28" s="1513"/>
      <c r="U28" s="1513"/>
      <c r="V28" s="1513"/>
      <c r="W28" s="1513"/>
      <c r="X28" s="34"/>
    </row>
    <row r="29" spans="1:24" ht="13.2" customHeight="1" x14ac:dyDescent="0.3">
      <c r="A29" s="1476" t="s">
        <v>1031</v>
      </c>
      <c r="B29" s="1476"/>
      <c r="C29" s="1476"/>
      <c r="D29" s="34"/>
      <c r="E29" s="34"/>
      <c r="F29" s="34"/>
      <c r="G29" s="610"/>
      <c r="H29" s="610"/>
      <c r="I29" s="610"/>
      <c r="J29" s="610"/>
      <c r="K29" s="610"/>
      <c r="L29" s="610"/>
      <c r="M29" s="610"/>
      <c r="N29" s="610"/>
      <c r="O29" s="610"/>
      <c r="P29" s="34"/>
      <c r="Q29" s="611"/>
      <c r="R29" s="611"/>
      <c r="S29" s="611"/>
      <c r="T29" s="611"/>
      <c r="U29" s="611"/>
      <c r="V29" s="611"/>
      <c r="W29" s="611"/>
      <c r="X29" s="34"/>
    </row>
    <row r="30" spans="1:24" ht="18.600000000000001" customHeight="1" x14ac:dyDescent="0.45">
      <c r="B30" s="1246" t="s">
        <v>102</v>
      </c>
      <c r="C30" s="1246"/>
      <c r="D30" s="1866">
        <f>M4+M5+M6</f>
        <v>11200</v>
      </c>
      <c r="E30" s="1866"/>
      <c r="F30" s="1866"/>
      <c r="G30" s="1476" t="s">
        <v>101</v>
      </c>
      <c r="H30" s="1476"/>
      <c r="I30" s="1476"/>
      <c r="J30" s="1532">
        <v>12</v>
      </c>
      <c r="K30" s="1532"/>
      <c r="L30" s="50"/>
      <c r="M30" s="1246" t="s">
        <v>100</v>
      </c>
      <c r="N30" s="1246"/>
      <c r="O30" s="1246"/>
      <c r="P30" s="1531">
        <f>IF(J30&gt;0,D30/J30,0)</f>
        <v>933.33333333333337</v>
      </c>
      <c r="Q30" s="1531"/>
      <c r="R30" s="1531"/>
      <c r="S30" s="1531"/>
      <c r="T30" s="1476" t="s">
        <v>99</v>
      </c>
      <c r="U30" s="1476"/>
      <c r="V30" s="1476"/>
      <c r="W30" s="1476"/>
      <c r="X30" s="34"/>
    </row>
    <row r="31" spans="1:24" ht="31.8" customHeight="1" x14ac:dyDescent="0.3">
      <c r="A31" s="34"/>
      <c r="B31" s="34"/>
      <c r="C31" s="34"/>
      <c r="D31" s="10"/>
      <c r="E31" s="10"/>
      <c r="F31" s="10"/>
      <c r="G31" s="10"/>
      <c r="H31" s="10"/>
      <c r="I31" s="637"/>
      <c r="J31" s="637"/>
      <c r="K31" s="637"/>
      <c r="L31" s="637"/>
      <c r="M31" s="637"/>
      <c r="N31" s="2"/>
      <c r="O31" s="2"/>
      <c r="P31" s="2"/>
      <c r="Q31" s="2"/>
      <c r="R31" s="2"/>
      <c r="S31" s="2"/>
      <c r="T31" s="2"/>
      <c r="V31" s="72"/>
      <c r="W31" s="72"/>
    </row>
    <row r="32" spans="1:24" ht="15.6" customHeight="1" x14ac:dyDescent="0.3">
      <c r="A32" s="34"/>
      <c r="B32" s="34"/>
      <c r="C32" s="34"/>
      <c r="D32" s="516"/>
      <c r="E32" s="1539" t="s">
        <v>1033</v>
      </c>
      <c r="F32" s="1540" t="s">
        <v>179</v>
      </c>
      <c r="G32" s="1541">
        <f>ROUND(M27+Q27+U27,2)</f>
        <v>36</v>
      </c>
      <c r="H32" s="1863"/>
      <c r="I32" s="578"/>
      <c r="J32" s="578"/>
      <c r="K32" s="578"/>
      <c r="L32" s="578"/>
      <c r="M32" s="1530" t="str">
        <f>IF(AND(G32&lt;&gt;J30,J30&lt;&gt;"",G32&lt;&gt;0), "Caution, Number of Months entered does not match number of months calculated per data.  Correct or explain/justify in notes.","")</f>
        <v>Caution, Number of Months entered does not match number of months calculated per data.  Correct or explain/justify in notes.</v>
      </c>
      <c r="N32" s="1530"/>
      <c r="O32" s="1530"/>
      <c r="P32" s="1530"/>
      <c r="Q32" s="1530"/>
      <c r="R32" s="1530"/>
      <c r="S32" s="1530"/>
      <c r="T32" s="1530"/>
      <c r="U32" s="1530"/>
      <c r="V32" s="638"/>
      <c r="W32" s="638"/>
      <c r="X32" s="38"/>
    </row>
    <row r="33" spans="1:24" ht="15.6" customHeight="1" x14ac:dyDescent="0.3">
      <c r="A33" s="34"/>
      <c r="B33" s="34"/>
      <c r="C33" s="34"/>
      <c r="D33" s="510"/>
      <c r="E33" s="1539"/>
      <c r="F33" s="1540"/>
      <c r="G33" s="1541"/>
      <c r="H33" s="1863"/>
      <c r="I33" s="578"/>
      <c r="J33" s="578"/>
      <c r="K33" s="578"/>
      <c r="L33" s="578"/>
      <c r="M33" s="1530"/>
      <c r="N33" s="1530"/>
      <c r="O33" s="1530"/>
      <c r="P33" s="1530"/>
      <c r="Q33" s="1530"/>
      <c r="R33" s="1530"/>
      <c r="S33" s="1530"/>
      <c r="T33" s="1530"/>
      <c r="U33" s="1530"/>
      <c r="V33" s="635"/>
      <c r="W33" s="635"/>
      <c r="X33" s="38"/>
    </row>
    <row r="34" spans="1:24" ht="15.6" customHeight="1" x14ac:dyDescent="0.3">
      <c r="A34" s="34"/>
      <c r="B34" s="34"/>
      <c r="C34" s="34"/>
      <c r="D34" s="114"/>
      <c r="E34" s="511"/>
      <c r="F34" s="165"/>
      <c r="G34" s="615"/>
      <c r="H34" s="511"/>
      <c r="I34" s="636"/>
      <c r="J34" s="515"/>
      <c r="K34" s="515"/>
      <c r="L34" s="515"/>
      <c r="M34" s="1530"/>
      <c r="N34" s="1530"/>
      <c r="O34" s="1530"/>
      <c r="P34" s="1530"/>
      <c r="Q34" s="1530"/>
      <c r="R34" s="1530"/>
      <c r="S34" s="1530"/>
      <c r="T34" s="1530"/>
      <c r="U34" s="1530"/>
      <c r="V34" s="148"/>
      <c r="W34" s="148"/>
      <c r="X34" s="38"/>
    </row>
    <row r="35" spans="1:24" ht="7.2" customHeight="1" x14ac:dyDescent="0.3">
      <c r="A35" s="34"/>
      <c r="B35" s="34"/>
      <c r="C35" s="34"/>
      <c r="D35" s="114"/>
      <c r="E35" s="114"/>
      <c r="F35" s="114"/>
      <c r="G35" s="513"/>
      <c r="H35" s="514"/>
      <c r="I35" s="514"/>
      <c r="J35" s="517"/>
      <c r="K35" s="517"/>
      <c r="L35" s="517"/>
      <c r="M35" s="10"/>
      <c r="N35" s="2"/>
      <c r="O35" s="2"/>
      <c r="P35" s="2"/>
      <c r="Q35" s="2"/>
      <c r="R35" s="2"/>
      <c r="S35" s="2"/>
      <c r="T35" s="2"/>
      <c r="U35" s="72"/>
      <c r="V35" s="72"/>
      <c r="W35" s="72"/>
    </row>
    <row r="36" spans="1:24" ht="15.6" customHeight="1" x14ac:dyDescent="0.3">
      <c r="A36" s="34"/>
      <c r="B36" s="34"/>
      <c r="D36" s="1523" t="str">
        <f>IF(AND(U22&lt;&gt;0,Q22&lt;&gt;0),CONCATENATE(U14," - ",Q14, ":"),"")</f>
        <v>2021 - 2022:</v>
      </c>
      <c r="E36" s="1523"/>
      <c r="F36" s="1523"/>
      <c r="G36" s="1523"/>
      <c r="H36" s="1524" t="str">
        <f>IF(AND(Q22&lt;&gt;0,U22&lt;&gt;0,U22&gt;Q22),CONCATENATE(ROUND(((U22-Q22)/U22)*100,2),"%"," Decline from ",U14," to ",Q14),
IF(AND(Q22&lt;&gt;0,U22&lt;&gt;0,U22&lt;Q22),CONCATENATE(ROUND(((Q22-U22)/U22)*100,2),"%"," Increase from ",U14," to ",Q14),
IF(AND(Q22&lt;&gt;0,U22&lt;&gt;0,U22=Q22),"No Change",
"")))</f>
        <v>No Change</v>
      </c>
      <c r="I36" s="1524"/>
      <c r="J36" s="1524"/>
      <c r="K36" s="1524"/>
      <c r="L36" s="1524"/>
      <c r="M36" s="1524"/>
      <c r="N36" s="1524"/>
      <c r="O36" s="1524"/>
      <c r="P36" s="1524"/>
      <c r="Q36" s="1524"/>
      <c r="R36" s="1524"/>
      <c r="S36" s="1524"/>
      <c r="T36" s="1524"/>
      <c r="U36" s="524"/>
      <c r="V36" s="524"/>
      <c r="W36" s="524"/>
    </row>
    <row r="37" spans="1:24" ht="15.6" customHeight="1" x14ac:dyDescent="0.3">
      <c r="A37" s="34"/>
      <c r="B37" s="34"/>
      <c r="C37" s="523"/>
      <c r="D37" s="1523"/>
      <c r="E37" s="1523"/>
      <c r="F37" s="1523"/>
      <c r="G37" s="1523"/>
      <c r="H37" s="1524"/>
      <c r="I37" s="1524"/>
      <c r="J37" s="1524"/>
      <c r="K37" s="1524"/>
      <c r="L37" s="1524"/>
      <c r="M37" s="1524"/>
      <c r="N37" s="1524"/>
      <c r="O37" s="1524"/>
      <c r="P37" s="1524"/>
      <c r="Q37" s="1524"/>
      <c r="R37" s="1524"/>
      <c r="S37" s="1524"/>
      <c r="T37" s="1524"/>
      <c r="U37" s="524"/>
      <c r="V37" s="524"/>
      <c r="W37" s="524"/>
    </row>
    <row r="38" spans="1:24" ht="15.6" customHeight="1" x14ac:dyDescent="0.3">
      <c r="A38" s="34"/>
      <c r="B38" s="34"/>
      <c r="D38" s="1523" t="str">
        <f>CONCATENATE(Q14," - ",M14,":")</f>
        <v>2022 - 2023:</v>
      </c>
      <c r="E38" s="1523"/>
      <c r="F38" s="1523"/>
      <c r="G38" s="1523"/>
      <c r="H38" s="1524" t="str">
        <f>IF(AND(M22&lt;&gt;0,Q22&lt;&gt;0,Q22&gt;M22),CONCATENATE(ROUND(((Q22-M22)/Q22)*100,2),"%"," Decline from ",Q14," to ",M14),
IF(AND(M22&lt;&gt;0,Q22&lt;&gt;0,Q22&lt;M22),CONCATENATE(ROUND(((M22-Q22)/Q22)*100,2),"%"," Increase from ",Q14," to ",M14),
IF(AND(M22&lt;&gt;0,Q22&lt;&gt;0,Q22=M22),"No Change",
"")))</f>
        <v>76% Decline from 2022 to 2023</v>
      </c>
      <c r="I38" s="1524"/>
      <c r="J38" s="1524"/>
      <c r="K38" s="1524"/>
      <c r="L38" s="1524"/>
      <c r="M38" s="1524"/>
      <c r="N38" s="1524"/>
      <c r="O38" s="1524"/>
      <c r="P38" s="1524"/>
      <c r="Q38" s="1524"/>
      <c r="R38" s="1524"/>
      <c r="S38" s="1524"/>
      <c r="T38" s="1524"/>
      <c r="U38" s="524"/>
      <c r="V38" s="524"/>
      <c r="W38" s="524"/>
      <c r="X38" s="1525"/>
    </row>
    <row r="39" spans="1:24" ht="15.6" customHeight="1" x14ac:dyDescent="0.3">
      <c r="A39" s="34"/>
      <c r="B39" s="34"/>
      <c r="C39" s="523"/>
      <c r="D39" s="1523"/>
      <c r="E39" s="1523"/>
      <c r="F39" s="1523"/>
      <c r="G39" s="1523"/>
      <c r="H39" s="1524"/>
      <c r="I39" s="1524"/>
      <c r="J39" s="1524"/>
      <c r="K39" s="1524"/>
      <c r="L39" s="1524"/>
      <c r="M39" s="1524"/>
      <c r="N39" s="1524"/>
      <c r="O39" s="1524"/>
      <c r="P39" s="1524"/>
      <c r="Q39" s="1524"/>
      <c r="R39" s="1524"/>
      <c r="S39" s="1524"/>
      <c r="T39" s="1524"/>
      <c r="U39" s="524"/>
      <c r="V39" s="524"/>
      <c r="W39" s="524"/>
      <c r="X39" s="1525"/>
    </row>
    <row r="40" spans="1:24" ht="15.6" customHeight="1" x14ac:dyDescent="0.3">
      <c r="A40" s="34"/>
      <c r="B40" s="34"/>
      <c r="C40" s="1526"/>
      <c r="D40" s="1526"/>
      <c r="E40" s="1526"/>
      <c r="F40" s="1526"/>
      <c r="G40" s="1526"/>
      <c r="H40" s="1526"/>
      <c r="I40" s="1526"/>
      <c r="J40" s="1526"/>
      <c r="K40" s="1526"/>
      <c r="L40" s="1526"/>
      <c r="M40" s="1526"/>
      <c r="N40" s="1526"/>
      <c r="O40" s="1526"/>
      <c r="P40" s="1526"/>
      <c r="Q40" s="1526"/>
      <c r="R40" s="1526"/>
      <c r="S40" s="1526"/>
      <c r="T40" s="1526"/>
      <c r="U40" s="1526"/>
      <c r="V40" s="1526"/>
      <c r="W40" s="1526"/>
    </row>
    <row r="41" spans="1:24" ht="8.4" customHeight="1" x14ac:dyDescent="0.3">
      <c r="A41" s="34"/>
      <c r="B41" s="34"/>
      <c r="C41" s="34"/>
      <c r="D41" s="10"/>
      <c r="E41" s="10"/>
      <c r="F41" s="10"/>
      <c r="G41" s="10"/>
      <c r="H41" s="10"/>
      <c r="I41" s="10"/>
      <c r="J41" s="10"/>
      <c r="K41" s="10"/>
      <c r="L41" s="10"/>
      <c r="M41" s="10"/>
      <c r="N41" s="2"/>
      <c r="O41" s="2"/>
      <c r="P41" s="2"/>
      <c r="Q41" s="2"/>
      <c r="R41" s="2"/>
      <c r="S41" s="2"/>
      <c r="T41" s="2"/>
      <c r="U41" s="2"/>
      <c r="V41" s="2"/>
      <c r="W41" s="2"/>
    </row>
    <row r="42" spans="1:24" ht="10.8" customHeight="1" x14ac:dyDescent="0.3">
      <c r="A42" s="34"/>
      <c r="B42" s="34"/>
      <c r="C42" s="34"/>
      <c r="D42" s="10"/>
      <c r="E42" s="10"/>
      <c r="F42" s="10"/>
      <c r="G42" s="1535" t="s">
        <v>977</v>
      </c>
      <c r="H42" s="1535"/>
      <c r="I42" s="1535"/>
      <c r="J42" s="1535"/>
      <c r="K42" s="1535"/>
      <c r="L42" s="1535"/>
      <c r="M42" s="1535"/>
      <c r="N42" s="1535"/>
      <c r="O42" s="1535"/>
      <c r="P42" s="1535"/>
      <c r="Q42" s="1535"/>
      <c r="R42" s="2"/>
      <c r="S42" s="2"/>
      <c r="T42" s="2"/>
      <c r="U42" s="2"/>
      <c r="V42" s="2"/>
      <c r="W42" s="2"/>
    </row>
    <row r="43" spans="1:24" ht="13.2" customHeight="1" x14ac:dyDescent="0.3">
      <c r="A43" s="34"/>
      <c r="B43" s="34"/>
      <c r="C43" s="34"/>
      <c r="D43" s="10"/>
      <c r="E43" s="10"/>
      <c r="F43" s="10"/>
      <c r="G43" s="1535"/>
      <c r="H43" s="1535"/>
      <c r="I43" s="1535"/>
      <c r="J43" s="1535"/>
      <c r="K43" s="1535"/>
      <c r="L43" s="1535"/>
      <c r="M43" s="1535"/>
      <c r="N43" s="1535"/>
      <c r="O43" s="1535"/>
      <c r="P43" s="1535"/>
      <c r="Q43" s="1535"/>
      <c r="R43" s="2"/>
      <c r="S43" s="2"/>
      <c r="T43" s="2"/>
      <c r="U43" s="2"/>
      <c r="V43" s="2"/>
      <c r="W43" s="2"/>
    </row>
    <row r="44" spans="1:24" ht="10.8" customHeight="1" x14ac:dyDescent="0.3">
      <c r="A44" s="34"/>
      <c r="B44" s="34"/>
      <c r="C44" s="34"/>
      <c r="D44" s="10"/>
      <c r="E44" s="10"/>
      <c r="F44" s="10"/>
      <c r="G44" s="1535"/>
      <c r="H44" s="1535"/>
      <c r="I44" s="1535"/>
      <c r="J44" s="1535"/>
      <c r="K44" s="1535"/>
      <c r="L44" s="1535"/>
      <c r="M44" s="1535"/>
      <c r="N44" s="1535"/>
      <c r="O44" s="1535"/>
      <c r="P44" s="1535"/>
      <c r="Q44" s="1535"/>
      <c r="R44" s="2"/>
      <c r="S44" s="2"/>
      <c r="T44" s="2"/>
      <c r="U44" s="2"/>
      <c r="V44" s="2"/>
      <c r="W44" s="2"/>
    </row>
    <row r="45" spans="1:24" ht="24" customHeight="1" x14ac:dyDescent="0.3">
      <c r="A45" s="1476" t="s">
        <v>1032</v>
      </c>
      <c r="B45" s="1476"/>
      <c r="C45" s="1476"/>
      <c r="D45" s="10"/>
      <c r="E45" s="10"/>
      <c r="F45" s="10"/>
      <c r="G45" s="10"/>
      <c r="H45" s="10"/>
      <c r="I45" s="10"/>
      <c r="J45" s="10"/>
      <c r="K45" s="10"/>
      <c r="L45" s="10"/>
      <c r="M45" s="10"/>
      <c r="N45" s="2"/>
      <c r="O45" s="2"/>
      <c r="P45" s="2"/>
      <c r="Q45" s="2"/>
      <c r="R45" s="2"/>
      <c r="S45" s="2"/>
      <c r="T45" s="2"/>
      <c r="U45" s="2"/>
      <c r="V45" s="2"/>
      <c r="W45" s="2"/>
    </row>
    <row r="46" spans="1:24" ht="33" customHeight="1" x14ac:dyDescent="0.3">
      <c r="A46" s="1865" t="s">
        <v>985</v>
      </c>
      <c r="B46" s="1865"/>
      <c r="C46" s="1865"/>
      <c r="D46" s="1865"/>
      <c r="E46" s="1865"/>
      <c r="F46" s="1865"/>
      <c r="G46" s="1865"/>
      <c r="H46" s="1865"/>
      <c r="I46" s="1865"/>
      <c r="J46" s="1865"/>
      <c r="K46" s="1865"/>
      <c r="L46" s="1865"/>
      <c r="M46" s="1865"/>
      <c r="N46" s="1865"/>
      <c r="O46" s="1865"/>
      <c r="P46" s="1865"/>
      <c r="Q46" s="1865"/>
      <c r="R46" s="612"/>
      <c r="S46" s="613" t="s">
        <v>979</v>
      </c>
      <c r="T46" s="612"/>
      <c r="U46" s="614" t="s">
        <v>980</v>
      </c>
      <c r="V46" s="612"/>
      <c r="W46" s="612"/>
      <c r="X46" s="612"/>
    </row>
    <row r="47" spans="1:24" ht="4.8" customHeight="1" x14ac:dyDescent="0.3">
      <c r="A47" s="173"/>
      <c r="B47" s="173"/>
      <c r="C47" s="173"/>
      <c r="D47" s="173"/>
      <c r="E47" s="173"/>
      <c r="F47" s="173"/>
      <c r="G47" s="173"/>
      <c r="H47" s="173"/>
      <c r="I47" s="173"/>
      <c r="J47" s="173"/>
      <c r="K47" s="10"/>
      <c r="L47" s="10"/>
      <c r="M47" s="10"/>
      <c r="N47" s="2"/>
      <c r="O47" s="2"/>
      <c r="P47" s="2"/>
      <c r="Q47" s="2"/>
      <c r="R47" s="2"/>
      <c r="S47" s="2"/>
      <c r="T47" s="2"/>
      <c r="U47" s="2"/>
      <c r="V47" s="2"/>
      <c r="W47" s="2"/>
    </row>
    <row r="48" spans="1:24" ht="15.6" customHeight="1" x14ac:dyDescent="0.3">
      <c r="A48" s="173"/>
      <c r="B48" s="619" t="s">
        <v>616</v>
      </c>
      <c r="C48" s="1777" t="s">
        <v>989</v>
      </c>
      <c r="D48" s="1777"/>
      <c r="E48" s="1777"/>
      <c r="F48" s="1777"/>
      <c r="G48" s="1777"/>
      <c r="H48" s="1777"/>
      <c r="I48" s="1777"/>
      <c r="J48" s="1777"/>
      <c r="K48" s="1777"/>
      <c r="L48" s="1777"/>
      <c r="M48" s="1777"/>
      <c r="N48" s="1777"/>
      <c r="O48" s="1777"/>
      <c r="P48" s="99"/>
      <c r="Q48" s="1778">
        <v>100</v>
      </c>
      <c r="R48" s="1778"/>
      <c r="S48" s="1778"/>
      <c r="T48" s="173"/>
      <c r="U48" s="173"/>
      <c r="V48" s="2"/>
      <c r="W48" s="2"/>
    </row>
    <row r="49" spans="1:24" ht="4.2" customHeight="1" x14ac:dyDescent="0.3">
      <c r="A49" s="173"/>
      <c r="B49" s="23"/>
      <c r="C49" s="617"/>
      <c r="D49" s="617"/>
      <c r="E49" s="617"/>
      <c r="F49" s="617"/>
      <c r="G49" s="617"/>
      <c r="H49" s="617"/>
      <c r="I49" s="617"/>
      <c r="J49" s="617"/>
      <c r="K49" s="617"/>
      <c r="L49" s="617"/>
      <c r="M49" s="617"/>
      <c r="N49" s="617"/>
      <c r="O49" s="617"/>
      <c r="P49" s="99"/>
      <c r="Q49" s="618"/>
      <c r="R49" s="618"/>
      <c r="S49" s="618"/>
      <c r="T49" s="173"/>
      <c r="U49" s="173"/>
      <c r="V49" s="2"/>
      <c r="W49" s="2"/>
    </row>
    <row r="50" spans="1:24" ht="15.6" customHeight="1" x14ac:dyDescent="0.3">
      <c r="A50" s="34"/>
      <c r="B50" s="619" t="s">
        <v>619</v>
      </c>
      <c r="C50" s="1777" t="s">
        <v>990</v>
      </c>
      <c r="D50" s="1777"/>
      <c r="E50" s="1777"/>
      <c r="F50" s="1777"/>
      <c r="G50" s="1777"/>
      <c r="H50" s="1777"/>
      <c r="I50" s="1777"/>
      <c r="J50" s="1777"/>
      <c r="K50" s="1777"/>
      <c r="L50" s="1777"/>
      <c r="M50" s="1777"/>
      <c r="N50" s="1777"/>
      <c r="O50" s="1777"/>
      <c r="P50" s="640"/>
      <c r="Q50" s="1778">
        <v>50</v>
      </c>
      <c r="R50" s="1778"/>
      <c r="S50" s="1778"/>
      <c r="T50" s="2"/>
      <c r="U50" s="2"/>
      <c r="V50" s="2"/>
      <c r="W50" s="2"/>
    </row>
    <row r="51" spans="1:24" ht="16.2" customHeight="1" x14ac:dyDescent="0.3">
      <c r="A51" s="34"/>
      <c r="B51" s="34"/>
      <c r="C51" s="34"/>
      <c r="D51" s="10"/>
      <c r="E51" s="10"/>
      <c r="F51" s="10"/>
      <c r="G51" s="10"/>
      <c r="H51" s="10"/>
      <c r="I51" s="10"/>
      <c r="J51" s="10"/>
      <c r="K51" s="10"/>
      <c r="L51" s="10"/>
      <c r="M51" s="10"/>
      <c r="N51" s="2"/>
      <c r="O51" s="2"/>
      <c r="P51" s="2"/>
      <c r="Q51" s="2"/>
      <c r="R51" s="2"/>
      <c r="S51" s="2"/>
      <c r="T51" s="2"/>
      <c r="U51" s="2"/>
      <c r="V51" s="2"/>
      <c r="W51" s="2"/>
    </row>
    <row r="52" spans="1:24" ht="23.4" customHeight="1" thickBot="1" x14ac:dyDescent="0.35">
      <c r="A52" s="34"/>
      <c r="B52" s="1784" t="s">
        <v>983</v>
      </c>
      <c r="C52" s="1784"/>
      <c r="D52" s="1784"/>
      <c r="E52" s="1784"/>
      <c r="F52" s="1783" t="s">
        <v>982</v>
      </c>
      <c r="G52" s="1783"/>
      <c r="H52" s="1783"/>
      <c r="I52" s="1783"/>
      <c r="J52" s="1783"/>
      <c r="K52" s="1783"/>
      <c r="L52" s="1783"/>
      <c r="M52" s="1783"/>
      <c r="N52" s="1779">
        <f>IF(AND(Q48&lt;&gt;"",Q50&lt;&gt;"",W69=1),(Q50/Q48),IF(W69=2,1,"%"))</f>
        <v>0.5</v>
      </c>
      <c r="O52" s="1779"/>
      <c r="P52" s="1779"/>
      <c r="Q52" s="1780" t="s">
        <v>179</v>
      </c>
      <c r="R52" s="1780"/>
      <c r="S52" s="1781">
        <f>IF(OR(AND(W69=1,Q48&lt;&gt;"",Q50&lt;&gt;"",P30&lt;&gt;0),AND(W69=2,P30&lt;&gt;0,N52&lt;&gt;"")),P30*N52,0)</f>
        <v>466.66666666666669</v>
      </c>
      <c r="T52" s="1782"/>
      <c r="U52" s="1782"/>
      <c r="V52" s="2"/>
      <c r="W52" s="72">
        <f>IF(W70=TRUE,0,S52)</f>
        <v>466.66666666666669</v>
      </c>
    </row>
    <row r="53" spans="1:24" ht="15.6" customHeight="1" thickTop="1" x14ac:dyDescent="0.3">
      <c r="A53" s="34"/>
      <c r="B53" s="34"/>
      <c r="F53" s="114"/>
      <c r="G53" s="114"/>
      <c r="H53" s="114"/>
      <c r="I53" s="114"/>
      <c r="J53" s="114"/>
      <c r="K53" s="114"/>
      <c r="L53" s="114"/>
      <c r="M53" s="114"/>
      <c r="N53" s="529"/>
      <c r="O53" s="529"/>
      <c r="P53" s="529"/>
      <c r="Q53" s="529"/>
      <c r="R53" s="2"/>
      <c r="S53" s="2"/>
      <c r="T53" s="2"/>
      <c r="U53" s="2"/>
      <c r="V53" s="2"/>
      <c r="W53" s="2"/>
    </row>
    <row r="54" spans="1:24" ht="15.6" customHeight="1" x14ac:dyDescent="0.3">
      <c r="A54" s="34"/>
      <c r="B54" s="34"/>
      <c r="C54" s="1775"/>
      <c r="D54" s="1775"/>
      <c r="E54" s="1775"/>
      <c r="F54" s="622"/>
      <c r="G54" s="622"/>
      <c r="H54" s="622"/>
      <c r="I54" s="622"/>
      <c r="J54" s="622"/>
      <c r="K54" s="622"/>
      <c r="L54" s="622"/>
      <c r="M54" s="622"/>
      <c r="N54" s="622"/>
      <c r="O54" s="622"/>
      <c r="P54" s="622"/>
      <c r="Q54" s="622"/>
      <c r="R54" s="2"/>
      <c r="S54" s="2"/>
      <c r="T54" s="2"/>
      <c r="U54" s="2"/>
      <c r="V54" s="2"/>
      <c r="W54" s="2"/>
    </row>
    <row r="55" spans="1:24" ht="15.6" customHeight="1" x14ac:dyDescent="0.3">
      <c r="A55" s="34"/>
      <c r="B55" s="34"/>
      <c r="C55" s="1776"/>
      <c r="D55" s="1776"/>
      <c r="E55" s="1776"/>
      <c r="F55" s="1776"/>
      <c r="G55" s="1776"/>
      <c r="H55" s="1776"/>
      <c r="I55" s="1776"/>
      <c r="J55" s="1776"/>
      <c r="K55" s="1776"/>
      <c r="L55" s="1776"/>
      <c r="M55" s="1776"/>
      <c r="N55" s="1776"/>
      <c r="O55" s="1776"/>
      <c r="P55" s="1776"/>
      <c r="Q55" s="1776"/>
      <c r="R55" s="2"/>
      <c r="S55" s="2"/>
      <c r="T55" s="2"/>
      <c r="U55" s="2"/>
      <c r="V55" s="2"/>
      <c r="W55" s="2"/>
    </row>
    <row r="56" spans="1:24" ht="15.6" customHeight="1" x14ac:dyDescent="0.3">
      <c r="A56" s="34"/>
      <c r="B56" s="34"/>
      <c r="C56" s="1776"/>
      <c r="D56" s="1776"/>
      <c r="E56" s="1776"/>
      <c r="F56" s="1776"/>
      <c r="G56" s="1776"/>
      <c r="H56" s="1776"/>
      <c r="I56" s="1776"/>
      <c r="J56" s="1776"/>
      <c r="K56" s="1776"/>
      <c r="L56" s="1776"/>
      <c r="M56" s="1776"/>
      <c r="N56" s="1776"/>
      <c r="O56" s="1776"/>
      <c r="P56" s="1776"/>
      <c r="Q56" s="1776"/>
      <c r="R56" s="2"/>
      <c r="S56" s="2"/>
      <c r="T56" s="2"/>
      <c r="U56" s="2"/>
      <c r="V56" s="2"/>
      <c r="W56" s="2"/>
    </row>
    <row r="57" spans="1:24" ht="15.6" customHeight="1" x14ac:dyDescent="0.3">
      <c r="A57" s="34"/>
      <c r="B57" s="34"/>
      <c r="C57" s="1776"/>
      <c r="D57" s="1776"/>
      <c r="E57" s="1776"/>
      <c r="F57" s="1776"/>
      <c r="G57" s="1776"/>
      <c r="H57" s="1776"/>
      <c r="I57" s="1776"/>
      <c r="J57" s="1776"/>
      <c r="K57" s="1776"/>
      <c r="L57" s="1776"/>
      <c r="M57" s="1776"/>
      <c r="N57" s="1776"/>
      <c r="O57" s="1776"/>
      <c r="P57" s="1776"/>
      <c r="Q57" s="1776"/>
      <c r="R57" s="2"/>
      <c r="S57" s="2"/>
      <c r="T57" s="2"/>
      <c r="U57" s="2"/>
      <c r="V57" s="2"/>
      <c r="W57" s="2"/>
    </row>
    <row r="58" spans="1:24" ht="17.399999999999999" customHeight="1" x14ac:dyDescent="0.3">
      <c r="A58" s="34"/>
      <c r="B58" s="34"/>
      <c r="C58" s="34"/>
      <c r="D58" s="10"/>
      <c r="E58" s="10"/>
      <c r="F58" s="10"/>
      <c r="H58" s="10"/>
      <c r="I58" s="10"/>
      <c r="M58" s="10"/>
      <c r="N58" s="2"/>
      <c r="O58" s="2"/>
      <c r="P58" s="2"/>
      <c r="Q58" s="2"/>
      <c r="R58" s="2"/>
      <c r="S58" s="2"/>
      <c r="T58" s="2"/>
      <c r="U58" s="2"/>
      <c r="V58" s="2"/>
      <c r="W58" s="2"/>
    </row>
    <row r="59" spans="1:24" ht="15.75" customHeight="1" x14ac:dyDescent="0.3">
      <c r="A59" s="1494" t="s">
        <v>30</v>
      </c>
      <c r="B59" s="1494"/>
      <c r="C59" s="1494"/>
      <c r="D59" s="19"/>
      <c r="E59" s="19"/>
      <c r="F59" s="19"/>
      <c r="G59" s="19"/>
      <c r="H59" s="19"/>
      <c r="I59" s="19"/>
      <c r="J59" s="19"/>
      <c r="K59" s="19"/>
      <c r="L59" s="19"/>
      <c r="M59" s="19"/>
      <c r="N59" s="19"/>
      <c r="O59" s="19"/>
      <c r="P59" s="19"/>
      <c r="Q59" s="19"/>
      <c r="R59" s="19"/>
      <c r="S59" s="19"/>
      <c r="T59" s="19"/>
      <c r="U59" s="19"/>
      <c r="V59" s="19"/>
      <c r="W59" s="19"/>
    </row>
    <row r="60" spans="1:24" ht="15.75" customHeight="1" x14ac:dyDescent="0.3">
      <c r="A60" s="1864"/>
      <c r="B60" s="1864"/>
      <c r="C60" s="1864"/>
      <c r="D60" s="1864"/>
      <c r="E60" s="1864"/>
      <c r="F60" s="1864"/>
      <c r="G60" s="1864"/>
      <c r="H60" s="1864"/>
      <c r="I60" s="1864"/>
      <c r="J60" s="1864"/>
      <c r="K60" s="1864"/>
      <c r="L60" s="1864"/>
      <c r="M60" s="1864"/>
      <c r="N60" s="1864"/>
      <c r="O60" s="1864"/>
      <c r="P60" s="1864"/>
      <c r="Q60" s="1864"/>
      <c r="R60" s="1864"/>
      <c r="S60" s="1864"/>
      <c r="T60" s="1864"/>
      <c r="U60" s="1864"/>
      <c r="V60" s="1864"/>
      <c r="W60" s="1864"/>
      <c r="X60" s="1864"/>
    </row>
    <row r="61" spans="1:24" ht="15.75" customHeight="1" x14ac:dyDescent="0.3">
      <c r="A61" s="1864"/>
      <c r="B61" s="1864"/>
      <c r="C61" s="1864"/>
      <c r="D61" s="1864"/>
      <c r="E61" s="1864"/>
      <c r="F61" s="1864"/>
      <c r="G61" s="1864"/>
      <c r="H61" s="1864"/>
      <c r="I61" s="1864"/>
      <c r="J61" s="1864"/>
      <c r="K61" s="1864"/>
      <c r="L61" s="1864"/>
      <c r="M61" s="1864"/>
      <c r="N61" s="1864"/>
      <c r="O61" s="1864"/>
      <c r="P61" s="1864"/>
      <c r="Q61" s="1864"/>
      <c r="R61" s="1864"/>
      <c r="S61" s="1864"/>
      <c r="T61" s="1864"/>
      <c r="U61" s="1864"/>
      <c r="V61" s="1864"/>
      <c r="W61" s="1864"/>
      <c r="X61" s="1864"/>
    </row>
    <row r="62" spans="1:24" ht="15.75" customHeight="1" x14ac:dyDescent="0.3">
      <c r="A62" s="1864"/>
      <c r="B62" s="1864"/>
      <c r="C62" s="1864"/>
      <c r="D62" s="1864"/>
      <c r="E62" s="1864"/>
      <c r="F62" s="1864"/>
      <c r="G62" s="1864"/>
      <c r="H62" s="1864"/>
      <c r="I62" s="1864"/>
      <c r="J62" s="1864"/>
      <c r="K62" s="1864"/>
      <c r="L62" s="1864"/>
      <c r="M62" s="1864"/>
      <c r="N62" s="1864"/>
      <c r="O62" s="1864"/>
      <c r="P62" s="1864"/>
      <c r="Q62" s="1864"/>
      <c r="R62" s="1864"/>
      <c r="S62" s="1864"/>
      <c r="T62" s="1864"/>
      <c r="U62" s="1864"/>
      <c r="V62" s="1864"/>
      <c r="W62" s="1864"/>
      <c r="X62" s="1864"/>
    </row>
    <row r="63" spans="1:24" ht="15.75" customHeight="1" x14ac:dyDescent="0.3">
      <c r="A63" s="1864"/>
      <c r="B63" s="1864"/>
      <c r="C63" s="1864"/>
      <c r="D63" s="1864"/>
      <c r="E63" s="1864"/>
      <c r="F63" s="1864"/>
      <c r="G63" s="1864"/>
      <c r="H63" s="1864"/>
      <c r="I63" s="1864"/>
      <c r="J63" s="1864"/>
      <c r="K63" s="1864"/>
      <c r="L63" s="1864"/>
      <c r="M63" s="1864"/>
      <c r="N63" s="1864"/>
      <c r="O63" s="1864"/>
      <c r="P63" s="1864"/>
      <c r="Q63" s="1864"/>
      <c r="R63" s="1864"/>
      <c r="S63" s="1864"/>
      <c r="T63" s="1864"/>
      <c r="U63" s="1864"/>
      <c r="V63" s="1864"/>
      <c r="W63" s="1864"/>
      <c r="X63" s="1864"/>
    </row>
    <row r="64" spans="1:24" ht="15.75" customHeight="1" x14ac:dyDescent="0.3">
      <c r="A64" s="1864"/>
      <c r="B64" s="1864"/>
      <c r="C64" s="1864"/>
      <c r="D64" s="1864"/>
      <c r="E64" s="1864"/>
      <c r="F64" s="1864"/>
      <c r="G64" s="1864"/>
      <c r="H64" s="1864"/>
      <c r="I64" s="1864"/>
      <c r="J64" s="1864"/>
      <c r="K64" s="1864"/>
      <c r="L64" s="1864"/>
      <c r="M64" s="1864"/>
      <c r="N64" s="1864"/>
      <c r="O64" s="1864"/>
      <c r="P64" s="1864"/>
      <c r="Q64" s="1864"/>
      <c r="R64" s="1864"/>
      <c r="S64" s="1864"/>
      <c r="T64" s="1864"/>
      <c r="U64" s="1864"/>
      <c r="V64" s="1864"/>
      <c r="W64" s="1864"/>
      <c r="X64" s="1864"/>
    </row>
    <row r="65" spans="1:24" ht="15.75" customHeight="1" x14ac:dyDescent="0.3">
      <c r="A65" s="1864"/>
      <c r="B65" s="1864"/>
      <c r="C65" s="1864"/>
      <c r="D65" s="1864"/>
      <c r="E65" s="1864"/>
      <c r="F65" s="1864"/>
      <c r="G65" s="1864"/>
      <c r="H65" s="1864"/>
      <c r="I65" s="1864"/>
      <c r="J65" s="1864"/>
      <c r="K65" s="1864"/>
      <c r="L65" s="1864"/>
      <c r="M65" s="1864"/>
      <c r="N65" s="1864"/>
      <c r="O65" s="1864"/>
      <c r="P65" s="1864"/>
      <c r="Q65" s="1864"/>
      <c r="R65" s="1864"/>
      <c r="S65" s="1864"/>
      <c r="T65" s="1864"/>
      <c r="U65" s="1864"/>
      <c r="V65" s="1864"/>
      <c r="W65" s="1864"/>
      <c r="X65" s="1864"/>
    </row>
    <row r="66" spans="1:24" ht="15.75" customHeight="1" x14ac:dyDescent="0.3">
      <c r="A66" s="1864"/>
      <c r="B66" s="1864"/>
      <c r="C66" s="1864"/>
      <c r="D66" s="1864"/>
      <c r="E66" s="1864"/>
      <c r="F66" s="1864"/>
      <c r="G66" s="1864"/>
      <c r="H66" s="1864"/>
      <c r="I66" s="1864"/>
      <c r="J66" s="1864"/>
      <c r="K66" s="1864"/>
      <c r="L66" s="1864"/>
      <c r="M66" s="1864"/>
      <c r="N66" s="1864"/>
      <c r="O66" s="1864"/>
      <c r="P66" s="1864"/>
      <c r="Q66" s="1864"/>
      <c r="R66" s="1864"/>
      <c r="S66" s="1864"/>
      <c r="T66" s="1864"/>
      <c r="U66" s="1864"/>
      <c r="V66" s="1864"/>
      <c r="W66" s="1864"/>
      <c r="X66" s="1864"/>
    </row>
    <row r="67" spans="1:24" ht="14.25" customHeight="1" x14ac:dyDescent="0.3">
      <c r="A67" s="1864"/>
      <c r="B67" s="1864"/>
      <c r="C67" s="1864"/>
      <c r="D67" s="1864"/>
      <c r="E67" s="1864"/>
      <c r="F67" s="1864"/>
      <c r="G67" s="1864"/>
      <c r="H67" s="1864"/>
      <c r="I67" s="1864"/>
      <c r="J67" s="1864"/>
      <c r="K67" s="1864"/>
      <c r="L67" s="1864"/>
      <c r="M67" s="1864"/>
      <c r="N67" s="1864"/>
      <c r="O67" s="1864"/>
      <c r="P67" s="1864"/>
      <c r="Q67" s="1864"/>
      <c r="R67" s="1864"/>
      <c r="S67" s="1864"/>
      <c r="T67" s="1864"/>
      <c r="U67" s="1864"/>
      <c r="V67" s="1864"/>
      <c r="W67" s="1864"/>
      <c r="X67" s="1864"/>
    </row>
    <row r="68" spans="1:24" ht="13.2" customHeight="1" x14ac:dyDescent="0.3">
      <c r="U68" s="390" t="b">
        <v>0</v>
      </c>
      <c r="V68" s="556"/>
      <c r="W68" s="390">
        <v>2</v>
      </c>
    </row>
    <row r="69" spans="1:24" x14ac:dyDescent="0.3">
      <c r="U69" s="390" t="b">
        <v>0</v>
      </c>
      <c r="V69" s="556"/>
      <c r="W69" s="390">
        <v>1</v>
      </c>
    </row>
    <row r="70" spans="1:24" ht="15" customHeight="1" x14ac:dyDescent="0.3">
      <c r="U70" s="390" t="b">
        <v>0</v>
      </c>
      <c r="V70" s="556"/>
      <c r="W70" s="390" t="b">
        <v>0</v>
      </c>
    </row>
    <row r="71" spans="1:24" x14ac:dyDescent="0.3">
      <c r="A71" s="1522" t="str">
        <f ca="1">REPLACE(CELL("filename",A71),1,FIND("]",CELL("filename",A71)),"")</f>
        <v>Capital Gains (sch D) Incomplet</v>
      </c>
      <c r="B71" s="1522"/>
      <c r="C71" s="1522"/>
      <c r="D71" s="1522"/>
      <c r="E71" s="1522"/>
      <c r="R71" s="186"/>
      <c r="S71" s="186"/>
      <c r="T71" s="1419" t="str">
        <f>Version</f>
        <v>Version 2026.1</v>
      </c>
      <c r="U71" s="1419"/>
      <c r="V71" s="1419"/>
      <c r="W71" s="1419"/>
    </row>
  </sheetData>
  <sheetProtection algorithmName="SHA-512" hashValue="7OQAu9PX2HJvFriTGtFLIDzcJ4T7OJJqJWXq1q2Emjhndid+yDxygqoD1v9iVXNdPxXpxOPFDjHbXxUSsrJHBw==" saltValue="ZIKCOnFeYzJr1aF6po3tGw==" spinCount="100000" sheet="1" selectLockedCells="1"/>
  <mergeCells count="94">
    <mergeCell ref="A2:X2"/>
    <mergeCell ref="A3:X3"/>
    <mergeCell ref="M4:N4"/>
    <mergeCell ref="O4:X6"/>
    <mergeCell ref="M5:N5"/>
    <mergeCell ref="A6:C6"/>
    <mergeCell ref="D6:K6"/>
    <mergeCell ref="M6:N6"/>
    <mergeCell ref="B16:K16"/>
    <mergeCell ref="M18:O18"/>
    <mergeCell ref="A9:C9"/>
    <mergeCell ref="B10:K10"/>
    <mergeCell ref="M9:W9"/>
    <mergeCell ref="M10:W10"/>
    <mergeCell ref="M11:W11"/>
    <mergeCell ref="M12:W12"/>
    <mergeCell ref="A14:G14"/>
    <mergeCell ref="M14:O14"/>
    <mergeCell ref="Q14:S14"/>
    <mergeCell ref="U14:W14"/>
    <mergeCell ref="L13:T13"/>
    <mergeCell ref="U13:X13"/>
    <mergeCell ref="M16:O16"/>
    <mergeCell ref="Q16:S16"/>
    <mergeCell ref="U16:W16"/>
    <mergeCell ref="Q18:S18"/>
    <mergeCell ref="U18:W18"/>
    <mergeCell ref="M30:O30"/>
    <mergeCell ref="P30:S30"/>
    <mergeCell ref="T30:W30"/>
    <mergeCell ref="U22:W22"/>
    <mergeCell ref="M25:O25"/>
    <mergeCell ref="Q25:S25"/>
    <mergeCell ref="M20:O20"/>
    <mergeCell ref="Q20:S20"/>
    <mergeCell ref="Q22:S22"/>
    <mergeCell ref="C20:J20"/>
    <mergeCell ref="A29:C29"/>
    <mergeCell ref="B30:C30"/>
    <mergeCell ref="D30:F30"/>
    <mergeCell ref="G30:I30"/>
    <mergeCell ref="J30:K30"/>
    <mergeCell ref="A65:X65"/>
    <mergeCell ref="A66:X66"/>
    <mergeCell ref="A67:X67"/>
    <mergeCell ref="A71:E71"/>
    <mergeCell ref="T71:W71"/>
    <mergeCell ref="C54:E54"/>
    <mergeCell ref="C55:Q57"/>
    <mergeCell ref="A59:C59"/>
    <mergeCell ref="A60:X60"/>
    <mergeCell ref="A61:X61"/>
    <mergeCell ref="A62:X62"/>
    <mergeCell ref="A63:X63"/>
    <mergeCell ref="A64:X64"/>
    <mergeCell ref="U20:W20"/>
    <mergeCell ref="A22:C22"/>
    <mergeCell ref="M22:O22"/>
    <mergeCell ref="A46:Q46"/>
    <mergeCell ref="C48:O48"/>
    <mergeCell ref="Q48:S48"/>
    <mergeCell ref="C50:O50"/>
    <mergeCell ref="Q50:S50"/>
    <mergeCell ref="B52:E52"/>
    <mergeCell ref="F52:M52"/>
    <mergeCell ref="N52:P52"/>
    <mergeCell ref="Q52:R52"/>
    <mergeCell ref="S52:U52"/>
    <mergeCell ref="A45:C45"/>
    <mergeCell ref="D36:G37"/>
    <mergeCell ref="H36:T37"/>
    <mergeCell ref="E32:E33"/>
    <mergeCell ref="F32:F33"/>
    <mergeCell ref="G32:H33"/>
    <mergeCell ref="G42:Q44"/>
    <mergeCell ref="D38:G39"/>
    <mergeCell ref="H38:T39"/>
    <mergeCell ref="M32:U34"/>
    <mergeCell ref="B18:K18"/>
    <mergeCell ref="X38:X39"/>
    <mergeCell ref="C40:W40"/>
    <mergeCell ref="T14:T25"/>
    <mergeCell ref="X14:X25"/>
    <mergeCell ref="B24:K25"/>
    <mergeCell ref="L14:L26"/>
    <mergeCell ref="U26:X26"/>
    <mergeCell ref="M26:T26"/>
    <mergeCell ref="U25:W25"/>
    <mergeCell ref="M23:O23"/>
    <mergeCell ref="Q23:S23"/>
    <mergeCell ref="U23:W23"/>
    <mergeCell ref="M24:O24"/>
    <mergeCell ref="Q28:W28"/>
    <mergeCell ref="Q24:S24"/>
  </mergeCells>
  <conditionalFormatting sqref="Q16">
    <cfRule type="expression" dxfId="1027" priority="24" stopIfTrue="1">
      <formula>#REF!=2</formula>
    </cfRule>
  </conditionalFormatting>
  <conditionalFormatting sqref="U16">
    <cfRule type="expression" dxfId="1026" priority="23" stopIfTrue="1">
      <formula>#REF!=2</formula>
    </cfRule>
  </conditionalFormatting>
  <conditionalFormatting sqref="Q20">
    <cfRule type="expression" dxfId="1025" priority="22" stopIfTrue="1">
      <formula>#REF!=2</formula>
    </cfRule>
  </conditionalFormatting>
  <conditionalFormatting sqref="M20">
    <cfRule type="expression" dxfId="1024" priority="19" stopIfTrue="1">
      <formula>#REF!=2</formula>
    </cfRule>
  </conditionalFormatting>
  <conditionalFormatting sqref="U22">
    <cfRule type="expression" dxfId="1023" priority="21" stopIfTrue="1">
      <formula>#REF!=2</formula>
    </cfRule>
  </conditionalFormatting>
  <conditionalFormatting sqref="M16">
    <cfRule type="expression" dxfId="1022" priority="20" stopIfTrue="1">
      <formula>#REF!=2</formula>
    </cfRule>
  </conditionalFormatting>
  <conditionalFormatting sqref="M22">
    <cfRule type="expression" dxfId="1021" priority="18" stopIfTrue="1">
      <formula>#REF!=2</formula>
    </cfRule>
  </conditionalFormatting>
  <conditionalFormatting sqref="Q22">
    <cfRule type="expression" dxfId="1020" priority="17" stopIfTrue="1">
      <formula>#REF!=2</formula>
    </cfRule>
  </conditionalFormatting>
  <conditionalFormatting sqref="U20">
    <cfRule type="expression" dxfId="1019" priority="16" stopIfTrue="1">
      <formula>#REF!=2</formula>
    </cfRule>
  </conditionalFormatting>
  <conditionalFormatting sqref="H38">
    <cfRule type="expression" dxfId="1018" priority="15">
      <formula>AND($M$33&lt;&gt;0,$Q$33&lt;&gt;0, $M$33&lt;$Q$33)</formula>
    </cfRule>
  </conditionalFormatting>
  <conditionalFormatting sqref="H36 U36:W37">
    <cfRule type="expression" dxfId="1017" priority="13">
      <formula>AND($Q$33&lt;&gt;0,$U$33&lt;&gt;0,$Q$33&lt;$U$33)</formula>
    </cfRule>
  </conditionalFormatting>
  <conditionalFormatting sqref="Q28:W28">
    <cfRule type="expression" dxfId="1016" priority="12">
      <formula>OR($U$68=TRUE,$U$69=TRUE,$U$70=TRUE)</formula>
    </cfRule>
  </conditionalFormatting>
  <conditionalFormatting sqref="G42">
    <cfRule type="expression" dxfId="1015" priority="11">
      <formula>OR(AND($U$33&lt;&gt;0,$Q$33&lt;&gt;0,$Q$33&lt;$U$33),AND($Q$22&lt;&gt;0,$M$22&lt;&gt;0,$M$33&lt;$Q$33))</formula>
    </cfRule>
  </conditionalFormatting>
  <conditionalFormatting sqref="O4:X6">
    <cfRule type="expression" dxfId="1014" priority="32">
      <formula>AND(A71&lt;&gt;"Capital Gains (sch D)",A71&lt;&gt;"Capital Gains (sch D) (2)",A71&lt;&gt;"Capital Gains (sch D) (3)",A71&lt;&gt;"Capital Gains (sch D) (4)")</formula>
    </cfRule>
  </conditionalFormatting>
  <conditionalFormatting sqref="Q48 Q50">
    <cfRule type="expression" dxfId="1013" priority="10">
      <formula>$W$69=1</formula>
    </cfRule>
  </conditionalFormatting>
  <conditionalFormatting sqref="B48:O48">
    <cfRule type="expression" dxfId="1012" priority="9">
      <formula>$W$69=1</formula>
    </cfRule>
  </conditionalFormatting>
  <conditionalFormatting sqref="B50:C50">
    <cfRule type="expression" dxfId="1011" priority="8">
      <formula>$W$69=1</formula>
    </cfRule>
  </conditionalFormatting>
  <conditionalFormatting sqref="S52:U52">
    <cfRule type="expression" dxfId="1010" priority="7">
      <formula>$W$70=TRUE</formula>
    </cfRule>
  </conditionalFormatting>
  <conditionalFormatting sqref="Q18">
    <cfRule type="expression" dxfId="1009" priority="6" stopIfTrue="1">
      <formula>#REF!=2</formula>
    </cfRule>
  </conditionalFormatting>
  <conditionalFormatting sqref="U18">
    <cfRule type="expression" dxfId="1008" priority="5" stopIfTrue="1">
      <formula>#REF!=2</formula>
    </cfRule>
  </conditionalFormatting>
  <conditionalFormatting sqref="M18">
    <cfRule type="expression" dxfId="1007" priority="4" stopIfTrue="1">
      <formula>#REF!=2</formula>
    </cfRule>
  </conditionalFormatting>
  <conditionalFormatting sqref="L13:T13 L14:L26 T14:T25 M26:T26">
    <cfRule type="expression" dxfId="1006" priority="3">
      <formula>$W$68=2</formula>
    </cfRule>
  </conditionalFormatting>
  <conditionalFormatting sqref="L14:L26 L13:X13 X14:X25 M26:X26">
    <cfRule type="expression" dxfId="1005" priority="2">
      <formula>$W$68=3</formula>
    </cfRule>
  </conditionalFormatting>
  <conditionalFormatting sqref="M32:U34">
    <cfRule type="expression" dxfId="1004" priority="1">
      <formula>$M$32="Caution, Number of Months entered does not match number of months calculated per data.  Correct or explain/justify in notes."</formula>
    </cfRule>
  </conditionalFormatting>
  <printOptions horizontalCentered="1"/>
  <pageMargins left="0.25" right="0.30092592592592599" top="0.25" bottom="0.25" header="0.3" footer="0.3"/>
  <pageSetup paperSize="5" scale="9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3665" r:id="rId4" name="Check Box 1">
              <controlPr defaultSize="0" autoFill="0" autoLine="0" autoPict="0">
                <anchor moveWithCells="1" sizeWithCells="1">
                  <from>
                    <xdr:col>12</xdr:col>
                    <xdr:colOff>99060</xdr:colOff>
                    <xdr:row>22</xdr:row>
                    <xdr:rowOff>15240</xdr:rowOff>
                  </from>
                  <to>
                    <xdr:col>14</xdr:col>
                    <xdr:colOff>411480</xdr:colOff>
                    <xdr:row>25</xdr:row>
                    <xdr:rowOff>22860</xdr:rowOff>
                  </to>
                </anchor>
              </controlPr>
            </control>
          </mc:Choice>
        </mc:AlternateContent>
        <mc:AlternateContent xmlns:mc="http://schemas.openxmlformats.org/markup-compatibility/2006">
          <mc:Choice Requires="x14">
            <control shapeId="753666" r:id="rId5" name="Check Box 2">
              <controlPr defaultSize="0" autoFill="0" autoLine="0" autoPict="0">
                <anchor moveWithCells="1" sizeWithCells="1">
                  <from>
                    <xdr:col>16</xdr:col>
                    <xdr:colOff>121920</xdr:colOff>
                    <xdr:row>22</xdr:row>
                    <xdr:rowOff>22860</xdr:rowOff>
                  </from>
                  <to>
                    <xdr:col>18</xdr:col>
                    <xdr:colOff>434340</xdr:colOff>
                    <xdr:row>24</xdr:row>
                    <xdr:rowOff>160020</xdr:rowOff>
                  </to>
                </anchor>
              </controlPr>
            </control>
          </mc:Choice>
        </mc:AlternateContent>
        <mc:AlternateContent xmlns:mc="http://schemas.openxmlformats.org/markup-compatibility/2006">
          <mc:Choice Requires="x14">
            <control shapeId="753667" r:id="rId6" name="Check Box 3">
              <controlPr defaultSize="0" autoFill="0" autoLine="0" autoPict="0">
                <anchor moveWithCells="1" sizeWithCells="1">
                  <from>
                    <xdr:col>20</xdr:col>
                    <xdr:colOff>114300</xdr:colOff>
                    <xdr:row>22</xdr:row>
                    <xdr:rowOff>7620</xdr:rowOff>
                  </from>
                  <to>
                    <xdr:col>22</xdr:col>
                    <xdr:colOff>350520</xdr:colOff>
                    <xdr:row>25</xdr:row>
                    <xdr:rowOff>22860</xdr:rowOff>
                  </to>
                </anchor>
              </controlPr>
            </control>
          </mc:Choice>
        </mc:AlternateContent>
        <mc:AlternateContent xmlns:mc="http://schemas.openxmlformats.org/markup-compatibility/2006">
          <mc:Choice Requires="x14">
            <control shapeId="753672" r:id="rId7" name="Check Box 8">
              <controlPr defaultSize="0" autoFill="0" autoLine="0" autoPict="0">
                <anchor moveWithCells="1">
                  <from>
                    <xdr:col>18</xdr:col>
                    <xdr:colOff>7620</xdr:colOff>
                    <xdr:row>52</xdr:row>
                    <xdr:rowOff>91440</xdr:rowOff>
                  </from>
                  <to>
                    <xdr:col>21</xdr:col>
                    <xdr:colOff>45720</xdr:colOff>
                    <xdr:row>53</xdr:row>
                    <xdr:rowOff>106680</xdr:rowOff>
                  </to>
                </anchor>
              </controlPr>
            </control>
          </mc:Choice>
        </mc:AlternateContent>
        <mc:AlternateContent xmlns:mc="http://schemas.openxmlformats.org/markup-compatibility/2006">
          <mc:Choice Requires="x14">
            <control shapeId="753673" r:id="rId8" name="Option Button 9">
              <controlPr defaultSize="0" autoFill="0" autoLine="0" autoPict="0">
                <anchor moveWithCells="1">
                  <from>
                    <xdr:col>16</xdr:col>
                    <xdr:colOff>480060</xdr:colOff>
                    <xdr:row>44</xdr:row>
                    <xdr:rowOff>304800</xdr:rowOff>
                  </from>
                  <to>
                    <xdr:col>18</xdr:col>
                    <xdr:colOff>541020</xdr:colOff>
                    <xdr:row>45</xdr:row>
                    <xdr:rowOff>274320</xdr:rowOff>
                  </to>
                </anchor>
              </controlPr>
            </control>
          </mc:Choice>
        </mc:AlternateContent>
        <mc:AlternateContent xmlns:mc="http://schemas.openxmlformats.org/markup-compatibility/2006">
          <mc:Choice Requires="x14">
            <control shapeId="753674" r:id="rId9" name="Option Button 10">
              <controlPr defaultSize="0" autoFill="0" autoLine="0" autoPict="0">
                <anchor moveWithCells="1">
                  <from>
                    <xdr:col>19</xdr:col>
                    <xdr:colOff>68580</xdr:colOff>
                    <xdr:row>44</xdr:row>
                    <xdr:rowOff>297180</xdr:rowOff>
                  </from>
                  <to>
                    <xdr:col>22</xdr:col>
                    <xdr:colOff>7620</xdr:colOff>
                    <xdr:row>45</xdr:row>
                    <xdr:rowOff>274320</xdr:rowOff>
                  </to>
                </anchor>
              </controlPr>
            </control>
          </mc:Choice>
        </mc:AlternateContent>
        <mc:AlternateContent xmlns:mc="http://schemas.openxmlformats.org/markup-compatibility/2006">
          <mc:Choice Requires="x14">
            <control shapeId="753676" r:id="rId10" name="Drop Down 12">
              <controlPr defaultSize="0" autoLine="0" autoPict="0">
                <anchor moveWithCells="1">
                  <from>
                    <xdr:col>4</xdr:col>
                    <xdr:colOff>228600</xdr:colOff>
                    <xdr:row>8</xdr:row>
                    <xdr:rowOff>198120</xdr:rowOff>
                  </from>
                  <to>
                    <xdr:col>7</xdr:col>
                    <xdr:colOff>0</xdr:colOff>
                    <xdr:row>10</xdr:row>
                    <xdr:rowOff>0</xdr:rowOff>
                  </to>
                </anchor>
              </controlPr>
            </control>
          </mc:Choice>
        </mc:AlternateContent>
        <mc:AlternateContent xmlns:mc="http://schemas.openxmlformats.org/markup-compatibility/2006">
          <mc:Choice Requires="x14">
            <control shapeId="753677" r:id="rId11" name="Button 13">
              <controlPr defaultSize="0" print="0" autoFill="0" autoPict="0" macro="[0]!IW_Copy">
                <anchor moveWithCells="1" sizeWithCells="1">
                  <from>
                    <xdr:col>1</xdr:col>
                    <xdr:colOff>327660</xdr:colOff>
                    <xdr:row>0</xdr:row>
                    <xdr:rowOff>7620</xdr:rowOff>
                  </from>
                  <to>
                    <xdr:col>4</xdr:col>
                    <xdr:colOff>60960</xdr:colOff>
                    <xdr:row>1</xdr:row>
                    <xdr:rowOff>114300</xdr:rowOff>
                  </to>
                </anchor>
              </controlPr>
            </control>
          </mc:Choice>
        </mc:AlternateContent>
        <mc:AlternateContent xmlns:mc="http://schemas.openxmlformats.org/markup-compatibility/2006">
          <mc:Choice Requires="x14">
            <control shapeId="753678" r:id="rId12" name="Button 14">
              <controlPr defaultSize="0" print="0" autoFill="0" autoPict="0" macro="[0]!IW_Home">
                <anchor moveWithCells="1" sizeWithCells="1">
                  <from>
                    <xdr:col>0</xdr:col>
                    <xdr:colOff>15240</xdr:colOff>
                    <xdr:row>0</xdr:row>
                    <xdr:rowOff>7620</xdr:rowOff>
                  </from>
                  <to>
                    <xdr:col>1</xdr:col>
                    <xdr:colOff>274320</xdr:colOff>
                    <xdr:row>1</xdr:row>
                    <xdr:rowOff>114300</xdr:rowOff>
                  </to>
                </anchor>
              </controlPr>
            </control>
          </mc:Choice>
        </mc:AlternateContent>
        <mc:AlternateContent xmlns:mc="http://schemas.openxmlformats.org/markup-compatibility/2006">
          <mc:Choice Requires="x14">
            <control shapeId="753679" r:id="rId13" name="Button 15">
              <controlPr defaultSize="0" print="0" autoFill="0" autoPict="0">
                <anchor moveWithCells="1" sizeWithCells="1">
                  <from>
                    <xdr:col>4</xdr:col>
                    <xdr:colOff>121920</xdr:colOff>
                    <xdr:row>0</xdr:row>
                    <xdr:rowOff>7620</xdr:rowOff>
                  </from>
                  <to>
                    <xdr:col>4</xdr:col>
                    <xdr:colOff>556260</xdr:colOff>
                    <xdr:row>1</xdr:row>
                    <xdr:rowOff>114300</xdr:rowOff>
                  </to>
                </anchor>
              </controlPr>
            </control>
          </mc:Choice>
        </mc:AlternateContent>
        <mc:AlternateContent xmlns:mc="http://schemas.openxmlformats.org/markup-compatibility/2006">
          <mc:Choice Requires="x14">
            <control shapeId="753680" r:id="rId14" name="Button 16">
              <controlPr defaultSize="0" print="0" autoFill="0" autoPict="0">
                <anchor moveWithCells="1" sizeWithCells="1">
                  <from>
                    <xdr:col>0</xdr:col>
                    <xdr:colOff>22860</xdr:colOff>
                    <xdr:row>1</xdr:row>
                    <xdr:rowOff>175260</xdr:rowOff>
                  </from>
                  <to>
                    <xdr:col>3</xdr:col>
                    <xdr:colOff>7620</xdr:colOff>
                    <xdr:row>2</xdr:row>
                    <xdr:rowOff>7620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DDC29-7718-4EF5-A5BB-A3EEF3AAB25D}">
  <sheetPr codeName="Sheet13">
    <tabColor rgb="FFFFDDAB"/>
    <pageSetUpPr fitToPage="1"/>
  </sheetPr>
  <dimension ref="A1:S56"/>
  <sheetViews>
    <sheetView showGridLines="0" showRowColHeaders="0" showRuler="0" view="pageLayout" zoomScale="90" zoomScaleNormal="100" zoomScalePageLayoutView="90" workbookViewId="0">
      <selection activeCell="E6" sqref="E6:I6"/>
    </sheetView>
  </sheetViews>
  <sheetFormatPr defaultRowHeight="15.6" x14ac:dyDescent="0.3"/>
  <cols>
    <col min="1" max="1" width="1.77734375" style="2" customWidth="1"/>
    <col min="2" max="2" width="4.21875" style="2" customWidth="1"/>
    <col min="3" max="3" width="3.77734375" style="2" customWidth="1"/>
    <col min="4" max="4" width="5.6640625" style="2" customWidth="1"/>
    <col min="5" max="5" width="5.5546875" style="2" customWidth="1"/>
    <col min="6" max="6" width="9.5546875" style="2" customWidth="1"/>
    <col min="7" max="7" width="10.44140625" style="2" customWidth="1"/>
    <col min="8" max="8" width="14.77734375" style="2" customWidth="1"/>
    <col min="9" max="9" width="1.33203125" style="2" customWidth="1"/>
    <col min="10" max="10" width="3.88671875" style="2" customWidth="1"/>
    <col min="11" max="11" width="9.6640625" style="2" customWidth="1"/>
    <col min="12" max="12" width="9.88671875" style="2" customWidth="1"/>
    <col min="13" max="13" width="1.21875" style="2" customWidth="1"/>
    <col min="14" max="14" width="5.109375" style="2" customWidth="1"/>
    <col min="15" max="15" width="7.6640625" style="2" customWidth="1"/>
    <col min="16" max="16" width="7.77734375" style="2" customWidth="1"/>
    <col min="17" max="17" width="1" style="2" customWidth="1"/>
    <col min="18" max="18" width="5" style="2" customWidth="1"/>
    <col min="19" max="19" width="6.5546875" style="2" customWidth="1"/>
    <col min="20" max="20" width="12.5546875" style="2" customWidth="1"/>
    <col min="21" max="30" width="8.109375" style="2" customWidth="1"/>
    <col min="31" max="16384" width="8.88671875" style="2"/>
  </cols>
  <sheetData>
    <row r="1" spans="1:19" ht="13.8" customHeight="1" x14ac:dyDescent="0.3">
      <c r="P1" s="1899"/>
      <c r="Q1" s="1899"/>
      <c r="R1" s="1899"/>
      <c r="S1" s="1899"/>
    </row>
    <row r="2" spans="1:19" ht="34.200000000000003" customHeight="1" x14ac:dyDescent="0.5">
      <c r="A2" s="1321" t="s">
        <v>1149</v>
      </c>
      <c r="B2" s="1321"/>
      <c r="C2" s="1321"/>
      <c r="D2" s="1321"/>
      <c r="E2" s="1321"/>
      <c r="F2" s="1321"/>
      <c r="G2" s="1321"/>
      <c r="H2" s="1321"/>
      <c r="I2" s="1321"/>
      <c r="J2" s="1321"/>
      <c r="K2" s="1321"/>
      <c r="L2" s="1321"/>
      <c r="M2" s="1321"/>
      <c r="N2" s="1321"/>
      <c r="O2" s="1321"/>
      <c r="P2" s="1321"/>
      <c r="Q2" s="1321"/>
      <c r="R2" s="1321"/>
      <c r="S2" s="1321"/>
    </row>
    <row r="3" spans="1:19" ht="20.399999999999999" customHeight="1" x14ac:dyDescent="0.3">
      <c r="A3" s="1208" t="s">
        <v>1199</v>
      </c>
      <c r="B3" s="1208"/>
      <c r="C3" s="1208"/>
      <c r="D3" s="1208"/>
      <c r="E3" s="1208"/>
      <c r="F3" s="1208"/>
      <c r="G3" s="1208"/>
      <c r="H3" s="1208"/>
      <c r="I3" s="1208"/>
      <c r="J3" s="1208"/>
      <c r="K3" s="1208"/>
      <c r="L3" s="1208"/>
      <c r="M3" s="1208"/>
      <c r="N3" s="1208"/>
      <c r="O3" s="1208"/>
      <c r="P3" s="1208"/>
      <c r="Q3" s="1208"/>
      <c r="R3" s="1208"/>
      <c r="S3" s="1208"/>
    </row>
    <row r="4" spans="1:19" ht="15" customHeight="1" x14ac:dyDescent="0.3"/>
    <row r="5" spans="1:19" ht="15" customHeight="1" x14ac:dyDescent="0.3"/>
    <row r="6" spans="1:19" ht="15" customHeight="1" x14ac:dyDescent="0.3">
      <c r="A6" s="1413" t="s">
        <v>37</v>
      </c>
      <c r="B6" s="1413"/>
      <c r="C6" s="1413"/>
      <c r="D6" s="1413"/>
      <c r="E6" s="1359"/>
      <c r="F6" s="1359"/>
      <c r="G6" s="1359"/>
      <c r="H6" s="1359"/>
      <c r="I6" s="1359"/>
      <c r="K6" s="1737" t="s">
        <v>1200</v>
      </c>
      <c r="L6" s="1737"/>
      <c r="M6" s="1737"/>
      <c r="N6" s="1737"/>
      <c r="O6" s="1737"/>
      <c r="P6" s="1737"/>
      <c r="Q6" s="1737"/>
      <c r="R6" s="1737"/>
      <c r="S6" s="1737"/>
    </row>
    <row r="7" spans="1:19" ht="22.2" customHeight="1" x14ac:dyDescent="0.3">
      <c r="K7" s="1737"/>
      <c r="L7" s="1737"/>
      <c r="M7" s="1737"/>
      <c r="N7" s="1737"/>
      <c r="O7" s="1737"/>
      <c r="P7" s="1737"/>
      <c r="Q7" s="1737"/>
      <c r="R7" s="1737"/>
      <c r="S7" s="1737"/>
    </row>
    <row r="8" spans="1:19" s="3" customFormat="1" ht="17.399999999999999" customHeight="1" x14ac:dyDescent="0.3">
      <c r="C8" s="581"/>
      <c r="D8" s="1900" t="s">
        <v>1197</v>
      </c>
      <c r="E8" s="1900"/>
      <c r="F8" s="1900"/>
      <c r="G8" s="1900"/>
      <c r="H8" s="1900"/>
      <c r="I8" s="1900"/>
      <c r="J8" s="1900"/>
      <c r="N8" s="1614"/>
      <c r="O8" s="1614"/>
      <c r="P8" s="1614"/>
    </row>
    <row r="9" spans="1:19" ht="6" customHeight="1" x14ac:dyDescent="0.3">
      <c r="M9" s="1859"/>
      <c r="N9" s="1859"/>
      <c r="O9" s="1859"/>
      <c r="P9" s="1859"/>
      <c r="Q9" s="1859"/>
      <c r="R9" s="893"/>
      <c r="S9" s="893"/>
    </row>
    <row r="10" spans="1:19" ht="16.2" customHeight="1" x14ac:dyDescent="0.3">
      <c r="D10" s="4" t="s">
        <v>1203</v>
      </c>
      <c r="E10" s="1876" t="s">
        <v>1205</v>
      </c>
      <c r="F10" s="1876"/>
      <c r="G10" s="1876"/>
      <c r="H10" s="1876"/>
      <c r="I10" s="1876"/>
      <c r="J10" s="1876"/>
      <c r="K10" s="1876"/>
      <c r="L10" s="1876"/>
      <c r="M10" s="1859"/>
      <c r="N10" s="1877"/>
      <c r="O10" s="1877"/>
      <c r="P10" s="1877"/>
      <c r="Q10" s="1898"/>
      <c r="R10" s="1873">
        <f>IF(OR(N10="",N12=""),0,VLOOKUP(N10,'Drill Pay Chart'!F5:AB28,P11,FALSE))</f>
        <v>0</v>
      </c>
      <c r="S10" s="1873"/>
    </row>
    <row r="11" spans="1:19" ht="12" customHeight="1" x14ac:dyDescent="0.3">
      <c r="M11" s="1859"/>
      <c r="N11" s="1879" t="str">
        <f>IF(OR(N10="E-1",N10="E-2",N10="E-3",N10="E-4",N10="E-5",N10="E-6",N10="E-7",N10="E-8",N10="E-9"),"Enlisted",
IF(OR(N10="O-1",N10="O-2",N10="O-3",N10="O-4",N10="O-5",N10="O-6",N10="O-7",N10="O-1E",N10="O-2E",N10="O-3E",N10="W-1",N10="W-2",N10="W-3",N10="W-4",N10="W-5"),"Officer",""))</f>
        <v/>
      </c>
      <c r="O11" s="1879"/>
      <c r="P11" s="904" t="str">
        <f>IF(N12="","",VLOOKUP(N12,'Drill Pay Chart'!D5:E26,2,FALSE))</f>
        <v/>
      </c>
      <c r="Q11" s="1898"/>
      <c r="R11" s="1874"/>
      <c r="S11" s="1874"/>
    </row>
    <row r="12" spans="1:19" ht="15.6" customHeight="1" x14ac:dyDescent="0.3">
      <c r="D12" s="4" t="s">
        <v>1204</v>
      </c>
      <c r="E12" s="1876" t="s">
        <v>1206</v>
      </c>
      <c r="F12" s="1876"/>
      <c r="G12" s="1876"/>
      <c r="H12" s="1876"/>
      <c r="I12" s="1876"/>
      <c r="J12" s="1876"/>
      <c r="K12" s="1876"/>
      <c r="L12" s="1876"/>
      <c r="M12" s="1859"/>
      <c r="N12" s="1877"/>
      <c r="O12" s="1877"/>
      <c r="P12" s="1877"/>
      <c r="Q12" s="1898"/>
      <c r="R12" s="1873">
        <f>IF(OR(N10="",N12=""),0,VLOOKUP(N10,'Drill Pay Chart'!F31:AB54,P11,FALSE))</f>
        <v>0</v>
      </c>
      <c r="S12" s="1873"/>
    </row>
    <row r="13" spans="1:19" ht="6" customHeight="1" x14ac:dyDescent="0.3">
      <c r="C13" s="4"/>
      <c r="M13" s="1859"/>
      <c r="N13" s="1859"/>
      <c r="O13" s="1859"/>
      <c r="P13" s="1859"/>
      <c r="Q13" s="1859"/>
      <c r="R13" s="894"/>
      <c r="S13" s="894"/>
    </row>
    <row r="14" spans="1:19" ht="31.2" customHeight="1" x14ac:dyDescent="0.3">
      <c r="F14" s="1462" t="str">
        <f>IF(AND(N10&lt;&gt;"",N12&lt;&gt;"",OR(R10=0,R12=0)),"Rank / Years of Service combo selected above does not match any
possible combinations from the official DFAS Drill Pay chart.","")</f>
        <v/>
      </c>
      <c r="G14" s="1462"/>
      <c r="H14" s="1462"/>
      <c r="I14" s="1462"/>
      <c r="J14" s="1462"/>
      <c r="K14" s="1462"/>
      <c r="L14" s="1462"/>
      <c r="M14" s="1462"/>
      <c r="N14" s="1462"/>
      <c r="O14" s="1462"/>
      <c r="P14" s="895"/>
      <c r="Q14" s="46"/>
      <c r="R14" s="1875"/>
      <c r="S14" s="1875"/>
    </row>
    <row r="15" spans="1:19" ht="18" customHeight="1" thickBot="1" x14ac:dyDescent="0.35">
      <c r="C15" s="23" t="s">
        <v>142</v>
      </c>
      <c r="D15" s="1878" t="s">
        <v>1202</v>
      </c>
      <c r="E15" s="1878"/>
      <c r="F15" s="1878"/>
      <c r="G15" s="1878"/>
      <c r="H15" s="1878"/>
      <c r="I15" s="1878"/>
      <c r="J15" s="1878"/>
      <c r="K15" s="1878"/>
      <c r="L15" s="3"/>
      <c r="M15" s="891"/>
      <c r="O15" s="1897">
        <f>IF(AND(R10&gt;0,R12&gt;0),ROUNDDOWN((ROUNDDOWN((R10*12)/26,2)+ROUNDDOWN((R12*44),2))/12,2),0)</f>
        <v>0</v>
      </c>
      <c r="P15" s="1897"/>
      <c r="Q15" s="1897"/>
      <c r="R15" s="1897"/>
      <c r="S15" s="896"/>
    </row>
    <row r="16" spans="1:19" ht="13.8" customHeight="1" thickTop="1" x14ac:dyDescent="0.3">
      <c r="D16" s="1880"/>
      <c r="E16" s="1880"/>
      <c r="F16" s="1880"/>
      <c r="G16" s="1880"/>
      <c r="H16" s="1880"/>
      <c r="I16" s="892"/>
      <c r="J16" s="891"/>
      <c r="K16" s="891"/>
      <c r="L16" s="891"/>
      <c r="M16" s="891"/>
      <c r="N16" s="891"/>
      <c r="O16" s="891"/>
      <c r="P16" s="891"/>
      <c r="Q16" s="46"/>
      <c r="R16" s="896"/>
      <c r="S16" s="896"/>
    </row>
    <row r="17" spans="3:19" ht="6.6" customHeight="1" x14ac:dyDescent="0.3">
      <c r="D17" s="892"/>
      <c r="E17" s="892"/>
      <c r="F17" s="892"/>
      <c r="G17" s="892"/>
      <c r="H17" s="892"/>
      <c r="I17" s="892"/>
      <c r="J17" s="891"/>
      <c r="K17" s="891"/>
      <c r="L17" s="891"/>
      <c r="M17" s="891"/>
      <c r="N17" s="891"/>
      <c r="O17" s="891"/>
      <c r="P17" s="891"/>
      <c r="Q17" s="46"/>
      <c r="R17" s="896"/>
      <c r="S17" s="896"/>
    </row>
    <row r="18" spans="3:19" ht="14.4" customHeight="1" x14ac:dyDescent="0.3">
      <c r="C18" s="4" t="s">
        <v>143</v>
      </c>
      <c r="D18" s="1701" t="str">
        <f>IF(N11="Enlisted","Monthly BAS pay for 'Enlisted Members'",IF(N11="Officer","Monthly BAS pay for 'Officers'","Monthly BAS pay"))</f>
        <v>Monthly BAS pay</v>
      </c>
      <c r="E18" s="1701"/>
      <c r="F18" s="1701"/>
      <c r="G18" s="1701"/>
      <c r="H18" s="1701"/>
      <c r="J18" s="1881">
        <f>IF(OR(F14&lt;&gt;"",N10="",N12=""),0,IF(N11="Enlisted",'Drill Pay Chart'!C33,IF(N11="Officer",'Drill Pay Chart'!C30,0)))</f>
        <v>0</v>
      </c>
      <c r="K18" s="1881"/>
      <c r="L18" s="1871" t="s">
        <v>179</v>
      </c>
      <c r="M18" s="1871"/>
      <c r="N18" s="1871"/>
      <c r="O18" s="1872">
        <f>IF(J18&gt;0,ROUNDDOWN(((J18*12)/26)/12,2),0)</f>
        <v>0</v>
      </c>
      <c r="P18" s="1872"/>
      <c r="Q18" s="1872"/>
      <c r="R18" s="1872"/>
      <c r="S18" s="896"/>
    </row>
    <row r="19" spans="3:19" ht="4.8" customHeight="1" x14ac:dyDescent="0.3">
      <c r="C19" s="4"/>
      <c r="M19" s="891"/>
      <c r="N19" s="891"/>
      <c r="O19" s="891"/>
      <c r="P19" s="891"/>
      <c r="Q19" s="46"/>
      <c r="R19" s="896"/>
      <c r="S19" s="896"/>
    </row>
    <row r="20" spans="3:19" ht="15.6" customHeight="1" x14ac:dyDescent="0.3">
      <c r="C20" s="4"/>
      <c r="M20" s="891"/>
      <c r="N20" s="1462"/>
      <c r="O20" s="1462"/>
      <c r="P20" s="1462"/>
      <c r="Q20" s="46"/>
      <c r="R20" s="896"/>
      <c r="S20" s="896"/>
    </row>
    <row r="21" spans="3:19" ht="15.6" customHeight="1" x14ac:dyDescent="0.3">
      <c r="C21" s="4" t="s">
        <v>145</v>
      </c>
      <c r="D21" s="1701" t="s">
        <v>1224</v>
      </c>
      <c r="E21" s="1701"/>
      <c r="F21" s="1701"/>
      <c r="G21" s="1701"/>
      <c r="H21" s="1701"/>
      <c r="J21" s="1870"/>
      <c r="K21" s="1870"/>
      <c r="L21" s="1871" t="s">
        <v>179</v>
      </c>
      <c r="M21" s="1871"/>
      <c r="N21" s="1871"/>
      <c r="O21" s="1872">
        <f>IF(J21&gt;0,ROUNDDOWN(((J21*12)/26)/12,2),0)</f>
        <v>0</v>
      </c>
      <c r="P21" s="1872"/>
      <c r="Q21" s="1872"/>
      <c r="R21" s="1872"/>
      <c r="S21" s="896"/>
    </row>
    <row r="22" spans="3:19" ht="20.399999999999999" customHeight="1" x14ac:dyDescent="0.3">
      <c r="D22" s="1896" t="s">
        <v>1376</v>
      </c>
      <c r="E22" s="1896"/>
      <c r="F22" s="1896"/>
      <c r="G22" s="1896"/>
      <c r="H22" s="1886"/>
      <c r="I22" s="1886"/>
      <c r="J22" s="1886"/>
      <c r="K22" s="1886"/>
      <c r="L22" s="905"/>
      <c r="M22" s="905"/>
      <c r="N22" s="905"/>
      <c r="Q22" s="46"/>
      <c r="R22" s="896"/>
      <c r="S22" s="896"/>
    </row>
    <row r="23" spans="3:19" ht="14.4" customHeight="1" x14ac:dyDescent="0.3">
      <c r="C23" s="4" t="s">
        <v>146</v>
      </c>
      <c r="D23" s="66" t="s">
        <v>239</v>
      </c>
      <c r="E23" s="1359"/>
      <c r="F23" s="1359"/>
      <c r="G23" s="1359"/>
      <c r="H23" s="1359"/>
      <c r="I23" s="372"/>
      <c r="J23" s="891"/>
      <c r="K23" s="891"/>
      <c r="L23" s="891"/>
      <c r="M23" s="891"/>
      <c r="O23" s="1829"/>
      <c r="P23" s="1829"/>
      <c r="Q23" s="1829"/>
      <c r="R23" s="1829"/>
      <c r="S23" s="896"/>
    </row>
    <row r="24" spans="3:19" ht="14.4" customHeight="1" x14ac:dyDescent="0.3">
      <c r="I24" s="892"/>
      <c r="J24" s="891"/>
      <c r="K24" s="891"/>
      <c r="L24" s="891"/>
      <c r="M24" s="891"/>
      <c r="O24" s="1885" t="s">
        <v>1207</v>
      </c>
      <c r="P24" s="1885"/>
      <c r="Q24" s="1885"/>
      <c r="R24" s="1885"/>
      <c r="S24" s="896"/>
    </row>
    <row r="25" spans="3:19" ht="15" customHeight="1" thickBot="1" x14ac:dyDescent="0.35">
      <c r="E25" s="891"/>
      <c r="F25" s="891"/>
      <c r="G25" s="891"/>
      <c r="H25" s="891"/>
      <c r="I25" s="891"/>
      <c r="J25" s="891"/>
      <c r="K25" s="891"/>
      <c r="L25" s="891"/>
      <c r="M25" s="891"/>
      <c r="N25" s="891"/>
      <c r="O25" s="891"/>
      <c r="P25" s="891"/>
      <c r="Q25" s="46"/>
      <c r="R25" s="896"/>
      <c r="S25" s="896"/>
    </row>
    <row r="26" spans="3:19" ht="27" customHeight="1" thickTop="1" x14ac:dyDescent="0.3">
      <c r="F26" s="897"/>
      <c r="G26" s="898"/>
      <c r="H26" s="898"/>
      <c r="I26" s="898"/>
      <c r="J26" s="898"/>
      <c r="K26" s="898"/>
      <c r="L26" s="898"/>
      <c r="M26" s="898"/>
      <c r="N26" s="898"/>
      <c r="O26" s="899"/>
      <c r="Q26" s="46"/>
      <c r="R26" s="1882"/>
      <c r="S26" s="1882"/>
    </row>
    <row r="27" spans="3:19" ht="19.8" customHeight="1" thickBot="1" x14ac:dyDescent="0.35">
      <c r="C27" s="4"/>
      <c r="D27" s="4"/>
      <c r="F27" s="1890" t="s">
        <v>1198</v>
      </c>
      <c r="G27" s="1891"/>
      <c r="H27" s="1891"/>
      <c r="I27" s="900"/>
      <c r="K27" s="1889">
        <f>IF(O15&gt;0,O15+O18+O21+O23,0)</f>
        <v>0</v>
      </c>
      <c r="L27" s="1889"/>
      <c r="M27" s="1889"/>
      <c r="N27" s="1889"/>
      <c r="O27" s="890">
        <f>IF(S50=TRUE,0,K27)</f>
        <v>0</v>
      </c>
      <c r="Q27" s="46"/>
      <c r="R27" s="1883"/>
      <c r="S27" s="1883"/>
    </row>
    <row r="28" spans="3:19" ht="15.6" customHeight="1" thickTop="1" x14ac:dyDescent="0.3">
      <c r="E28" s="537"/>
      <c r="F28" s="901"/>
      <c r="G28" s="537"/>
      <c r="N28" s="776"/>
      <c r="O28" s="902"/>
      <c r="Q28" s="46"/>
      <c r="R28" s="1882"/>
      <c r="S28" s="1882"/>
    </row>
    <row r="29" spans="3:19" ht="12.6" customHeight="1" thickBot="1" x14ac:dyDescent="0.35">
      <c r="F29" s="1892"/>
      <c r="G29" s="1893"/>
      <c r="H29" s="1893"/>
      <c r="I29" s="1893"/>
      <c r="J29" s="1893"/>
      <c r="K29" s="1893"/>
      <c r="L29" s="1893"/>
      <c r="M29" s="1893"/>
      <c r="N29" s="1893"/>
      <c r="O29" s="1894"/>
      <c r="Q29" s="46"/>
      <c r="R29" s="1884"/>
      <c r="S29" s="1884"/>
    </row>
    <row r="30" spans="3:19" ht="15.6" customHeight="1" thickTop="1" x14ac:dyDescent="0.3">
      <c r="F30" s="1895" t="str">
        <f>IF(OR(R10=0,R12=0),"",CONCATENATE("( 44 Drills @ $",R12," each  +  2 weeks Basic Active pay (($",R10," x 12) / 26)) )  /  12 = $",K27))</f>
        <v/>
      </c>
      <c r="G30" s="1895"/>
      <c r="H30" s="1895"/>
      <c r="I30" s="1895"/>
      <c r="J30" s="1895"/>
      <c r="K30" s="1895"/>
      <c r="L30" s="1895"/>
      <c r="M30" s="1895"/>
      <c r="N30" s="1895"/>
      <c r="O30" s="1895"/>
      <c r="P30" s="776"/>
      <c r="Q30" s="46"/>
      <c r="R30" s="1882"/>
      <c r="S30" s="1882"/>
    </row>
    <row r="31" spans="3:19" ht="15.6" customHeight="1" x14ac:dyDescent="0.3">
      <c r="Q31" s="46"/>
      <c r="R31" s="903">
        <f>R30/12</f>
        <v>0</v>
      </c>
    </row>
    <row r="32" spans="3:19" ht="15.6" customHeight="1" x14ac:dyDescent="0.3"/>
    <row r="33" spans="1:19" ht="15.6" customHeight="1" x14ac:dyDescent="0.3"/>
    <row r="34" spans="1:19" ht="15.6" customHeight="1" x14ac:dyDescent="0.3"/>
    <row r="35" spans="1:19" ht="15.6" customHeight="1" x14ac:dyDescent="0.3"/>
    <row r="36" spans="1:19" ht="15.6" customHeight="1" x14ac:dyDescent="0.3"/>
    <row r="37" spans="1:19" ht="15.6" customHeight="1" x14ac:dyDescent="0.3"/>
    <row r="38" spans="1:19" ht="15.6" customHeight="1" x14ac:dyDescent="0.3"/>
    <row r="39" spans="1:19" ht="15.6" customHeight="1" x14ac:dyDescent="0.3"/>
    <row r="40" spans="1:19" ht="15.6" customHeight="1" x14ac:dyDescent="0.3"/>
    <row r="41" spans="1:19" ht="15.6" customHeight="1" x14ac:dyDescent="0.3"/>
    <row r="42" spans="1:19" ht="15.6" customHeight="1" x14ac:dyDescent="0.3"/>
    <row r="43" spans="1:19" ht="15.6" customHeight="1" x14ac:dyDescent="0.3"/>
    <row r="44" spans="1:19" ht="15.6" customHeight="1" x14ac:dyDescent="0.3"/>
    <row r="45" spans="1:19" ht="15.6" customHeight="1" x14ac:dyDescent="0.3"/>
    <row r="46" spans="1:19" ht="15.6" customHeight="1" x14ac:dyDescent="0.3">
      <c r="A46" s="1791" t="s">
        <v>1150</v>
      </c>
      <c r="B46" s="1791"/>
      <c r="C46" s="1791"/>
      <c r="D46" s="1791"/>
      <c r="E46" s="1791"/>
      <c r="F46" s="1791"/>
    </row>
    <row r="47" spans="1:19" ht="15.6" customHeight="1" x14ac:dyDescent="0.3">
      <c r="A47" s="1887"/>
      <c r="B47" s="1887"/>
      <c r="C47" s="1887"/>
      <c r="D47" s="1887"/>
      <c r="E47" s="1887"/>
      <c r="F47" s="1887"/>
      <c r="G47" s="1887"/>
      <c r="H47" s="1887"/>
      <c r="I47" s="1887"/>
      <c r="J47" s="1887"/>
      <c r="K47" s="1887"/>
      <c r="L47" s="1887"/>
      <c r="M47" s="1887"/>
      <c r="N47" s="1887"/>
      <c r="O47" s="1887"/>
      <c r="P47" s="1887"/>
      <c r="Q47" s="1887"/>
      <c r="R47" s="1887"/>
      <c r="S47" s="1887"/>
    </row>
    <row r="48" spans="1:19" ht="15.6" customHeight="1" x14ac:dyDescent="0.3">
      <c r="A48" s="1887"/>
      <c r="B48" s="1887"/>
      <c r="C48" s="1887"/>
      <c r="D48" s="1887"/>
      <c r="E48" s="1887"/>
      <c r="F48" s="1887"/>
      <c r="G48" s="1887"/>
      <c r="H48" s="1887"/>
      <c r="I48" s="1887"/>
      <c r="J48" s="1887"/>
      <c r="K48" s="1887"/>
      <c r="L48" s="1887"/>
      <c r="M48" s="1887"/>
      <c r="N48" s="1887"/>
      <c r="O48" s="1887"/>
      <c r="P48" s="1887"/>
      <c r="Q48" s="1887"/>
      <c r="R48" s="1887"/>
      <c r="S48" s="1887"/>
    </row>
    <row r="49" spans="1:19" ht="15.6" customHeight="1" x14ac:dyDescent="0.3">
      <c r="A49" s="1887"/>
      <c r="B49" s="1887"/>
      <c r="C49" s="1887"/>
      <c r="D49" s="1887"/>
      <c r="E49" s="1887"/>
      <c r="F49" s="1887"/>
      <c r="G49" s="1887"/>
      <c r="H49" s="1887"/>
      <c r="I49" s="1887"/>
      <c r="J49" s="1887"/>
      <c r="K49" s="1887"/>
      <c r="L49" s="1887"/>
      <c r="M49" s="1887"/>
      <c r="N49" s="1887"/>
      <c r="O49" s="1887"/>
      <c r="P49" s="1887"/>
      <c r="Q49" s="1887"/>
      <c r="R49" s="1887"/>
      <c r="S49" s="1887"/>
    </row>
    <row r="50" spans="1:19" ht="13.2" hidden="1" customHeight="1" x14ac:dyDescent="0.3">
      <c r="A50" s="1071"/>
      <c r="S50" s="1047" t="b">
        <v>0</v>
      </c>
    </row>
    <row r="51" spans="1:19" ht="9.6" customHeight="1" x14ac:dyDescent="0.3"/>
    <row r="52" spans="1:19" ht="8.4" customHeight="1" x14ac:dyDescent="0.3"/>
    <row r="53" spans="1:19" ht="9" customHeight="1" x14ac:dyDescent="0.3"/>
    <row r="54" spans="1:19" ht="12.6" customHeight="1" x14ac:dyDescent="0.3">
      <c r="A54" s="1888" t="str">
        <f ca="1">REPLACE(CELL("filename",A54),1,FIND("]",CELL("filename",A54)),"")</f>
        <v>Drill Pay</v>
      </c>
      <c r="B54" s="1888"/>
      <c r="C54" s="1888"/>
      <c r="D54" s="1888"/>
      <c r="E54" s="1888"/>
    </row>
    <row r="55" spans="1:19" ht="21" customHeight="1" x14ac:dyDescent="0.3">
      <c r="P55" s="1419" t="str">
        <f>Version</f>
        <v>Version 2026.1</v>
      </c>
      <c r="Q55" s="1419"/>
      <c r="R55" s="1419"/>
      <c r="S55" s="1419"/>
    </row>
    <row r="56" spans="1:19" ht="81.599999999999994" customHeight="1" x14ac:dyDescent="0.3"/>
  </sheetData>
  <sheetProtection algorithmName="SHA-512" hashValue="NnsO6s1UBuL7ZSvrt2fIBlDqzMjZS1za7mR2Z3W9Oh6f1NtTYgO/p/qmnXUj1hrl1U1rDBFh75CvQoq/FWNHGw==" saltValue="OoP6RSWjCUyAElklPISKOw==" spinCount="100000" sheet="1" objects="1" scenarios="1" selectLockedCells="1"/>
  <mergeCells count="52">
    <mergeCell ref="M9:Q9"/>
    <mergeCell ref="M13:Q13"/>
    <mergeCell ref="M10:M12"/>
    <mergeCell ref="E10:L10"/>
    <mergeCell ref="P1:S1"/>
    <mergeCell ref="A2:S2"/>
    <mergeCell ref="A3:S3"/>
    <mergeCell ref="A6:D6"/>
    <mergeCell ref="N8:P8"/>
    <mergeCell ref="K6:S7"/>
    <mergeCell ref="E6:I6"/>
    <mergeCell ref="D8:J8"/>
    <mergeCell ref="N20:P20"/>
    <mergeCell ref="D18:H18"/>
    <mergeCell ref="O15:R15"/>
    <mergeCell ref="O18:R18"/>
    <mergeCell ref="Q10:Q12"/>
    <mergeCell ref="L18:N18"/>
    <mergeCell ref="O24:R24"/>
    <mergeCell ref="H22:K22"/>
    <mergeCell ref="A46:F46"/>
    <mergeCell ref="A47:S49"/>
    <mergeCell ref="A54:E54"/>
    <mergeCell ref="K27:N27"/>
    <mergeCell ref="F27:H27"/>
    <mergeCell ref="F29:O29"/>
    <mergeCell ref="F30:O30"/>
    <mergeCell ref="E23:H23"/>
    <mergeCell ref="O23:R23"/>
    <mergeCell ref="D22:G22"/>
    <mergeCell ref="P55:S55"/>
    <mergeCell ref="R26:S26"/>
    <mergeCell ref="R27:S27"/>
    <mergeCell ref="R28:S28"/>
    <mergeCell ref="R30:S30"/>
    <mergeCell ref="R29:S29"/>
    <mergeCell ref="D21:H21"/>
    <mergeCell ref="J21:K21"/>
    <mergeCell ref="L21:N21"/>
    <mergeCell ref="O21:R21"/>
    <mergeCell ref="R10:S10"/>
    <mergeCell ref="R11:S11"/>
    <mergeCell ref="R12:S12"/>
    <mergeCell ref="R14:S14"/>
    <mergeCell ref="F14:O14"/>
    <mergeCell ref="E12:L12"/>
    <mergeCell ref="N10:P10"/>
    <mergeCell ref="N12:P12"/>
    <mergeCell ref="D15:K15"/>
    <mergeCell ref="N11:O11"/>
    <mergeCell ref="D16:H16"/>
    <mergeCell ref="J18:K18"/>
  </mergeCells>
  <conditionalFormatting sqref="Q10:Q12 M9:Q9 M10:M12 M13:Q13">
    <cfRule type="expression" dxfId="1003" priority="8">
      <formula>$F$14&lt;&gt;""</formula>
    </cfRule>
  </conditionalFormatting>
  <conditionalFormatting sqref="K6:S7">
    <cfRule type="expression" dxfId="1002" priority="2">
      <formula>AND(A54&lt;&gt;"Drill Pay",A54&lt;&gt;"Drill Pay (2)")</formula>
    </cfRule>
  </conditionalFormatting>
  <conditionalFormatting sqref="K27:N27">
    <cfRule type="expression" dxfId="1001" priority="1">
      <formula>$S$50=TRUE</formula>
    </cfRule>
  </conditionalFormatting>
  <hyperlinks>
    <hyperlink ref="D22" r:id="rId1" display="https://www.travel.dod.mil/Allowances/Basic-Allowance-for-Housing/BAH-Rate-Lookup/" xr:uid="{EDDEC937-D922-42DF-83B5-42B078A2CA7B}"/>
    <hyperlink ref="D22:G22" r:id="rId2" display="https://www.travel.dod.mil/Allowances" xr:uid="{C72E3418-E8D3-4B04-8568-140283F0E61F}"/>
  </hyperlinks>
  <printOptions horizontalCentered="1"/>
  <pageMargins left="0.25" right="0.25" top="0.3" bottom="0.3" header="0.3" footer="0.3"/>
  <pageSetup scale="88" fitToHeight="0" orientation="portrait" r:id="rId3"/>
  <ignoredErrors>
    <ignoredError sqref="C11" numberStoredAsText="1"/>
  </ignoredErrors>
  <drawing r:id="rId4"/>
  <legacyDrawing r:id="rId5"/>
  <mc:AlternateContent xmlns:mc="http://schemas.openxmlformats.org/markup-compatibility/2006">
    <mc:Choice Requires="x14">
      <controls>
        <mc:AlternateContent xmlns:mc="http://schemas.openxmlformats.org/markup-compatibility/2006">
          <mc:Choice Requires="x14">
            <control shapeId="985097" r:id="rId6" name="Check Box 9">
              <controlPr defaultSize="0" autoFill="0" autoLine="0" autoPict="0">
                <anchor moveWithCells="1">
                  <from>
                    <xdr:col>10</xdr:col>
                    <xdr:colOff>480060</xdr:colOff>
                    <xdr:row>27</xdr:row>
                    <xdr:rowOff>68580</xdr:rowOff>
                  </from>
                  <to>
                    <xdr:col>11</xdr:col>
                    <xdr:colOff>693420</xdr:colOff>
                    <xdr:row>28</xdr:row>
                    <xdr:rowOff>45720</xdr:rowOff>
                  </to>
                </anchor>
              </controlPr>
            </control>
          </mc:Choice>
        </mc:AlternateContent>
        <mc:AlternateContent xmlns:mc="http://schemas.openxmlformats.org/markup-compatibility/2006">
          <mc:Choice Requires="x14">
            <control shapeId="985098" r:id="rId7" name="Button 10">
              <controlPr defaultSize="0" print="0" autoFill="0" autoPict="0" macro="[0]!IW_Copy">
                <anchor moveWithCells="1" sizeWithCells="1">
                  <from>
                    <xdr:col>2</xdr:col>
                    <xdr:colOff>53340</xdr:colOff>
                    <xdr:row>0</xdr:row>
                    <xdr:rowOff>7620</xdr:rowOff>
                  </from>
                  <to>
                    <xdr:col>3</xdr:col>
                    <xdr:colOff>213360</xdr:colOff>
                    <xdr:row>1</xdr:row>
                    <xdr:rowOff>121920</xdr:rowOff>
                  </to>
                </anchor>
              </controlPr>
            </control>
          </mc:Choice>
        </mc:AlternateContent>
        <mc:AlternateContent xmlns:mc="http://schemas.openxmlformats.org/markup-compatibility/2006">
          <mc:Choice Requires="x14">
            <control shapeId="985099" r:id="rId8" name="Button 11">
              <controlPr defaultSize="0" print="0" autoFill="0" autoPict="0" macro="[0]!IW_Home">
                <anchor moveWithCells="1" sizeWithCells="1">
                  <from>
                    <xdr:col>0</xdr:col>
                    <xdr:colOff>0</xdr:colOff>
                    <xdr:row>0</xdr:row>
                    <xdr:rowOff>7620</xdr:rowOff>
                  </from>
                  <to>
                    <xdr:col>2</xdr:col>
                    <xdr:colOff>0</xdr:colOff>
                    <xdr:row>1</xdr:row>
                    <xdr:rowOff>121920</xdr:rowOff>
                  </to>
                </anchor>
              </controlPr>
            </control>
          </mc:Choice>
        </mc:AlternateContent>
        <mc:AlternateContent xmlns:mc="http://schemas.openxmlformats.org/markup-compatibility/2006">
          <mc:Choice Requires="x14">
            <control shapeId="985100" r:id="rId9" name="Button 12">
              <controlPr defaultSize="0" print="0" autoFill="0" autoPict="0" macro="[0]!Drill_CLear">
                <anchor moveWithCells="1" sizeWithCells="1">
                  <from>
                    <xdr:col>3</xdr:col>
                    <xdr:colOff>274320</xdr:colOff>
                    <xdr:row>0</xdr:row>
                    <xdr:rowOff>7620</xdr:rowOff>
                  </from>
                  <to>
                    <xdr:col>4</xdr:col>
                    <xdr:colOff>304800</xdr:colOff>
                    <xdr:row>1</xdr:row>
                    <xdr:rowOff>121920</xdr:rowOff>
                  </to>
                </anchor>
              </controlPr>
            </control>
          </mc:Choice>
        </mc:AlternateContent>
        <mc:AlternateContent xmlns:mc="http://schemas.openxmlformats.org/markup-compatibility/2006">
          <mc:Choice Requires="x14">
            <control shapeId="985101" r:id="rId10" name="Button 13">
              <controlPr defaultSize="0" print="0" autoFill="0" autoPict="0" macro="[0]!Drill_OmitHide">
                <anchor moveWithCells="1" sizeWithCells="1">
                  <from>
                    <xdr:col>0</xdr:col>
                    <xdr:colOff>7620</xdr:colOff>
                    <xdr:row>1</xdr:row>
                    <xdr:rowOff>182880</xdr:rowOff>
                  </from>
                  <to>
                    <xdr:col>3</xdr:col>
                    <xdr:colOff>121920</xdr:colOff>
                    <xdr:row>2</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9B5AA942-0A48-439D-A0F3-A3B57A4304C7}">
          <x14:formula1>
            <xm:f>'Drill Pay Chart'!$B$5:$B$28</xm:f>
          </x14:formula1>
          <xm:sqref>N10:P10</xm:sqref>
        </x14:dataValidation>
        <x14:dataValidation type="list" allowBlank="1" showInputMessage="1" showErrorMessage="1" xr:uid="{C8C40915-BE14-4A01-9121-13A11945DAA4}">
          <x14:formula1>
            <xm:f>'Drill Pay Chart'!$G$4:$AB$4</xm:f>
          </x14:formula1>
          <xm:sqref>N12:P12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4E15F-5E78-402B-9449-C84E068AA19B}">
  <sheetPr codeName="Sheet18">
    <tabColor rgb="FF00B0F0"/>
    <pageSetUpPr fitToPage="1"/>
  </sheetPr>
  <dimension ref="B1:AB54"/>
  <sheetViews>
    <sheetView showGridLines="0" showRowColHeaders="0" showRuler="0" view="pageLayout" zoomScale="90" zoomScaleNormal="100" zoomScalePageLayoutView="90" workbookViewId="0">
      <selection activeCell="V8" sqref="V8"/>
    </sheetView>
  </sheetViews>
  <sheetFormatPr defaultRowHeight="14.4" x14ac:dyDescent="0.3"/>
  <cols>
    <col min="1" max="1" width="0.44140625" customWidth="1"/>
    <col min="2" max="2" width="7.44140625" hidden="1" customWidth="1"/>
    <col min="3" max="3" width="9.44140625" hidden="1" customWidth="1"/>
    <col min="4" max="4" width="9" hidden="1" customWidth="1"/>
    <col min="5" max="5" width="2.77734375" hidden="1" customWidth="1"/>
    <col min="6" max="6" width="5.77734375" style="342" bestFit="1" customWidth="1"/>
    <col min="7" max="19" width="10.44140625" customWidth="1"/>
    <col min="20" max="20" width="10.5546875" customWidth="1"/>
    <col min="21" max="28" width="10.44140625" customWidth="1"/>
  </cols>
  <sheetData>
    <row r="1" spans="2:28" ht="2.4" customHeight="1" x14ac:dyDescent="0.3"/>
    <row r="2" spans="2:28" ht="9" customHeight="1" x14ac:dyDescent="0.3">
      <c r="F2" s="1904" t="s">
        <v>1450</v>
      </c>
      <c r="G2" s="1904"/>
      <c r="H2" s="1904"/>
      <c r="I2" s="1904"/>
      <c r="J2" s="1904"/>
      <c r="K2" s="1904"/>
      <c r="L2" s="1904"/>
      <c r="M2" s="1904"/>
      <c r="N2" s="1904"/>
      <c r="O2" s="1904"/>
      <c r="P2" s="1904"/>
      <c r="Q2" s="1904"/>
      <c r="R2" s="1904"/>
      <c r="S2" s="1904"/>
      <c r="T2" s="1904"/>
      <c r="U2" s="1904"/>
      <c r="V2" s="1904"/>
      <c r="W2" s="1904"/>
      <c r="X2" s="1904"/>
      <c r="Y2" s="1904"/>
      <c r="Z2" s="1904"/>
      <c r="AA2" s="1904"/>
      <c r="AB2" s="1904"/>
    </row>
    <row r="3" spans="2:28" ht="9" customHeight="1" thickBot="1" x14ac:dyDescent="0.35">
      <c r="F3" s="1904"/>
      <c r="G3" s="1904"/>
      <c r="H3" s="1904"/>
      <c r="I3" s="1904"/>
      <c r="J3" s="1904"/>
      <c r="K3" s="1904"/>
      <c r="L3" s="1904"/>
      <c r="M3" s="1904"/>
      <c r="N3" s="1904"/>
      <c r="O3" s="1904"/>
      <c r="P3" s="1904"/>
      <c r="Q3" s="1904"/>
      <c r="R3" s="1904"/>
      <c r="S3" s="1904"/>
      <c r="T3" s="1904"/>
      <c r="U3" s="1904"/>
      <c r="V3" s="1904"/>
      <c r="W3" s="1904"/>
      <c r="X3" s="1904"/>
      <c r="Y3" s="1904"/>
      <c r="Z3" s="1904"/>
      <c r="AA3" s="1904"/>
      <c r="AB3" s="1904"/>
    </row>
    <row r="4" spans="2:28" ht="16.2" thickBot="1" x14ac:dyDescent="0.35">
      <c r="F4" s="163" t="s">
        <v>1151</v>
      </c>
      <c r="G4" s="888" t="s">
        <v>1152</v>
      </c>
      <c r="H4" s="876">
        <v>2</v>
      </c>
      <c r="I4" s="875">
        <v>3</v>
      </c>
      <c r="J4" s="877" t="s">
        <v>1153</v>
      </c>
      <c r="K4" s="878" t="s">
        <v>1154</v>
      </c>
      <c r="L4" s="878" t="s">
        <v>1155</v>
      </c>
      <c r="M4" s="878" t="s">
        <v>1156</v>
      </c>
      <c r="N4" s="878" t="s">
        <v>1157</v>
      </c>
      <c r="O4" s="878" t="s">
        <v>1158</v>
      </c>
      <c r="P4" s="878" t="s">
        <v>1159</v>
      </c>
      <c r="Q4" s="878" t="s">
        <v>1160</v>
      </c>
      <c r="R4" s="878" t="s">
        <v>1161</v>
      </c>
      <c r="S4" s="878" t="s">
        <v>1162</v>
      </c>
      <c r="T4" s="878" t="s">
        <v>1163</v>
      </c>
      <c r="U4" s="878" t="s">
        <v>1164</v>
      </c>
      <c r="V4" s="878" t="s">
        <v>1165</v>
      </c>
      <c r="W4" s="878" t="s">
        <v>1166</v>
      </c>
      <c r="X4" s="878" t="s">
        <v>1167</v>
      </c>
      <c r="Y4" s="878" t="s">
        <v>1168</v>
      </c>
      <c r="Z4" s="878" t="s">
        <v>1169</v>
      </c>
      <c r="AA4" s="878" t="s">
        <v>1170</v>
      </c>
      <c r="AB4" s="879" t="s">
        <v>1171</v>
      </c>
    </row>
    <row r="5" spans="2:28" x14ac:dyDescent="0.3">
      <c r="B5" s="342" t="s">
        <v>1195</v>
      </c>
      <c r="C5" s="342"/>
      <c r="D5" s="882" t="s">
        <v>1152</v>
      </c>
      <c r="E5" s="883">
        <v>2</v>
      </c>
      <c r="F5" s="885" t="s">
        <v>1172</v>
      </c>
      <c r="G5" s="2528">
        <v>11540.1</v>
      </c>
      <c r="H5" s="2531">
        <v>12076.2</v>
      </c>
      <c r="I5" s="2531">
        <v>12324.3</v>
      </c>
      <c r="J5" s="2531">
        <v>12522</v>
      </c>
      <c r="K5" s="2531">
        <v>12878.7</v>
      </c>
      <c r="L5" s="2531">
        <v>13231.8</v>
      </c>
      <c r="M5" s="2531">
        <v>13639.2</v>
      </c>
      <c r="N5" s="2531">
        <v>14045.7</v>
      </c>
      <c r="O5" s="2531">
        <v>14454.3</v>
      </c>
      <c r="P5" s="2531">
        <v>15735.3</v>
      </c>
      <c r="Q5" s="2531">
        <v>16817.7</v>
      </c>
      <c r="R5" s="2531">
        <v>16817.7</v>
      </c>
      <c r="S5" s="2531">
        <v>16817.7</v>
      </c>
      <c r="T5" s="2531">
        <v>16817.7</v>
      </c>
      <c r="U5" s="2531">
        <v>16904.400000000001</v>
      </c>
      <c r="V5" s="2531">
        <v>16904.400000000001</v>
      </c>
      <c r="W5" s="2531">
        <v>17242.2</v>
      </c>
      <c r="X5" s="2531">
        <v>17242.2</v>
      </c>
      <c r="Y5" s="2531">
        <v>17242.2</v>
      </c>
      <c r="Z5" s="2531">
        <v>17242.2</v>
      </c>
      <c r="AA5" s="2531">
        <v>17242.2</v>
      </c>
      <c r="AB5" s="2532">
        <v>17242.2</v>
      </c>
    </row>
    <row r="6" spans="2:28" x14ac:dyDescent="0.3">
      <c r="B6" s="342" t="s">
        <v>1194</v>
      </c>
      <c r="C6" s="342"/>
      <c r="D6" s="883">
        <v>2</v>
      </c>
      <c r="E6" s="884">
        <v>3</v>
      </c>
      <c r="F6" s="880" t="s">
        <v>1173</v>
      </c>
      <c r="G6" s="2533">
        <v>8751.2999999999993</v>
      </c>
      <c r="H6" s="1188">
        <v>9613.7999999999993</v>
      </c>
      <c r="I6" s="1188">
        <v>10245</v>
      </c>
      <c r="J6" s="1188">
        <v>10245</v>
      </c>
      <c r="K6" s="1188">
        <v>10284.299999999999</v>
      </c>
      <c r="L6" s="1188">
        <v>10725</v>
      </c>
      <c r="M6" s="1188">
        <v>10783.5</v>
      </c>
      <c r="N6" s="1188">
        <v>10783.5</v>
      </c>
      <c r="O6" s="1188">
        <v>11396.4</v>
      </c>
      <c r="P6" s="1188">
        <v>12479.7</v>
      </c>
      <c r="Q6" s="1188">
        <v>13115.4</v>
      </c>
      <c r="R6" s="1188">
        <v>13751.1</v>
      </c>
      <c r="S6" s="1188">
        <v>14112.9</v>
      </c>
      <c r="T6" s="1188">
        <v>14479.2</v>
      </c>
      <c r="U6" s="1188">
        <v>15188.7</v>
      </c>
      <c r="V6" s="1188">
        <v>15188.7</v>
      </c>
      <c r="W6" s="1188">
        <v>15408.3</v>
      </c>
      <c r="X6" s="1188">
        <v>15408.3</v>
      </c>
      <c r="Y6" s="1188">
        <v>15408.3</v>
      </c>
      <c r="Z6" s="1188">
        <v>15408.3</v>
      </c>
      <c r="AA6" s="1188">
        <v>15408.3</v>
      </c>
      <c r="AB6" s="2534">
        <v>15408.3</v>
      </c>
    </row>
    <row r="7" spans="2:28" x14ac:dyDescent="0.3">
      <c r="B7" s="342" t="s">
        <v>1193</v>
      </c>
      <c r="C7" s="342"/>
      <c r="D7" s="883">
        <v>3</v>
      </c>
      <c r="E7" s="884">
        <v>4</v>
      </c>
      <c r="F7" s="880" t="s">
        <v>1174</v>
      </c>
      <c r="G7" s="2533">
        <v>7295.4</v>
      </c>
      <c r="H7" s="1188">
        <v>8218.2000000000007</v>
      </c>
      <c r="I7" s="1188">
        <v>8787</v>
      </c>
      <c r="J7" s="1188">
        <v>8894.1</v>
      </c>
      <c r="K7" s="1188">
        <v>9249.6</v>
      </c>
      <c r="L7" s="1188">
        <v>9461.4</v>
      </c>
      <c r="M7" s="1188">
        <v>9928.5</v>
      </c>
      <c r="N7" s="1188">
        <v>10271.700000000001</v>
      </c>
      <c r="O7" s="1188">
        <v>10715.1</v>
      </c>
      <c r="P7" s="1188">
        <v>11391.3</v>
      </c>
      <c r="Q7" s="1188">
        <v>11713.8</v>
      </c>
      <c r="R7" s="1188">
        <v>12032.7</v>
      </c>
      <c r="S7" s="1188">
        <v>12394.8</v>
      </c>
      <c r="T7" s="1188">
        <v>12394.8</v>
      </c>
      <c r="U7" s="1188">
        <v>12394.8</v>
      </c>
      <c r="V7" s="1188">
        <v>12394.8</v>
      </c>
      <c r="W7" s="1188">
        <v>12394.8</v>
      </c>
      <c r="X7" s="1188">
        <v>12394.8</v>
      </c>
      <c r="Y7" s="1188">
        <v>12394.8</v>
      </c>
      <c r="Z7" s="1188">
        <v>12394.8</v>
      </c>
      <c r="AA7" s="1188">
        <v>12394.8</v>
      </c>
      <c r="AB7" s="2534">
        <v>12394.8</v>
      </c>
    </row>
    <row r="8" spans="2:28" x14ac:dyDescent="0.3">
      <c r="B8" s="342" t="s">
        <v>1192</v>
      </c>
      <c r="C8" s="342"/>
      <c r="D8" s="884" t="s">
        <v>1153</v>
      </c>
      <c r="E8" s="884">
        <v>5</v>
      </c>
      <c r="F8" s="880" t="s">
        <v>1175</v>
      </c>
      <c r="G8" s="2533">
        <v>6294.6</v>
      </c>
      <c r="H8" s="1188">
        <v>7286.4</v>
      </c>
      <c r="I8" s="1188">
        <v>7773.6</v>
      </c>
      <c r="J8" s="1188">
        <v>7881</v>
      </c>
      <c r="K8" s="1188">
        <v>8332.2000000000007</v>
      </c>
      <c r="L8" s="1188">
        <v>8816.4</v>
      </c>
      <c r="M8" s="1188">
        <v>9420</v>
      </c>
      <c r="N8" s="1188">
        <v>9888.2999999999993</v>
      </c>
      <c r="O8" s="1188">
        <v>10214.4</v>
      </c>
      <c r="P8" s="1188">
        <v>10401.6</v>
      </c>
      <c r="Q8" s="1188">
        <v>10509.9</v>
      </c>
      <c r="R8" s="1188">
        <v>10509.9</v>
      </c>
      <c r="S8" s="1188">
        <v>10509.9</v>
      </c>
      <c r="T8" s="1188">
        <v>10509.9</v>
      </c>
      <c r="U8" s="1188">
        <v>10509.9</v>
      </c>
      <c r="V8" s="1188">
        <v>10509.9</v>
      </c>
      <c r="W8" s="1188">
        <v>10509.9</v>
      </c>
      <c r="X8" s="1188">
        <v>10509.9</v>
      </c>
      <c r="Y8" s="1188">
        <v>10509.9</v>
      </c>
      <c r="Z8" s="1188">
        <v>10509.9</v>
      </c>
      <c r="AA8" s="1188">
        <v>10509.9</v>
      </c>
      <c r="AB8" s="2534">
        <v>10509.9</v>
      </c>
    </row>
    <row r="9" spans="2:28" x14ac:dyDescent="0.3">
      <c r="B9" s="342" t="s">
        <v>1191</v>
      </c>
      <c r="C9" s="342"/>
      <c r="D9" s="884" t="s">
        <v>1154</v>
      </c>
      <c r="E9" s="884">
        <v>6</v>
      </c>
      <c r="F9" s="880" t="s">
        <v>1176</v>
      </c>
      <c r="G9" s="2533">
        <v>5534.1</v>
      </c>
      <c r="H9" s="1188">
        <v>6273.9</v>
      </c>
      <c r="I9" s="1188">
        <v>6770.4</v>
      </c>
      <c r="J9" s="1188">
        <v>7382.7</v>
      </c>
      <c r="K9" s="1188">
        <v>7737</v>
      </c>
      <c r="L9" s="1188">
        <v>8125.5</v>
      </c>
      <c r="M9" s="1188">
        <v>8375.7000000000007</v>
      </c>
      <c r="N9" s="1188">
        <v>8788.2000000000007</v>
      </c>
      <c r="O9" s="1188">
        <v>9004.2000000000007</v>
      </c>
      <c r="P9" s="1188">
        <v>9004.2000000000007</v>
      </c>
      <c r="Q9" s="1188">
        <v>9004.2000000000007</v>
      </c>
      <c r="R9" s="1188">
        <v>9004.2000000000007</v>
      </c>
      <c r="S9" s="1188">
        <v>9004.2000000000007</v>
      </c>
      <c r="T9" s="1188">
        <v>9004.2000000000007</v>
      </c>
      <c r="U9" s="1188">
        <v>9004.2000000000007</v>
      </c>
      <c r="V9" s="1188">
        <v>9004.2000000000007</v>
      </c>
      <c r="W9" s="1188">
        <v>9004.2000000000007</v>
      </c>
      <c r="X9" s="1188">
        <v>9004.2000000000007</v>
      </c>
      <c r="Y9" s="1188">
        <v>9004.2000000000007</v>
      </c>
      <c r="Z9" s="1188">
        <v>9004.2000000000007</v>
      </c>
      <c r="AA9" s="1188">
        <v>9004.2000000000007</v>
      </c>
      <c r="AB9" s="2534">
        <v>9004.2000000000007</v>
      </c>
    </row>
    <row r="10" spans="2:28" x14ac:dyDescent="0.3">
      <c r="B10" s="342" t="s">
        <v>1190</v>
      </c>
      <c r="C10" s="342"/>
      <c r="D10" s="884" t="s">
        <v>1155</v>
      </c>
      <c r="E10" s="884">
        <v>7</v>
      </c>
      <c r="F10" s="880" t="s">
        <v>1177</v>
      </c>
      <c r="G10" s="2533">
        <v>4782</v>
      </c>
      <c r="H10" s="1188">
        <v>5446.2</v>
      </c>
      <c r="I10" s="1188">
        <v>6272.4</v>
      </c>
      <c r="J10" s="1188">
        <v>6484.5</v>
      </c>
      <c r="K10" s="1188">
        <v>6617.7</v>
      </c>
      <c r="L10" s="1188">
        <v>6617.7</v>
      </c>
      <c r="M10" s="1188">
        <v>6617.7</v>
      </c>
      <c r="N10" s="1188">
        <v>6617.7</v>
      </c>
      <c r="O10" s="1188">
        <v>6617.7</v>
      </c>
      <c r="P10" s="1188">
        <v>6617.7</v>
      </c>
      <c r="Q10" s="1188">
        <v>6617.7</v>
      </c>
      <c r="R10" s="1188">
        <v>6617.7</v>
      </c>
      <c r="S10" s="1188">
        <v>6617.7</v>
      </c>
      <c r="T10" s="1188">
        <v>6617.7</v>
      </c>
      <c r="U10" s="1188">
        <v>6617.7</v>
      </c>
      <c r="V10" s="1188">
        <v>6617.7</v>
      </c>
      <c r="W10" s="1188">
        <v>6617.7</v>
      </c>
      <c r="X10" s="1188">
        <v>6617.7</v>
      </c>
      <c r="Y10" s="1188">
        <v>6617.7</v>
      </c>
      <c r="Z10" s="1188">
        <v>6617.7</v>
      </c>
      <c r="AA10" s="1188">
        <v>6617.7</v>
      </c>
      <c r="AB10" s="2534">
        <v>6617.7</v>
      </c>
    </row>
    <row r="11" spans="2:28" ht="15" thickBot="1" x14ac:dyDescent="0.35">
      <c r="B11" s="342" t="s">
        <v>1189</v>
      </c>
      <c r="C11" s="342"/>
      <c r="D11" s="884" t="s">
        <v>1156</v>
      </c>
      <c r="E11" s="884">
        <v>8</v>
      </c>
      <c r="F11" s="881" t="s">
        <v>1178</v>
      </c>
      <c r="G11" s="2538">
        <v>4150.2</v>
      </c>
      <c r="H11" s="2539">
        <v>4320</v>
      </c>
      <c r="I11" s="2539">
        <v>5222.3999999999996</v>
      </c>
      <c r="J11" s="2539">
        <v>5222.3999999999996</v>
      </c>
      <c r="K11" s="2539">
        <v>5222.3999999999996</v>
      </c>
      <c r="L11" s="2539">
        <v>5222.3999999999996</v>
      </c>
      <c r="M11" s="2539">
        <v>5222.3999999999996</v>
      </c>
      <c r="N11" s="2539">
        <v>5222.3999999999996</v>
      </c>
      <c r="O11" s="2539">
        <v>5222.3999999999996</v>
      </c>
      <c r="P11" s="2539">
        <v>5222.3999999999996</v>
      </c>
      <c r="Q11" s="2539">
        <v>5222.3999999999996</v>
      </c>
      <c r="R11" s="2539">
        <v>5222.3999999999996</v>
      </c>
      <c r="S11" s="2539">
        <v>5222.3999999999996</v>
      </c>
      <c r="T11" s="2539">
        <v>5222.3999999999996</v>
      </c>
      <c r="U11" s="2539">
        <v>5222.3999999999996</v>
      </c>
      <c r="V11" s="2539">
        <v>5222.3999999999996</v>
      </c>
      <c r="W11" s="2539">
        <v>5222.3999999999996</v>
      </c>
      <c r="X11" s="2539">
        <v>5222.3999999999996</v>
      </c>
      <c r="Y11" s="2539">
        <v>5222.3999999999996</v>
      </c>
      <c r="Z11" s="2539">
        <v>5222.3999999999996</v>
      </c>
      <c r="AA11" s="2539">
        <v>5222.3999999999996</v>
      </c>
      <c r="AB11" s="2540">
        <v>5222.3999999999996</v>
      </c>
    </row>
    <row r="12" spans="2:28" x14ac:dyDescent="0.3">
      <c r="B12" s="342" t="s">
        <v>1188</v>
      </c>
      <c r="C12" s="342"/>
      <c r="D12" s="884" t="s">
        <v>1157</v>
      </c>
      <c r="E12" s="884">
        <v>9</v>
      </c>
      <c r="F12" s="885" t="s">
        <v>1179</v>
      </c>
      <c r="G12" s="2528"/>
      <c r="H12" s="2531"/>
      <c r="I12" s="2531"/>
      <c r="J12" s="2531">
        <v>7382.7</v>
      </c>
      <c r="K12" s="2531">
        <v>7737</v>
      </c>
      <c r="L12" s="2531">
        <v>8125.5</v>
      </c>
      <c r="M12" s="2531">
        <v>8375.7000000000007</v>
      </c>
      <c r="N12" s="2531">
        <v>8788.2000000000007</v>
      </c>
      <c r="O12" s="2531">
        <v>9137.1</v>
      </c>
      <c r="P12" s="2531">
        <v>9336.9</v>
      </c>
      <c r="Q12" s="2531">
        <v>9609.6</v>
      </c>
      <c r="R12" s="2531">
        <v>9609.6</v>
      </c>
      <c r="S12" s="2531">
        <v>9609.6</v>
      </c>
      <c r="T12" s="2531">
        <v>9609.6</v>
      </c>
      <c r="U12" s="2531">
        <v>9609.6</v>
      </c>
      <c r="V12" s="2531">
        <v>9609.6</v>
      </c>
      <c r="W12" s="2531">
        <v>9609.6</v>
      </c>
      <c r="X12" s="2531">
        <v>9609.6</v>
      </c>
      <c r="Y12" s="2531">
        <v>9609.6</v>
      </c>
      <c r="Z12" s="2531">
        <v>9609.6</v>
      </c>
      <c r="AA12" s="2531">
        <v>9609.6</v>
      </c>
      <c r="AB12" s="2532">
        <v>9609.6</v>
      </c>
    </row>
    <row r="13" spans="2:28" x14ac:dyDescent="0.3">
      <c r="B13" s="342" t="s">
        <v>1187</v>
      </c>
      <c r="C13" s="342"/>
      <c r="D13" s="884" t="s">
        <v>1158</v>
      </c>
      <c r="E13" s="884">
        <v>10</v>
      </c>
      <c r="F13" s="880" t="s">
        <v>1180</v>
      </c>
      <c r="G13" s="2533"/>
      <c r="H13" s="1188"/>
      <c r="I13" s="1188"/>
      <c r="J13" s="1188">
        <v>6484.5</v>
      </c>
      <c r="K13" s="1188">
        <v>6617.7</v>
      </c>
      <c r="L13" s="1188">
        <v>6828</v>
      </c>
      <c r="M13" s="1188">
        <v>7183.8</v>
      </c>
      <c r="N13" s="1188">
        <v>7458.9</v>
      </c>
      <c r="O13" s="1188">
        <v>7663.5</v>
      </c>
      <c r="P13" s="1188">
        <v>7663.5</v>
      </c>
      <c r="Q13" s="1188">
        <v>7663.5</v>
      </c>
      <c r="R13" s="1188">
        <v>7663.5</v>
      </c>
      <c r="S13" s="1188">
        <v>7663.5</v>
      </c>
      <c r="T13" s="1188">
        <v>7663.5</v>
      </c>
      <c r="U13" s="1188">
        <v>7663.5</v>
      </c>
      <c r="V13" s="1188">
        <v>7663.5</v>
      </c>
      <c r="W13" s="1188">
        <v>7663.5</v>
      </c>
      <c r="X13" s="1188">
        <v>7663.5</v>
      </c>
      <c r="Y13" s="1188">
        <v>7663.5</v>
      </c>
      <c r="Z13" s="1188">
        <v>7663.5</v>
      </c>
      <c r="AA13" s="1188">
        <v>7663.5</v>
      </c>
      <c r="AB13" s="2534">
        <v>7663.5</v>
      </c>
    </row>
    <row r="14" spans="2:28" ht="15" thickBot="1" x14ac:dyDescent="0.35">
      <c r="B14" s="342" t="s">
        <v>1178</v>
      </c>
      <c r="C14" s="342"/>
      <c r="D14" s="884" t="s">
        <v>1159</v>
      </c>
      <c r="E14" s="884">
        <v>11</v>
      </c>
      <c r="F14" s="881" t="s">
        <v>1181</v>
      </c>
      <c r="G14" s="2538"/>
      <c r="H14" s="2539"/>
      <c r="I14" s="2539"/>
      <c r="J14" s="2539">
        <v>5222.3999999999996</v>
      </c>
      <c r="K14" s="2539">
        <v>5576.7</v>
      </c>
      <c r="L14" s="2539">
        <v>5783.1</v>
      </c>
      <c r="M14" s="2539">
        <v>5993.7</v>
      </c>
      <c r="N14" s="2539">
        <v>6200.7</v>
      </c>
      <c r="O14" s="2539">
        <v>6484.5</v>
      </c>
      <c r="P14" s="2539">
        <v>6484.5</v>
      </c>
      <c r="Q14" s="2539">
        <v>6484.5</v>
      </c>
      <c r="R14" s="2539">
        <v>6484.5</v>
      </c>
      <c r="S14" s="2539">
        <v>6484.5</v>
      </c>
      <c r="T14" s="2539">
        <v>6484.5</v>
      </c>
      <c r="U14" s="2539">
        <v>6484.5</v>
      </c>
      <c r="V14" s="2539">
        <v>6484.5</v>
      </c>
      <c r="W14" s="2539">
        <v>6484.5</v>
      </c>
      <c r="X14" s="2539">
        <v>6484.5</v>
      </c>
      <c r="Y14" s="2539">
        <v>6484.5</v>
      </c>
      <c r="Z14" s="2539">
        <v>6484.5</v>
      </c>
      <c r="AA14" s="2539">
        <v>6484.5</v>
      </c>
      <c r="AB14" s="2540">
        <v>6484.5</v>
      </c>
    </row>
    <row r="15" spans="2:28" x14ac:dyDescent="0.3">
      <c r="B15" s="342" t="s">
        <v>1177</v>
      </c>
      <c r="C15" s="342"/>
      <c r="D15" s="884" t="s">
        <v>1160</v>
      </c>
      <c r="E15" s="884">
        <v>12</v>
      </c>
      <c r="F15" s="885" t="s">
        <v>1182</v>
      </c>
      <c r="G15" s="2528"/>
      <c r="H15" s="2531"/>
      <c r="I15" s="2531"/>
      <c r="J15" s="2531"/>
      <c r="K15" s="2531"/>
      <c r="L15" s="2531"/>
      <c r="M15" s="2531"/>
      <c r="N15" s="2531"/>
      <c r="O15" s="2531"/>
      <c r="P15" s="2531"/>
      <c r="Q15" s="2531"/>
      <c r="R15" s="2531">
        <v>10169.700000000001</v>
      </c>
      <c r="S15" s="2531">
        <v>10685.7</v>
      </c>
      <c r="T15" s="2531">
        <v>11070.3</v>
      </c>
      <c r="U15" s="2531">
        <v>11495.1</v>
      </c>
      <c r="V15" s="2531">
        <v>11495.1</v>
      </c>
      <c r="W15" s="2531">
        <v>12070.8</v>
      </c>
      <c r="X15" s="2531">
        <v>12070.8</v>
      </c>
      <c r="Y15" s="2531">
        <v>12673.5</v>
      </c>
      <c r="Z15" s="2531">
        <v>12673.5</v>
      </c>
      <c r="AA15" s="2531">
        <v>13308.3</v>
      </c>
      <c r="AB15" s="2532">
        <v>13308.3</v>
      </c>
    </row>
    <row r="16" spans="2:28" x14ac:dyDescent="0.3">
      <c r="B16" s="342" t="s">
        <v>1176</v>
      </c>
      <c r="C16" s="342"/>
      <c r="D16" s="884" t="s">
        <v>1161</v>
      </c>
      <c r="E16" s="884">
        <v>13</v>
      </c>
      <c r="F16" s="880" t="s">
        <v>1183</v>
      </c>
      <c r="G16" s="2533">
        <v>5719.8</v>
      </c>
      <c r="H16" s="1188">
        <v>6152.1</v>
      </c>
      <c r="I16" s="1188">
        <v>6328.5</v>
      </c>
      <c r="J16" s="1188">
        <v>6502.2</v>
      </c>
      <c r="K16" s="1188">
        <v>6801.9</v>
      </c>
      <c r="L16" s="1188">
        <v>7098</v>
      </c>
      <c r="M16" s="1188">
        <v>7398</v>
      </c>
      <c r="N16" s="1188">
        <v>7848.3</v>
      </c>
      <c r="O16" s="1188">
        <v>8243.7000000000007</v>
      </c>
      <c r="P16" s="1188">
        <v>8619.9</v>
      </c>
      <c r="Q16" s="1188">
        <v>8928.6</v>
      </c>
      <c r="R16" s="1188">
        <v>9228.9</v>
      </c>
      <c r="S16" s="1188">
        <v>9669.6</v>
      </c>
      <c r="T16" s="1188">
        <v>10032</v>
      </c>
      <c r="U16" s="1188">
        <v>10445.4</v>
      </c>
      <c r="V16" s="1188">
        <v>10445.4</v>
      </c>
      <c r="W16" s="1188">
        <v>10653.6</v>
      </c>
      <c r="X16" s="1188">
        <v>10653.6</v>
      </c>
      <c r="Y16" s="1188">
        <v>10653.6</v>
      </c>
      <c r="Z16" s="1188">
        <v>10653.6</v>
      </c>
      <c r="AA16" s="1188">
        <v>10653.6</v>
      </c>
      <c r="AB16" s="2534">
        <v>10653.6</v>
      </c>
    </row>
    <row r="17" spans="2:28" x14ac:dyDescent="0.3">
      <c r="B17" s="342" t="s">
        <v>1175</v>
      </c>
      <c r="C17" s="342"/>
      <c r="D17" s="884" t="s">
        <v>1162</v>
      </c>
      <c r="E17" s="884">
        <v>14</v>
      </c>
      <c r="F17" s="880" t="s">
        <v>1184</v>
      </c>
      <c r="G17" s="2533">
        <v>5223.3</v>
      </c>
      <c r="H17" s="1188">
        <v>5440.5</v>
      </c>
      <c r="I17" s="1188">
        <v>5664.3</v>
      </c>
      <c r="J17" s="1188">
        <v>5736.9</v>
      </c>
      <c r="K17" s="1188">
        <v>5970.9</v>
      </c>
      <c r="L17" s="1188">
        <v>6431</v>
      </c>
      <c r="M17" s="1188">
        <v>6910.5</v>
      </c>
      <c r="N17" s="1188">
        <v>7136.4</v>
      </c>
      <c r="O17" s="1188">
        <v>7397.7</v>
      </c>
      <c r="P17" s="1188">
        <v>7665.9</v>
      </c>
      <c r="Q17" s="1188">
        <v>8150.4</v>
      </c>
      <c r="R17" s="1188">
        <v>8476.5</v>
      </c>
      <c r="S17" s="1188">
        <v>8671.7999999999993</v>
      </c>
      <c r="T17" s="1188">
        <v>8879.7000000000007</v>
      </c>
      <c r="U17" s="1188">
        <v>9162.6</v>
      </c>
      <c r="V17" s="1188">
        <v>9162.6</v>
      </c>
      <c r="W17" s="1188">
        <v>9162.6</v>
      </c>
      <c r="X17" s="1188">
        <v>9162.6</v>
      </c>
      <c r="Y17" s="1188">
        <v>9162.6</v>
      </c>
      <c r="Z17" s="1188">
        <v>9162.6</v>
      </c>
      <c r="AA17" s="1188">
        <v>9162.6</v>
      </c>
      <c r="AB17" s="2534">
        <v>9162.6</v>
      </c>
    </row>
    <row r="18" spans="2:28" x14ac:dyDescent="0.3">
      <c r="B18" s="342" t="s">
        <v>1174</v>
      </c>
      <c r="C18" s="342"/>
      <c r="D18" s="884" t="s">
        <v>1163</v>
      </c>
      <c r="E18" s="884">
        <v>15</v>
      </c>
      <c r="F18" s="880" t="s">
        <v>1185</v>
      </c>
      <c r="G18" s="2533">
        <v>4621.8</v>
      </c>
      <c r="H18" s="1188">
        <v>5058.8999999999996</v>
      </c>
      <c r="I18" s="1188">
        <v>5193.3</v>
      </c>
      <c r="J18" s="1188">
        <v>5286</v>
      </c>
      <c r="K18" s="1188">
        <v>5585.4</v>
      </c>
      <c r="L18" s="1188">
        <v>6051</v>
      </c>
      <c r="M18" s="1188">
        <v>6282.6</v>
      </c>
      <c r="N18" s="1188">
        <v>6509.4</v>
      </c>
      <c r="O18" s="1188">
        <v>6787.5</v>
      </c>
      <c r="P18" s="1188">
        <v>7005</v>
      </c>
      <c r="Q18" s="1188">
        <v>7201.5</v>
      </c>
      <c r="R18" s="1188">
        <v>7437</v>
      </c>
      <c r="S18" s="1188">
        <v>7591.5</v>
      </c>
      <c r="T18" s="1188">
        <v>7714.2</v>
      </c>
      <c r="U18" s="1188">
        <v>7714.2</v>
      </c>
      <c r="V18" s="1188">
        <v>7714.2</v>
      </c>
      <c r="W18" s="1188">
        <v>7714.2</v>
      </c>
      <c r="X18" s="1188">
        <v>7714.2</v>
      </c>
      <c r="Y18" s="1188">
        <v>7714.2</v>
      </c>
      <c r="Z18" s="1188">
        <v>7714.2</v>
      </c>
      <c r="AA18" s="1188">
        <v>7714.2</v>
      </c>
      <c r="AB18" s="2534">
        <v>7714.2</v>
      </c>
    </row>
    <row r="19" spans="2:28" ht="15" thickBot="1" x14ac:dyDescent="0.35">
      <c r="B19" s="342" t="s">
        <v>1173</v>
      </c>
      <c r="C19" s="342"/>
      <c r="D19" s="884" t="s">
        <v>1164</v>
      </c>
      <c r="E19" s="884">
        <v>16</v>
      </c>
      <c r="F19" s="881" t="s">
        <v>1186</v>
      </c>
      <c r="G19" s="2538">
        <v>4056.6</v>
      </c>
      <c r="H19" s="2539">
        <v>4493.7</v>
      </c>
      <c r="I19" s="2539">
        <v>4611</v>
      </c>
      <c r="J19" s="2539">
        <v>4859.1000000000004</v>
      </c>
      <c r="K19" s="2539">
        <v>5152.2</v>
      </c>
      <c r="L19" s="2539">
        <v>5584.2</v>
      </c>
      <c r="M19" s="2539">
        <v>5786.1</v>
      </c>
      <c r="N19" s="2539">
        <v>6069.3</v>
      </c>
      <c r="O19" s="2539">
        <v>6346.5</v>
      </c>
      <c r="P19" s="2539">
        <v>6564.9</v>
      </c>
      <c r="Q19" s="2539">
        <v>6768.2</v>
      </c>
      <c r="R19" s="2539">
        <v>7010.1</v>
      </c>
      <c r="S19" s="2539">
        <v>7010.1</v>
      </c>
      <c r="T19" s="2539">
        <v>7010.1</v>
      </c>
      <c r="U19" s="2539">
        <v>7010.1</v>
      </c>
      <c r="V19" s="2539">
        <v>7010.1</v>
      </c>
      <c r="W19" s="2539">
        <v>7010.1</v>
      </c>
      <c r="X19" s="2539">
        <v>7010.1</v>
      </c>
      <c r="Y19" s="2539">
        <v>7010.1</v>
      </c>
      <c r="Z19" s="2539">
        <v>7010.1</v>
      </c>
      <c r="AA19" s="2539">
        <v>7010.1</v>
      </c>
      <c r="AB19" s="2540">
        <v>7010.1</v>
      </c>
    </row>
    <row r="20" spans="2:28" x14ac:dyDescent="0.3">
      <c r="B20" s="342" t="s">
        <v>1172</v>
      </c>
      <c r="C20" s="342"/>
      <c r="D20" s="884" t="s">
        <v>1165</v>
      </c>
      <c r="E20" s="884">
        <v>17</v>
      </c>
      <c r="F20" s="885" t="s">
        <v>1187</v>
      </c>
      <c r="G20" s="2528"/>
      <c r="H20" s="2531"/>
      <c r="I20" s="2531"/>
      <c r="J20" s="2531"/>
      <c r="K20" s="2531"/>
      <c r="L20" s="2531"/>
      <c r="M20" s="2531">
        <v>6910.2</v>
      </c>
      <c r="N20" s="2531">
        <v>7066.5</v>
      </c>
      <c r="O20" s="2531">
        <v>7263.6</v>
      </c>
      <c r="P20" s="2531">
        <v>7496.1</v>
      </c>
      <c r="Q20" s="2531">
        <v>7730.7</v>
      </c>
      <c r="R20" s="2531">
        <v>8105.1</v>
      </c>
      <c r="S20" s="2531">
        <v>8423.1</v>
      </c>
      <c r="T20" s="2531">
        <v>8756.7000000000007</v>
      </c>
      <c r="U20" s="2531">
        <v>9267.9</v>
      </c>
      <c r="V20" s="2531">
        <v>9267.9</v>
      </c>
      <c r="W20" s="2531">
        <v>9730.2000000000007</v>
      </c>
      <c r="X20" s="2531">
        <v>9730.2000000000007</v>
      </c>
      <c r="Y20" s="2531">
        <v>10217.4</v>
      </c>
      <c r="Z20" s="2531">
        <v>10217.4</v>
      </c>
      <c r="AA20" s="2531">
        <v>10729.2</v>
      </c>
      <c r="AB20" s="2532">
        <v>10729.2</v>
      </c>
    </row>
    <row r="21" spans="2:28" x14ac:dyDescent="0.3">
      <c r="B21" s="342" t="s">
        <v>1181</v>
      </c>
      <c r="C21" s="342"/>
      <c r="D21" s="884" t="s">
        <v>1166</v>
      </c>
      <c r="E21" s="884">
        <v>18</v>
      </c>
      <c r="F21" s="880" t="s">
        <v>1188</v>
      </c>
      <c r="G21" s="2533"/>
      <c r="H21" s="1188"/>
      <c r="I21" s="1188"/>
      <c r="J21" s="1188"/>
      <c r="K21" s="1188"/>
      <c r="L21" s="1188">
        <v>5656.5</v>
      </c>
      <c r="M21" s="1188">
        <v>5907</v>
      </c>
      <c r="N21" s="1188">
        <v>6061.8</v>
      </c>
      <c r="O21" s="1188">
        <v>6247.2</v>
      </c>
      <c r="P21" s="1188">
        <v>6448.2</v>
      </c>
      <c r="Q21" s="1188">
        <v>6811.2</v>
      </c>
      <c r="R21" s="1188">
        <v>6995.4</v>
      </c>
      <c r="S21" s="1188">
        <v>7308.3</v>
      </c>
      <c r="T21" s="1188">
        <v>7481.7</v>
      </c>
      <c r="U21" s="1188">
        <v>7908.9</v>
      </c>
      <c r="V21" s="1188">
        <v>7908.9</v>
      </c>
      <c r="W21" s="1188">
        <v>8067.3</v>
      </c>
      <c r="X21" s="1188">
        <v>8067.3</v>
      </c>
      <c r="Y21" s="1188">
        <v>8067.3</v>
      </c>
      <c r="Z21" s="1188">
        <v>8067.3</v>
      </c>
      <c r="AA21" s="1188">
        <v>8067.3</v>
      </c>
      <c r="AB21" s="2534">
        <v>8067.3</v>
      </c>
    </row>
    <row r="22" spans="2:28" x14ac:dyDescent="0.3">
      <c r="B22" s="342" t="s">
        <v>1180</v>
      </c>
      <c r="C22" s="342"/>
      <c r="D22" s="884" t="s">
        <v>1167</v>
      </c>
      <c r="E22" s="884">
        <v>19</v>
      </c>
      <c r="F22" s="880" t="s">
        <v>1189</v>
      </c>
      <c r="G22" s="2533">
        <v>3932.1</v>
      </c>
      <c r="H22" s="1188">
        <v>4291.5</v>
      </c>
      <c r="I22" s="1188">
        <v>4456.2</v>
      </c>
      <c r="J22" s="1188">
        <v>4673.1000000000004</v>
      </c>
      <c r="K22" s="1188">
        <v>4843.8</v>
      </c>
      <c r="L22" s="1188">
        <v>5135.7</v>
      </c>
      <c r="M22" s="1188">
        <v>5300.4</v>
      </c>
      <c r="N22" s="1188">
        <v>5591.7</v>
      </c>
      <c r="O22" s="1188">
        <v>5835</v>
      </c>
      <c r="P22" s="1188">
        <v>6000.9</v>
      </c>
      <c r="Q22" s="1188">
        <v>6177.3</v>
      </c>
      <c r="R22" s="1188">
        <v>6245.7</v>
      </c>
      <c r="S22" s="1188">
        <v>6475.2</v>
      </c>
      <c r="T22" s="1188">
        <v>6598.2</v>
      </c>
      <c r="U22" s="1188">
        <v>7067.4</v>
      </c>
      <c r="V22" s="1188">
        <v>7067.4</v>
      </c>
      <c r="W22" s="1188">
        <v>7067.4</v>
      </c>
      <c r="X22" s="1188">
        <v>7067.4</v>
      </c>
      <c r="Y22" s="1188">
        <v>7067.4</v>
      </c>
      <c r="Z22" s="1188">
        <v>7067.4</v>
      </c>
      <c r="AA22" s="1188">
        <v>7067.4</v>
      </c>
      <c r="AB22" s="2534">
        <v>7067.4</v>
      </c>
    </row>
    <row r="23" spans="2:28" x14ac:dyDescent="0.3">
      <c r="B23" s="342" t="s">
        <v>1179</v>
      </c>
      <c r="C23" s="342"/>
      <c r="D23" s="884" t="s">
        <v>1168</v>
      </c>
      <c r="E23" s="884">
        <v>20</v>
      </c>
      <c r="F23" s="880" t="s">
        <v>1190</v>
      </c>
      <c r="G23" s="2533">
        <v>3401.1</v>
      </c>
      <c r="H23" s="1188">
        <v>3743.1</v>
      </c>
      <c r="I23" s="1188">
        <v>3908.1</v>
      </c>
      <c r="J23" s="1188">
        <v>4068.9</v>
      </c>
      <c r="K23" s="1188">
        <v>4235.7</v>
      </c>
      <c r="L23" s="1188">
        <v>4612.8</v>
      </c>
      <c r="M23" s="1188">
        <v>4759.5</v>
      </c>
      <c r="N23" s="1188">
        <v>5043.3</v>
      </c>
      <c r="O23" s="1188">
        <v>5130.3</v>
      </c>
      <c r="P23" s="1188">
        <v>5193.6000000000004</v>
      </c>
      <c r="Q23" s="1188">
        <v>5267.7</v>
      </c>
      <c r="R23" s="1188">
        <v>5267.7</v>
      </c>
      <c r="S23" s="1188">
        <v>5267.7</v>
      </c>
      <c r="T23" s="1188">
        <v>5267.7</v>
      </c>
      <c r="U23" s="1188">
        <v>5267.7</v>
      </c>
      <c r="V23" s="1188">
        <v>5267.7</v>
      </c>
      <c r="W23" s="1188">
        <v>5267.7</v>
      </c>
      <c r="X23" s="1188">
        <v>5267.7</v>
      </c>
      <c r="Y23" s="1188">
        <v>5267.7</v>
      </c>
      <c r="Z23" s="1188">
        <v>5267.7</v>
      </c>
      <c r="AA23" s="1188">
        <v>5267.7</v>
      </c>
      <c r="AB23" s="2534">
        <v>5267.7</v>
      </c>
    </row>
    <row r="24" spans="2:28" x14ac:dyDescent="0.3">
      <c r="B24" s="342" t="s">
        <v>1186</v>
      </c>
      <c r="C24" s="342"/>
      <c r="D24" s="884" t="s">
        <v>1169</v>
      </c>
      <c r="E24" s="884">
        <v>21</v>
      </c>
      <c r="F24" s="880" t="s">
        <v>1191</v>
      </c>
      <c r="G24" s="2533">
        <v>3342.9</v>
      </c>
      <c r="H24" s="1188">
        <v>3598.2</v>
      </c>
      <c r="I24" s="1188">
        <v>3775.8</v>
      </c>
      <c r="J24" s="1188">
        <v>3946.8</v>
      </c>
      <c r="K24" s="1188">
        <v>4110</v>
      </c>
      <c r="L24" s="1188">
        <v>4299.8999999999996</v>
      </c>
      <c r="M24" s="1188">
        <v>4395.3</v>
      </c>
      <c r="N24" s="1188">
        <v>4421.7</v>
      </c>
      <c r="O24" s="1188">
        <v>4421.7</v>
      </c>
      <c r="P24" s="1188">
        <v>4421.7</v>
      </c>
      <c r="Q24" s="1188">
        <v>4421.7</v>
      </c>
      <c r="R24" s="1188">
        <v>4421.7</v>
      </c>
      <c r="S24" s="1188">
        <v>4421.7</v>
      </c>
      <c r="T24" s="1188">
        <v>4421.7</v>
      </c>
      <c r="U24" s="1188">
        <v>4421.7</v>
      </c>
      <c r="V24" s="1188">
        <v>4421.7</v>
      </c>
      <c r="W24" s="1188">
        <v>4421.7</v>
      </c>
      <c r="X24" s="1188">
        <v>4421.7</v>
      </c>
      <c r="Y24" s="1188">
        <v>4421.7</v>
      </c>
      <c r="Z24" s="1188">
        <v>4421.7</v>
      </c>
      <c r="AA24" s="1188">
        <v>4421.7</v>
      </c>
      <c r="AB24" s="2534">
        <v>4421.7</v>
      </c>
    </row>
    <row r="25" spans="2:28" x14ac:dyDescent="0.3">
      <c r="B25" s="342" t="s">
        <v>1185</v>
      </c>
      <c r="C25" s="342"/>
      <c r="D25" s="884" t="s">
        <v>1170</v>
      </c>
      <c r="E25" s="883">
        <v>22</v>
      </c>
      <c r="F25" s="880" t="s">
        <v>1192</v>
      </c>
      <c r="G25" s="2533">
        <v>3142.2</v>
      </c>
      <c r="H25" s="1188">
        <v>3303</v>
      </c>
      <c r="I25" s="1188">
        <v>3482.4</v>
      </c>
      <c r="J25" s="1188">
        <v>3658.5</v>
      </c>
      <c r="K25" s="1188">
        <v>3815.4</v>
      </c>
      <c r="L25" s="1188">
        <v>3815.4</v>
      </c>
      <c r="M25" s="1188">
        <v>3815.4</v>
      </c>
      <c r="N25" s="1188">
        <v>3815.4</v>
      </c>
      <c r="O25" s="1188">
        <v>3815.4</v>
      </c>
      <c r="P25" s="1188">
        <v>3815.4</v>
      </c>
      <c r="Q25" s="1188">
        <v>3815.4</v>
      </c>
      <c r="R25" s="1188">
        <v>3815.4</v>
      </c>
      <c r="S25" s="1188">
        <v>3815.4</v>
      </c>
      <c r="T25" s="1188">
        <v>3815.4</v>
      </c>
      <c r="U25" s="1188">
        <v>3815.4</v>
      </c>
      <c r="V25" s="1188">
        <v>3815.4</v>
      </c>
      <c r="W25" s="1188">
        <v>3815.4</v>
      </c>
      <c r="X25" s="1188">
        <v>3815.4</v>
      </c>
      <c r="Y25" s="1188">
        <v>3815.4</v>
      </c>
      <c r="Z25" s="1188">
        <v>3815.4</v>
      </c>
      <c r="AA25" s="1188">
        <v>3815.4</v>
      </c>
      <c r="AB25" s="2534">
        <v>3815.4</v>
      </c>
    </row>
    <row r="26" spans="2:28" x14ac:dyDescent="0.3">
      <c r="B26" s="342" t="s">
        <v>1184</v>
      </c>
      <c r="C26" s="342"/>
      <c r="D26" s="884" t="s">
        <v>1171</v>
      </c>
      <c r="E26" s="883">
        <v>23</v>
      </c>
      <c r="F26" s="880" t="s">
        <v>1193</v>
      </c>
      <c r="G26" s="2533">
        <v>2836.8</v>
      </c>
      <c r="H26" s="1188">
        <v>3015</v>
      </c>
      <c r="I26" s="1188">
        <v>3198</v>
      </c>
      <c r="J26" s="1188">
        <v>3198</v>
      </c>
      <c r="K26" s="1188">
        <v>3198</v>
      </c>
      <c r="L26" s="1188">
        <v>3198</v>
      </c>
      <c r="M26" s="1188">
        <v>3198</v>
      </c>
      <c r="N26" s="1188">
        <v>3198</v>
      </c>
      <c r="O26" s="1188">
        <v>3198</v>
      </c>
      <c r="P26" s="1188">
        <v>3198</v>
      </c>
      <c r="Q26" s="1188">
        <v>3198</v>
      </c>
      <c r="R26" s="1188">
        <v>3198</v>
      </c>
      <c r="S26" s="1188">
        <v>3198</v>
      </c>
      <c r="T26" s="1188">
        <v>3198</v>
      </c>
      <c r="U26" s="1188">
        <v>3198</v>
      </c>
      <c r="V26" s="1188">
        <v>3198</v>
      </c>
      <c r="W26" s="1188">
        <v>3198</v>
      </c>
      <c r="X26" s="1188">
        <v>3198</v>
      </c>
      <c r="Y26" s="1188">
        <v>3198</v>
      </c>
      <c r="Z26" s="1188">
        <v>3198</v>
      </c>
      <c r="AA26" s="1188">
        <v>3198</v>
      </c>
      <c r="AB26" s="2534">
        <v>3198</v>
      </c>
    </row>
    <row r="27" spans="2:28" x14ac:dyDescent="0.3">
      <c r="B27" s="342" t="s">
        <v>1183</v>
      </c>
      <c r="C27" s="342"/>
      <c r="D27" s="342"/>
      <c r="E27" s="342"/>
      <c r="F27" s="880" t="s">
        <v>1194</v>
      </c>
      <c r="G27" s="2533">
        <v>2697.9</v>
      </c>
      <c r="H27" s="1188">
        <v>2697.9</v>
      </c>
      <c r="I27" s="1188">
        <v>2697.9</v>
      </c>
      <c r="J27" s="1188">
        <v>2697.9</v>
      </c>
      <c r="K27" s="1188">
        <v>2697.9</v>
      </c>
      <c r="L27" s="1188">
        <v>2697.9</v>
      </c>
      <c r="M27" s="1188">
        <v>2697.9</v>
      </c>
      <c r="N27" s="1188">
        <v>2697.9</v>
      </c>
      <c r="O27" s="1188">
        <v>2697.9</v>
      </c>
      <c r="P27" s="1188">
        <v>2697.9</v>
      </c>
      <c r="Q27" s="1188">
        <v>2697.9</v>
      </c>
      <c r="R27" s="1188">
        <v>2697.9</v>
      </c>
      <c r="S27" s="1188">
        <v>2697.9</v>
      </c>
      <c r="T27" s="1188">
        <v>2697.9</v>
      </c>
      <c r="U27" s="1188">
        <v>2697.9</v>
      </c>
      <c r="V27" s="1188">
        <v>2697.9</v>
      </c>
      <c r="W27" s="1188">
        <v>2697.9</v>
      </c>
      <c r="X27" s="1188">
        <v>2697.9</v>
      </c>
      <c r="Y27" s="1188">
        <v>2697.9</v>
      </c>
      <c r="Z27" s="1188">
        <v>2697.9</v>
      </c>
      <c r="AA27" s="1188">
        <v>2697.9</v>
      </c>
      <c r="AB27" s="2534">
        <v>2697.9</v>
      </c>
    </row>
    <row r="28" spans="2:28" ht="15" thickBot="1" x14ac:dyDescent="0.35">
      <c r="B28" s="342" t="s">
        <v>1182</v>
      </c>
      <c r="C28" s="342"/>
      <c r="D28" s="342"/>
      <c r="E28" s="342"/>
      <c r="F28" s="881" t="s">
        <v>1195</v>
      </c>
      <c r="G28" s="2535">
        <v>2407.1999999999998</v>
      </c>
      <c r="H28" s="2536"/>
      <c r="I28" s="2536"/>
      <c r="J28" s="2536"/>
      <c r="K28" s="2536"/>
      <c r="L28" s="2536"/>
      <c r="M28" s="2536"/>
      <c r="N28" s="2536"/>
      <c r="O28" s="2536"/>
      <c r="P28" s="2536"/>
      <c r="Q28" s="2536"/>
      <c r="R28" s="2536"/>
      <c r="S28" s="2536"/>
      <c r="T28" s="2536"/>
      <c r="U28" s="2536"/>
      <c r="V28" s="2536"/>
      <c r="W28" s="2536"/>
      <c r="X28" s="2536"/>
      <c r="Y28" s="2536"/>
      <c r="Z28" s="2536"/>
      <c r="AA28" s="2536"/>
      <c r="AB28" s="2537"/>
    </row>
    <row r="29" spans="2:28" ht="30.6" customHeight="1" thickBot="1" x14ac:dyDescent="0.45">
      <c r="F29" s="1905" t="s">
        <v>1451</v>
      </c>
      <c r="G29" s="1905"/>
      <c r="H29" s="1905"/>
      <c r="I29" s="1905"/>
      <c r="J29" s="1905"/>
      <c r="K29" s="1905"/>
      <c r="L29" s="1905"/>
      <c r="M29" s="1905"/>
      <c r="N29" s="1905"/>
      <c r="O29" s="1905"/>
      <c r="P29" s="1905"/>
      <c r="Q29" s="1905"/>
      <c r="R29" s="1905"/>
      <c r="S29" s="1905"/>
      <c r="T29" s="1905"/>
      <c r="U29" s="1905"/>
      <c r="V29" s="1905"/>
      <c r="W29" s="1905"/>
      <c r="X29" s="1905"/>
      <c r="Y29" s="1905"/>
      <c r="Z29" s="1905"/>
      <c r="AA29" s="1905"/>
      <c r="AB29" s="1905"/>
    </row>
    <row r="30" spans="2:28" ht="15" customHeight="1" thickBot="1" x14ac:dyDescent="0.35">
      <c r="B30" s="1906" t="s">
        <v>1407</v>
      </c>
      <c r="C30" s="1907">
        <v>328.48</v>
      </c>
      <c r="D30" s="1908" t="s">
        <v>1201</v>
      </c>
      <c r="F30" s="163" t="s">
        <v>1151</v>
      </c>
      <c r="G30" s="886" t="s">
        <v>1152</v>
      </c>
      <c r="H30" s="876">
        <v>2</v>
      </c>
      <c r="I30" s="875">
        <v>3</v>
      </c>
      <c r="J30" s="877" t="s">
        <v>1153</v>
      </c>
      <c r="K30" s="878" t="s">
        <v>1154</v>
      </c>
      <c r="L30" s="878" t="s">
        <v>1155</v>
      </c>
      <c r="M30" s="878" t="s">
        <v>1156</v>
      </c>
      <c r="N30" s="878" t="s">
        <v>1157</v>
      </c>
      <c r="O30" s="878" t="s">
        <v>1158</v>
      </c>
      <c r="P30" s="878" t="s">
        <v>1159</v>
      </c>
      <c r="Q30" s="878" t="s">
        <v>1160</v>
      </c>
      <c r="R30" s="878" t="s">
        <v>1161</v>
      </c>
      <c r="S30" s="878" t="s">
        <v>1162</v>
      </c>
      <c r="T30" s="878" t="s">
        <v>1163</v>
      </c>
      <c r="U30" s="878" t="s">
        <v>1164</v>
      </c>
      <c r="V30" s="878" t="s">
        <v>1165</v>
      </c>
      <c r="W30" s="878" t="s">
        <v>1166</v>
      </c>
      <c r="X30" s="878" t="s">
        <v>1167</v>
      </c>
      <c r="Y30" s="878" t="s">
        <v>1168</v>
      </c>
      <c r="Z30" s="878" t="s">
        <v>1169</v>
      </c>
      <c r="AA30" s="878" t="s">
        <v>1170</v>
      </c>
      <c r="AB30" s="879" t="s">
        <v>1171</v>
      </c>
    </row>
    <row r="31" spans="2:28" x14ac:dyDescent="0.3">
      <c r="B31" s="1906"/>
      <c r="C31" s="1907"/>
      <c r="D31" s="1761"/>
      <c r="F31" s="2522" t="s">
        <v>1172</v>
      </c>
      <c r="G31" s="2523">
        <v>384.67</v>
      </c>
      <c r="H31" s="2523">
        <v>402.54</v>
      </c>
      <c r="I31" s="2523">
        <v>410.81</v>
      </c>
      <c r="J31" s="2523">
        <v>417.4</v>
      </c>
      <c r="K31" s="2523">
        <v>429.29</v>
      </c>
      <c r="L31" s="2523">
        <v>441.06</v>
      </c>
      <c r="M31" s="2523">
        <v>454.64</v>
      </c>
      <c r="N31" s="2523">
        <v>468.19</v>
      </c>
      <c r="O31" s="2523">
        <v>481.81</v>
      </c>
      <c r="P31" s="2523">
        <v>524.51</v>
      </c>
      <c r="Q31" s="2523">
        <v>560.59</v>
      </c>
      <c r="R31" s="2523">
        <v>560.59</v>
      </c>
      <c r="S31" s="2523">
        <v>560.59</v>
      </c>
      <c r="T31" s="2523">
        <v>560.59</v>
      </c>
      <c r="U31" s="2523">
        <v>563.48</v>
      </c>
      <c r="V31" s="2523">
        <v>563.48</v>
      </c>
      <c r="W31" s="2523">
        <v>574.74</v>
      </c>
      <c r="X31" s="2523">
        <v>574.74</v>
      </c>
      <c r="Y31" s="2523">
        <v>574.74</v>
      </c>
      <c r="Z31" s="2523">
        <v>574.74</v>
      </c>
      <c r="AA31" s="2523">
        <v>574.74</v>
      </c>
      <c r="AB31" s="2524">
        <v>574.74</v>
      </c>
    </row>
    <row r="32" spans="2:28" x14ac:dyDescent="0.3">
      <c r="B32" s="1906"/>
      <c r="C32" s="1907"/>
      <c r="D32" s="1761"/>
      <c r="F32" s="880" t="s">
        <v>1173</v>
      </c>
      <c r="G32" s="1189">
        <v>291.70999999999998</v>
      </c>
      <c r="H32" s="1189">
        <v>320.45999999999998</v>
      </c>
      <c r="I32" s="1189">
        <v>341.5</v>
      </c>
      <c r="J32" s="1189">
        <v>341.5</v>
      </c>
      <c r="K32" s="1189">
        <v>342.81</v>
      </c>
      <c r="L32" s="1189">
        <v>357.5</v>
      </c>
      <c r="M32" s="1189">
        <v>359.45</v>
      </c>
      <c r="N32" s="1189">
        <v>359.45</v>
      </c>
      <c r="O32" s="1189">
        <v>379.88</v>
      </c>
      <c r="P32" s="1189">
        <v>415.99</v>
      </c>
      <c r="Q32" s="1189">
        <v>437.18</v>
      </c>
      <c r="R32" s="1189">
        <v>458.37</v>
      </c>
      <c r="S32" s="1189">
        <v>470.43</v>
      </c>
      <c r="T32" s="1189">
        <v>482.64</v>
      </c>
      <c r="U32" s="1189">
        <v>506.29</v>
      </c>
      <c r="V32" s="1189">
        <v>506.29</v>
      </c>
      <c r="W32" s="1189">
        <v>513.61</v>
      </c>
      <c r="X32" s="1189">
        <v>513.61</v>
      </c>
      <c r="Y32" s="1189">
        <v>513.61</v>
      </c>
      <c r="Z32" s="1189">
        <v>513.61</v>
      </c>
      <c r="AA32" s="1189">
        <v>513.61</v>
      </c>
      <c r="AB32" s="2525">
        <v>513.61</v>
      </c>
    </row>
    <row r="33" spans="2:28" x14ac:dyDescent="0.3">
      <c r="B33" s="1906" t="s">
        <v>1408</v>
      </c>
      <c r="C33" s="1907">
        <v>476.95</v>
      </c>
      <c r="D33" s="1908" t="s">
        <v>1201</v>
      </c>
      <c r="F33" s="880" t="s">
        <v>1174</v>
      </c>
      <c r="G33" s="1189">
        <v>243.18</v>
      </c>
      <c r="H33" s="1189">
        <v>273.94</v>
      </c>
      <c r="I33" s="1189">
        <v>292.89999999999998</v>
      </c>
      <c r="J33" s="1189">
        <v>296.47000000000003</v>
      </c>
      <c r="K33" s="1189">
        <v>308.32</v>
      </c>
      <c r="L33" s="1189">
        <v>315.38</v>
      </c>
      <c r="M33" s="1189">
        <v>330.95</v>
      </c>
      <c r="N33" s="1189">
        <v>342.39</v>
      </c>
      <c r="O33" s="1189">
        <v>357.17</v>
      </c>
      <c r="P33" s="1189">
        <v>379.71</v>
      </c>
      <c r="Q33" s="1189">
        <v>390.46</v>
      </c>
      <c r="R33" s="1189">
        <v>401.09</v>
      </c>
      <c r="S33" s="1189">
        <v>413.16</v>
      </c>
      <c r="T33" s="1189">
        <v>413.16</v>
      </c>
      <c r="U33" s="1189">
        <v>413.16</v>
      </c>
      <c r="V33" s="1189">
        <v>413.16</v>
      </c>
      <c r="W33" s="1189">
        <v>413.16</v>
      </c>
      <c r="X33" s="1189">
        <v>413.16</v>
      </c>
      <c r="Y33" s="1189">
        <v>413.16</v>
      </c>
      <c r="Z33" s="1189">
        <v>413.16</v>
      </c>
      <c r="AA33" s="1189">
        <v>413.16</v>
      </c>
      <c r="AB33" s="2525">
        <v>413.16</v>
      </c>
    </row>
    <row r="34" spans="2:28" x14ac:dyDescent="0.3">
      <c r="B34" s="1906"/>
      <c r="C34" s="1907"/>
      <c r="D34" s="1761"/>
      <c r="F34" s="880" t="s">
        <v>1175</v>
      </c>
      <c r="G34" s="1189">
        <v>209.82</v>
      </c>
      <c r="H34" s="1189">
        <v>242.88</v>
      </c>
      <c r="I34" s="1189">
        <v>259.12</v>
      </c>
      <c r="J34" s="1189">
        <v>262.7</v>
      </c>
      <c r="K34" s="1189">
        <v>277.74</v>
      </c>
      <c r="L34" s="1189">
        <v>293.88</v>
      </c>
      <c r="M34" s="1189">
        <v>314</v>
      </c>
      <c r="N34" s="1189">
        <v>329.61</v>
      </c>
      <c r="O34" s="1189">
        <v>340.48</v>
      </c>
      <c r="P34" s="1189">
        <v>346.72</v>
      </c>
      <c r="Q34" s="1189">
        <v>350.33</v>
      </c>
      <c r="R34" s="1189">
        <v>350.33</v>
      </c>
      <c r="S34" s="1189">
        <v>350.33</v>
      </c>
      <c r="T34" s="1189">
        <v>350.33</v>
      </c>
      <c r="U34" s="1189">
        <v>350.33</v>
      </c>
      <c r="V34" s="1189">
        <v>350.33</v>
      </c>
      <c r="W34" s="1189">
        <v>350.33</v>
      </c>
      <c r="X34" s="1189">
        <v>350.33</v>
      </c>
      <c r="Y34" s="1189">
        <v>350.33</v>
      </c>
      <c r="Z34" s="1189">
        <v>350.33</v>
      </c>
      <c r="AA34" s="1189">
        <v>350.33</v>
      </c>
      <c r="AB34" s="2525">
        <v>350.33</v>
      </c>
    </row>
    <row r="35" spans="2:28" x14ac:dyDescent="0.3">
      <c r="B35" s="1906"/>
      <c r="C35" s="1907"/>
      <c r="D35" s="1761"/>
      <c r="F35" s="880" t="s">
        <v>1176</v>
      </c>
      <c r="G35" s="1189">
        <v>184.47</v>
      </c>
      <c r="H35" s="1189">
        <v>209.13</v>
      </c>
      <c r="I35" s="1189">
        <v>225.68</v>
      </c>
      <c r="J35" s="1189">
        <v>246.09</v>
      </c>
      <c r="K35" s="1189">
        <v>257.89999999999998</v>
      </c>
      <c r="L35" s="1189">
        <v>270.85000000000002</v>
      </c>
      <c r="M35" s="1189">
        <v>279.19</v>
      </c>
      <c r="N35" s="1189">
        <v>292.94</v>
      </c>
      <c r="O35" s="1189">
        <v>300.14</v>
      </c>
      <c r="P35" s="1189">
        <v>300.14</v>
      </c>
      <c r="Q35" s="1189">
        <v>300.14</v>
      </c>
      <c r="R35" s="1189">
        <v>300.14</v>
      </c>
      <c r="S35" s="1189">
        <v>300.14</v>
      </c>
      <c r="T35" s="1189">
        <v>300.14</v>
      </c>
      <c r="U35" s="1189">
        <v>300.14</v>
      </c>
      <c r="V35" s="1189">
        <v>300.14</v>
      </c>
      <c r="W35" s="1189">
        <v>300.14</v>
      </c>
      <c r="X35" s="1189">
        <v>300.14</v>
      </c>
      <c r="Y35" s="1189">
        <v>300.14</v>
      </c>
      <c r="Z35" s="1189">
        <v>300.14</v>
      </c>
      <c r="AA35" s="1189">
        <v>300.14</v>
      </c>
      <c r="AB35" s="2525">
        <v>300.14</v>
      </c>
    </row>
    <row r="36" spans="2:28" x14ac:dyDescent="0.3">
      <c r="F36" s="880" t="s">
        <v>1177</v>
      </c>
      <c r="G36" s="1189">
        <v>159.4</v>
      </c>
      <c r="H36" s="1189">
        <v>181.54</v>
      </c>
      <c r="I36" s="1189">
        <v>209.08</v>
      </c>
      <c r="J36" s="1189">
        <v>216.15</v>
      </c>
      <c r="K36" s="1189">
        <v>220.59</v>
      </c>
      <c r="L36" s="1189">
        <v>220.59</v>
      </c>
      <c r="M36" s="1189">
        <v>220.59</v>
      </c>
      <c r="N36" s="1189">
        <v>220.59</v>
      </c>
      <c r="O36" s="1189">
        <v>220.59</v>
      </c>
      <c r="P36" s="1189">
        <v>220.59</v>
      </c>
      <c r="Q36" s="1189">
        <v>220.59</v>
      </c>
      <c r="R36" s="1189">
        <v>220.59</v>
      </c>
      <c r="S36" s="1189">
        <v>220.59</v>
      </c>
      <c r="T36" s="1189">
        <v>220.59</v>
      </c>
      <c r="U36" s="1189">
        <v>220.59</v>
      </c>
      <c r="V36" s="1189">
        <v>220.59</v>
      </c>
      <c r="W36" s="1189">
        <v>220.59</v>
      </c>
      <c r="X36" s="1189">
        <v>220.59</v>
      </c>
      <c r="Y36" s="1189">
        <v>220.59</v>
      </c>
      <c r="Z36" s="1189">
        <v>220.59</v>
      </c>
      <c r="AA36" s="1189">
        <v>220.59</v>
      </c>
      <c r="AB36" s="2525">
        <v>220.59</v>
      </c>
    </row>
    <row r="37" spans="2:28" ht="15" thickBot="1" x14ac:dyDescent="0.35">
      <c r="F37" s="881" t="s">
        <v>1178</v>
      </c>
      <c r="G37" s="2526">
        <v>138.34</v>
      </c>
      <c r="H37" s="2526">
        <v>144</v>
      </c>
      <c r="I37" s="2526">
        <v>174.08</v>
      </c>
      <c r="J37" s="2526">
        <v>174.08</v>
      </c>
      <c r="K37" s="2526">
        <v>174.08</v>
      </c>
      <c r="L37" s="2526">
        <v>174.08</v>
      </c>
      <c r="M37" s="2526">
        <v>174.08</v>
      </c>
      <c r="N37" s="2526">
        <v>174.08</v>
      </c>
      <c r="O37" s="2526">
        <v>174.08</v>
      </c>
      <c r="P37" s="2526">
        <v>174.08</v>
      </c>
      <c r="Q37" s="2526">
        <v>174.08</v>
      </c>
      <c r="R37" s="2526">
        <v>174.08</v>
      </c>
      <c r="S37" s="2526">
        <v>174.08</v>
      </c>
      <c r="T37" s="2526">
        <v>174.08</v>
      </c>
      <c r="U37" s="2526">
        <v>174.08</v>
      </c>
      <c r="V37" s="2526">
        <v>174.08</v>
      </c>
      <c r="W37" s="2526">
        <v>174.08</v>
      </c>
      <c r="X37" s="2526">
        <v>174.08</v>
      </c>
      <c r="Y37" s="2526">
        <v>174.08</v>
      </c>
      <c r="Z37" s="2526">
        <v>174.08</v>
      </c>
      <c r="AA37" s="2526">
        <v>174.08</v>
      </c>
      <c r="AB37" s="2527">
        <v>174.08</v>
      </c>
    </row>
    <row r="38" spans="2:28" x14ac:dyDescent="0.3">
      <c r="B38" s="1903" t="e">
        <f ca="1">INDIRECT("'"&amp;"Drill Pay (2)"&amp;"'!$N$12")</f>
        <v>#REF!</v>
      </c>
      <c r="C38" s="1903"/>
      <c r="D38" s="1903"/>
      <c r="F38" s="885" t="s">
        <v>1179</v>
      </c>
      <c r="G38" s="2528"/>
      <c r="H38" s="2523"/>
      <c r="I38" s="2523"/>
      <c r="J38" s="2523">
        <v>246.09</v>
      </c>
      <c r="K38" s="2523">
        <v>257.89999999999998</v>
      </c>
      <c r="L38" s="2523">
        <v>270.85000000000002</v>
      </c>
      <c r="M38" s="2523">
        <v>279.19</v>
      </c>
      <c r="N38" s="2523">
        <v>292.94</v>
      </c>
      <c r="O38" s="2523">
        <v>304.57</v>
      </c>
      <c r="P38" s="2523">
        <v>320.32</v>
      </c>
      <c r="Q38" s="2523">
        <v>320.32</v>
      </c>
      <c r="R38" s="2523">
        <v>320.32</v>
      </c>
      <c r="S38" s="2523">
        <v>320.32</v>
      </c>
      <c r="T38" s="2523">
        <v>320.32</v>
      </c>
      <c r="U38" s="2523">
        <v>320.32</v>
      </c>
      <c r="V38" s="2523">
        <v>320.32</v>
      </c>
      <c r="W38" s="2523">
        <v>320.32</v>
      </c>
      <c r="X38" s="2523">
        <v>320.32</v>
      </c>
      <c r="Y38" s="2523">
        <v>320.32</v>
      </c>
      <c r="Z38" s="2523">
        <v>320.32</v>
      </c>
      <c r="AA38" s="2523">
        <v>320.32</v>
      </c>
      <c r="AB38" s="2523">
        <v>320.32</v>
      </c>
    </row>
    <row r="39" spans="2:28" x14ac:dyDescent="0.3">
      <c r="B39" s="1903" t="e">
        <f ca="1">INDIRECT("'"&amp;"Drill Pay (2)"&amp;"'!$N$10")</f>
        <v>#REF!</v>
      </c>
      <c r="C39" s="1903"/>
      <c r="D39" s="1903"/>
      <c r="F39" s="880" t="s">
        <v>1180</v>
      </c>
      <c r="G39" s="2529"/>
      <c r="H39" s="1189"/>
      <c r="I39" s="1189"/>
      <c r="J39" s="1189">
        <v>216.15</v>
      </c>
      <c r="K39" s="1189">
        <v>220.59</v>
      </c>
      <c r="L39" s="1189">
        <v>227.6</v>
      </c>
      <c r="M39" s="1189">
        <v>239.46</v>
      </c>
      <c r="N39" s="1189">
        <v>248.63</v>
      </c>
      <c r="O39" s="1189">
        <v>255.45</v>
      </c>
      <c r="P39" s="1189">
        <v>255.45</v>
      </c>
      <c r="Q39" s="1189">
        <v>255.45</v>
      </c>
      <c r="R39" s="1189">
        <v>255.45</v>
      </c>
      <c r="S39" s="1189">
        <v>255.45</v>
      </c>
      <c r="T39" s="1189">
        <v>255.45</v>
      </c>
      <c r="U39" s="1189">
        <v>255.45</v>
      </c>
      <c r="V39" s="1189">
        <v>255.45</v>
      </c>
      <c r="W39" s="1189">
        <v>255.45</v>
      </c>
      <c r="X39" s="1189">
        <v>255.45</v>
      </c>
      <c r="Y39" s="1189">
        <v>255.45</v>
      </c>
      <c r="Z39" s="1189">
        <v>255.45</v>
      </c>
      <c r="AA39" s="1189">
        <v>255.45</v>
      </c>
      <c r="AB39" s="1189">
        <v>255.45</v>
      </c>
    </row>
    <row r="40" spans="2:28" ht="15" thickBot="1" x14ac:dyDescent="0.35">
      <c r="B40" s="1901" t="e">
        <f ca="1">INDIRECT("'"&amp;"Drill Pay (2)"&amp;"'!$R$10")</f>
        <v>#REF!</v>
      </c>
      <c r="C40" s="1901"/>
      <c r="D40" s="1901"/>
      <c r="F40" s="881" t="s">
        <v>1181</v>
      </c>
      <c r="G40" s="2530"/>
      <c r="H40" s="2526"/>
      <c r="I40" s="2526"/>
      <c r="J40" s="2526">
        <v>174.08</v>
      </c>
      <c r="K40" s="2526">
        <v>185.89</v>
      </c>
      <c r="L40" s="2526">
        <v>192.77</v>
      </c>
      <c r="M40" s="2526">
        <v>199.79</v>
      </c>
      <c r="N40" s="2526">
        <v>206.69</v>
      </c>
      <c r="O40" s="2526">
        <v>216.15</v>
      </c>
      <c r="P40" s="2526">
        <v>216.15</v>
      </c>
      <c r="Q40" s="2526">
        <v>216.15</v>
      </c>
      <c r="R40" s="2526">
        <v>216.15</v>
      </c>
      <c r="S40" s="2526">
        <v>216.15</v>
      </c>
      <c r="T40" s="2526">
        <v>216.15</v>
      </c>
      <c r="U40" s="2526">
        <v>216.15</v>
      </c>
      <c r="V40" s="2526">
        <v>216.15</v>
      </c>
      <c r="W40" s="2526">
        <v>216.15</v>
      </c>
      <c r="X40" s="2526">
        <v>216.15</v>
      </c>
      <c r="Y40" s="2526">
        <v>216.15</v>
      </c>
      <c r="Z40" s="2526">
        <v>216.15</v>
      </c>
      <c r="AA40" s="2526">
        <v>216.15</v>
      </c>
      <c r="AB40" s="2526">
        <v>216.15</v>
      </c>
    </row>
    <row r="41" spans="2:28" x14ac:dyDescent="0.3">
      <c r="B41" s="1902" t="e">
        <f ca="1">INDIRECT("'"&amp;"Drill Pay (2)"&amp;"'!$R$12")</f>
        <v>#REF!</v>
      </c>
      <c r="C41" s="1902"/>
      <c r="D41" s="1902"/>
      <c r="F41" s="885" t="s">
        <v>1182</v>
      </c>
      <c r="G41" s="2528"/>
      <c r="H41" s="2523"/>
      <c r="I41" s="2523"/>
      <c r="J41" s="2523"/>
      <c r="K41" s="2523"/>
      <c r="L41" s="2523"/>
      <c r="M41" s="2523"/>
      <c r="N41" s="2523"/>
      <c r="O41" s="2523"/>
      <c r="P41" s="2523"/>
      <c r="Q41" s="2523"/>
      <c r="R41" s="2523">
        <v>338.99</v>
      </c>
      <c r="S41" s="2523">
        <v>356.19</v>
      </c>
      <c r="T41" s="2523">
        <v>369.01</v>
      </c>
      <c r="U41" s="2523">
        <v>383.17</v>
      </c>
      <c r="V41" s="2523">
        <v>383.17</v>
      </c>
      <c r="W41" s="2523">
        <v>402.36</v>
      </c>
      <c r="X41" s="2523">
        <v>402.36</v>
      </c>
      <c r="Y41" s="2523">
        <v>422.45</v>
      </c>
      <c r="Z41" s="2523">
        <v>422.45</v>
      </c>
      <c r="AA41" s="2523">
        <v>443.61</v>
      </c>
      <c r="AB41" s="2524">
        <v>443.61</v>
      </c>
    </row>
    <row r="42" spans="2:28" x14ac:dyDescent="0.3">
      <c r="B42" s="1903" t="str">
        <f ca="1">IFERROR(B38,"")</f>
        <v/>
      </c>
      <c r="C42" s="1903"/>
      <c r="D42" s="1903"/>
      <c r="F42" s="880" t="s">
        <v>1183</v>
      </c>
      <c r="G42" s="2529">
        <v>190.66</v>
      </c>
      <c r="H42" s="1189">
        <v>205.07</v>
      </c>
      <c r="I42" s="1189">
        <v>210.95</v>
      </c>
      <c r="J42" s="1189">
        <v>216.74</v>
      </c>
      <c r="K42" s="1189">
        <v>226.73</v>
      </c>
      <c r="L42" s="1189">
        <v>236.6</v>
      </c>
      <c r="M42" s="1189">
        <v>246.6</v>
      </c>
      <c r="N42" s="1189">
        <v>261.61</v>
      </c>
      <c r="O42" s="1189">
        <v>274.79000000000002</v>
      </c>
      <c r="P42" s="1189">
        <v>287.33</v>
      </c>
      <c r="Q42" s="1189">
        <v>297.62</v>
      </c>
      <c r="R42" s="1189">
        <v>307.63</v>
      </c>
      <c r="S42" s="1189">
        <v>322.32</v>
      </c>
      <c r="T42" s="1189">
        <v>334.4</v>
      </c>
      <c r="U42" s="1189">
        <v>348.18</v>
      </c>
      <c r="V42" s="1189">
        <v>348.18</v>
      </c>
      <c r="W42" s="1189">
        <v>355.12</v>
      </c>
      <c r="X42" s="1189">
        <v>355.12</v>
      </c>
      <c r="Y42" s="1189">
        <v>355.12</v>
      </c>
      <c r="Z42" s="1189">
        <v>355.12</v>
      </c>
      <c r="AA42" s="1189">
        <v>355.12</v>
      </c>
      <c r="AB42" s="1189">
        <v>355.12</v>
      </c>
    </row>
    <row r="43" spans="2:28" x14ac:dyDescent="0.3">
      <c r="B43" s="1903" t="str">
        <f ca="1">IFERROR(B39,"")</f>
        <v/>
      </c>
      <c r="C43" s="1903"/>
      <c r="D43" s="1903"/>
      <c r="F43" s="880" t="s">
        <v>1184</v>
      </c>
      <c r="G43" s="2529">
        <v>174.11</v>
      </c>
      <c r="H43" s="1189">
        <v>181.35</v>
      </c>
      <c r="I43" s="1189">
        <v>188.81</v>
      </c>
      <c r="J43" s="1189">
        <v>191.23</v>
      </c>
      <c r="K43" s="1189">
        <v>199.03</v>
      </c>
      <c r="L43" s="1189">
        <v>214.37</v>
      </c>
      <c r="M43" s="1189">
        <v>230.35</v>
      </c>
      <c r="N43" s="1189">
        <v>237.88</v>
      </c>
      <c r="O43" s="1189">
        <v>246.59</v>
      </c>
      <c r="P43" s="1189">
        <v>255.53</v>
      </c>
      <c r="Q43" s="1189">
        <v>271.58999999999997</v>
      </c>
      <c r="R43" s="1189">
        <v>282.55</v>
      </c>
      <c r="S43" s="1189">
        <v>289.06</v>
      </c>
      <c r="T43" s="1189">
        <v>295.99</v>
      </c>
      <c r="U43" s="1189">
        <v>305.42</v>
      </c>
      <c r="V43" s="1189">
        <v>305.42</v>
      </c>
      <c r="W43" s="1189">
        <v>305.42</v>
      </c>
      <c r="X43" s="1189">
        <v>305.42</v>
      </c>
      <c r="Y43" s="1189">
        <v>305.42</v>
      </c>
      <c r="Z43" s="1189">
        <v>305.42</v>
      </c>
      <c r="AA43" s="1189">
        <v>305.42</v>
      </c>
      <c r="AB43" s="1189">
        <v>305.42</v>
      </c>
    </row>
    <row r="44" spans="2:28" x14ac:dyDescent="0.3">
      <c r="B44" s="1901" t="str">
        <f ca="1">IFERROR(B40,"")</f>
        <v/>
      </c>
      <c r="C44" s="1901"/>
      <c r="D44" s="1901"/>
      <c r="F44" s="880" t="s">
        <v>1185</v>
      </c>
      <c r="G44" s="2529">
        <v>154.06</v>
      </c>
      <c r="H44" s="1189">
        <v>168.63</v>
      </c>
      <c r="I44" s="1189">
        <v>173.11</v>
      </c>
      <c r="J44" s="1189">
        <v>176.2</v>
      </c>
      <c r="K44" s="1189">
        <v>186.18</v>
      </c>
      <c r="L44" s="1189">
        <v>201.7</v>
      </c>
      <c r="M44" s="1189">
        <v>209.42</v>
      </c>
      <c r="N44" s="1189">
        <v>216.98</v>
      </c>
      <c r="O44" s="1189">
        <v>226.25</v>
      </c>
      <c r="P44" s="1189">
        <v>233.5</v>
      </c>
      <c r="Q44" s="1189">
        <v>240.05</v>
      </c>
      <c r="R44" s="1189">
        <v>247.9</v>
      </c>
      <c r="S44" s="1189">
        <v>253.05</v>
      </c>
      <c r="T44" s="1189">
        <v>257.14</v>
      </c>
      <c r="U44" s="1189">
        <v>257.14</v>
      </c>
      <c r="V44" s="1189">
        <v>257.14</v>
      </c>
      <c r="W44" s="1189">
        <v>257.14</v>
      </c>
      <c r="X44" s="1189">
        <v>257.14</v>
      </c>
      <c r="Y44" s="1189">
        <v>257.14</v>
      </c>
      <c r="Z44" s="1189">
        <v>257.14</v>
      </c>
      <c r="AA44" s="1189">
        <v>257.14</v>
      </c>
      <c r="AB44" s="1189">
        <v>257.14</v>
      </c>
    </row>
    <row r="45" spans="2:28" ht="15" thickBot="1" x14ac:dyDescent="0.35">
      <c r="B45" s="1901" t="str">
        <f ca="1">IFERROR(B41,"")</f>
        <v/>
      </c>
      <c r="C45" s="1901"/>
      <c r="D45" s="1901"/>
      <c r="F45" s="881" t="s">
        <v>1186</v>
      </c>
      <c r="G45" s="2530">
        <v>135.22</v>
      </c>
      <c r="H45" s="2526">
        <v>149.79</v>
      </c>
      <c r="I45" s="2526">
        <v>153.69999999999999</v>
      </c>
      <c r="J45" s="2526">
        <v>161.97</v>
      </c>
      <c r="K45" s="2526">
        <v>171.74</v>
      </c>
      <c r="L45" s="2526">
        <v>186.14</v>
      </c>
      <c r="M45" s="2526">
        <v>192.87</v>
      </c>
      <c r="N45" s="2526">
        <v>202.31</v>
      </c>
      <c r="O45" s="2526">
        <v>211.55</v>
      </c>
      <c r="P45" s="2526">
        <v>218.83</v>
      </c>
      <c r="Q45" s="2526">
        <v>225.54</v>
      </c>
      <c r="R45" s="2526">
        <v>233.67</v>
      </c>
      <c r="S45" s="2526">
        <v>233.67</v>
      </c>
      <c r="T45" s="2526">
        <v>233.67</v>
      </c>
      <c r="U45" s="2526">
        <v>233.67</v>
      </c>
      <c r="V45" s="2526">
        <v>233.67</v>
      </c>
      <c r="W45" s="2526">
        <v>233.67</v>
      </c>
      <c r="X45" s="2526">
        <v>233.67</v>
      </c>
      <c r="Y45" s="2526">
        <v>233.67</v>
      </c>
      <c r="Z45" s="2526">
        <v>233.67</v>
      </c>
      <c r="AA45" s="2526">
        <v>233.67</v>
      </c>
      <c r="AB45" s="2526">
        <v>233.67</v>
      </c>
    </row>
    <row r="46" spans="2:28" x14ac:dyDescent="0.3">
      <c r="F46" s="885" t="s">
        <v>1187</v>
      </c>
      <c r="G46" s="1189"/>
      <c r="H46" s="1189"/>
      <c r="I46" s="1189"/>
      <c r="J46" s="1189"/>
      <c r="K46" s="1189"/>
      <c r="L46" s="1189"/>
      <c r="M46" s="1189">
        <v>230.34</v>
      </c>
      <c r="N46" s="1189">
        <v>235.55</v>
      </c>
      <c r="O46" s="1189">
        <v>242.12</v>
      </c>
      <c r="P46" s="1189">
        <v>249.87</v>
      </c>
      <c r="Q46" s="1189">
        <v>257.69</v>
      </c>
      <c r="R46" s="1189">
        <v>270.17</v>
      </c>
      <c r="S46" s="1189">
        <v>280.77</v>
      </c>
      <c r="T46" s="1189">
        <v>291.89</v>
      </c>
      <c r="U46" s="1189">
        <v>308.93</v>
      </c>
      <c r="V46" s="1189">
        <v>308.93</v>
      </c>
      <c r="W46" s="1189">
        <v>324.33999999999997</v>
      </c>
      <c r="X46" s="1189">
        <v>324.33999999999997</v>
      </c>
      <c r="Y46" s="1189">
        <v>340.58</v>
      </c>
      <c r="Z46" s="1189">
        <v>340.58</v>
      </c>
      <c r="AA46" s="1189">
        <v>357.64</v>
      </c>
      <c r="AB46" s="1189">
        <v>357.64</v>
      </c>
    </row>
    <row r="47" spans="2:28" x14ac:dyDescent="0.3">
      <c r="F47" s="880" t="s">
        <v>1188</v>
      </c>
      <c r="G47" s="1189"/>
      <c r="H47" s="1189"/>
      <c r="I47" s="1189"/>
      <c r="J47" s="1189"/>
      <c r="K47" s="1189"/>
      <c r="L47" s="1189">
        <v>188.55</v>
      </c>
      <c r="M47" s="1189">
        <v>196.9</v>
      </c>
      <c r="N47" s="1189">
        <v>202.06</v>
      </c>
      <c r="O47" s="1189">
        <v>208.24</v>
      </c>
      <c r="P47" s="1189">
        <v>214.94</v>
      </c>
      <c r="Q47" s="1189">
        <v>227.04</v>
      </c>
      <c r="R47" s="1189">
        <v>233.18</v>
      </c>
      <c r="S47" s="1189">
        <v>243.61</v>
      </c>
      <c r="T47" s="1189">
        <v>249.39</v>
      </c>
      <c r="U47" s="1189">
        <v>263.63</v>
      </c>
      <c r="V47" s="1189">
        <v>263.63</v>
      </c>
      <c r="W47" s="1189">
        <v>268.91000000000003</v>
      </c>
      <c r="X47" s="1189">
        <v>268.91000000000003</v>
      </c>
      <c r="Y47" s="1189">
        <v>268.91000000000003</v>
      </c>
      <c r="Z47" s="1189">
        <v>268.91000000000003</v>
      </c>
      <c r="AA47" s="1189">
        <v>268.91000000000003</v>
      </c>
      <c r="AB47" s="1189">
        <v>268.91000000000003</v>
      </c>
    </row>
    <row r="48" spans="2:28" x14ac:dyDescent="0.3">
      <c r="F48" s="880" t="s">
        <v>1189</v>
      </c>
      <c r="G48" s="1189">
        <v>131.07</v>
      </c>
      <c r="H48" s="1189">
        <v>143.05000000000001</v>
      </c>
      <c r="I48" s="1189">
        <v>148.54</v>
      </c>
      <c r="J48" s="1189">
        <v>155.77000000000001</v>
      </c>
      <c r="K48" s="1189">
        <v>161.46</v>
      </c>
      <c r="L48" s="1189">
        <v>171.19</v>
      </c>
      <c r="M48" s="1189">
        <v>176.68</v>
      </c>
      <c r="N48" s="1189">
        <v>186.39</v>
      </c>
      <c r="O48" s="1189">
        <v>194.5</v>
      </c>
      <c r="P48" s="1189">
        <v>200.03</v>
      </c>
      <c r="Q48" s="1189">
        <v>205.91</v>
      </c>
      <c r="R48" s="1189">
        <v>208.19</v>
      </c>
      <c r="S48" s="1189">
        <v>215.84</v>
      </c>
      <c r="T48" s="1189">
        <v>219.94</v>
      </c>
      <c r="U48" s="1189">
        <v>235.58</v>
      </c>
      <c r="V48" s="1189">
        <v>235.58</v>
      </c>
      <c r="W48" s="1189">
        <v>226.96</v>
      </c>
      <c r="X48" s="1189">
        <v>226.96</v>
      </c>
      <c r="Y48" s="1189">
        <v>226.96</v>
      </c>
      <c r="Z48" s="1189">
        <v>226.96</v>
      </c>
      <c r="AA48" s="1189">
        <v>226.96</v>
      </c>
      <c r="AB48" s="1189">
        <v>226.96</v>
      </c>
    </row>
    <row r="49" spans="6:28" x14ac:dyDescent="0.3">
      <c r="F49" s="880" t="s">
        <v>1190</v>
      </c>
      <c r="G49" s="1189">
        <v>113.37</v>
      </c>
      <c r="H49" s="1189">
        <v>124.77</v>
      </c>
      <c r="I49" s="1189">
        <v>130.27000000000001</v>
      </c>
      <c r="J49" s="1189">
        <v>135.63</v>
      </c>
      <c r="K49" s="1189">
        <v>141.19</v>
      </c>
      <c r="L49" s="1189">
        <v>153.76</v>
      </c>
      <c r="M49" s="1189">
        <v>158.65</v>
      </c>
      <c r="N49" s="1189">
        <v>168.11</v>
      </c>
      <c r="O49" s="1189">
        <v>171.01</v>
      </c>
      <c r="P49" s="1189">
        <v>173.12</v>
      </c>
      <c r="Q49" s="1189">
        <v>175.59</v>
      </c>
      <c r="R49" s="1189">
        <v>175.59</v>
      </c>
      <c r="S49" s="1189">
        <v>175.59</v>
      </c>
      <c r="T49" s="1189">
        <v>175.59</v>
      </c>
      <c r="U49" s="1189">
        <v>175.59</v>
      </c>
      <c r="V49" s="1189">
        <v>175.59</v>
      </c>
      <c r="W49" s="1189">
        <v>175.59</v>
      </c>
      <c r="X49" s="1189">
        <v>175.59</v>
      </c>
      <c r="Y49" s="1189">
        <v>175.59</v>
      </c>
      <c r="Z49" s="1189">
        <v>175.59</v>
      </c>
      <c r="AA49" s="1189">
        <v>175.59</v>
      </c>
      <c r="AB49" s="1189">
        <v>175.59</v>
      </c>
    </row>
    <row r="50" spans="6:28" x14ac:dyDescent="0.3">
      <c r="F50" s="880" t="s">
        <v>1191</v>
      </c>
      <c r="G50" s="1189">
        <v>111.43</v>
      </c>
      <c r="H50" s="1189">
        <v>119.94</v>
      </c>
      <c r="I50" s="1189">
        <v>125.86</v>
      </c>
      <c r="J50" s="1189">
        <v>131.56</v>
      </c>
      <c r="K50" s="1189">
        <v>137</v>
      </c>
      <c r="L50" s="1189">
        <v>143.33000000000001</v>
      </c>
      <c r="M50" s="1189">
        <v>146.51</v>
      </c>
      <c r="N50" s="1189">
        <v>147.38999999999999</v>
      </c>
      <c r="O50" s="1189">
        <v>147.38999999999999</v>
      </c>
      <c r="P50" s="1189">
        <v>147.38999999999999</v>
      </c>
      <c r="Q50" s="1189">
        <v>147.38999999999999</v>
      </c>
      <c r="R50" s="1189">
        <v>147.38999999999999</v>
      </c>
      <c r="S50" s="1189">
        <v>147.38999999999999</v>
      </c>
      <c r="T50" s="1189">
        <v>147.38999999999999</v>
      </c>
      <c r="U50" s="1189">
        <v>147.38999999999999</v>
      </c>
      <c r="V50" s="1189">
        <v>147.38999999999999</v>
      </c>
      <c r="W50" s="1189">
        <v>147.38999999999999</v>
      </c>
      <c r="X50" s="1189">
        <v>147.38999999999999</v>
      </c>
      <c r="Y50" s="1189">
        <v>147.38999999999999</v>
      </c>
      <c r="Z50" s="1189">
        <v>147.38999999999999</v>
      </c>
      <c r="AA50" s="1189">
        <v>147.38999999999999</v>
      </c>
      <c r="AB50" s="1189">
        <v>147.38999999999999</v>
      </c>
    </row>
    <row r="51" spans="6:28" x14ac:dyDescent="0.3">
      <c r="F51" s="880" t="s">
        <v>1192</v>
      </c>
      <c r="G51" s="1189">
        <v>104.74</v>
      </c>
      <c r="H51" s="1189">
        <v>110.1</v>
      </c>
      <c r="I51" s="1189">
        <v>116.08</v>
      </c>
      <c r="J51" s="1189">
        <v>121.95</v>
      </c>
      <c r="K51" s="1189">
        <v>127.18</v>
      </c>
      <c r="L51" s="1189">
        <v>127.18</v>
      </c>
      <c r="M51" s="1189">
        <v>127.18</v>
      </c>
      <c r="N51" s="1189">
        <v>127.18</v>
      </c>
      <c r="O51" s="1189">
        <v>127.18</v>
      </c>
      <c r="P51" s="1189">
        <v>127.18</v>
      </c>
      <c r="Q51" s="1189">
        <v>127.18</v>
      </c>
      <c r="R51" s="1189">
        <v>127.18</v>
      </c>
      <c r="S51" s="1189">
        <v>127.18</v>
      </c>
      <c r="T51" s="1189">
        <v>127.18</v>
      </c>
      <c r="U51" s="1189">
        <v>127.18</v>
      </c>
      <c r="V51" s="1189">
        <v>127.18</v>
      </c>
      <c r="W51" s="1189">
        <v>127.18</v>
      </c>
      <c r="X51" s="1189">
        <v>127.18</v>
      </c>
      <c r="Y51" s="1189">
        <v>127.18</v>
      </c>
      <c r="Z51" s="1189">
        <v>127.18</v>
      </c>
      <c r="AA51" s="1189">
        <v>127.18</v>
      </c>
      <c r="AB51" s="1189">
        <v>127.18</v>
      </c>
    </row>
    <row r="52" spans="6:28" x14ac:dyDescent="0.3">
      <c r="F52" s="880" t="s">
        <v>1193</v>
      </c>
      <c r="G52" s="1189">
        <v>94.56</v>
      </c>
      <c r="H52" s="1189">
        <v>100.5</v>
      </c>
      <c r="I52" s="1189">
        <v>106.6</v>
      </c>
      <c r="J52" s="1189">
        <v>106.6</v>
      </c>
      <c r="K52" s="1189">
        <v>106.6</v>
      </c>
      <c r="L52" s="1189">
        <v>106.6</v>
      </c>
      <c r="M52" s="1189">
        <v>106.6</v>
      </c>
      <c r="N52" s="1189">
        <v>106.6</v>
      </c>
      <c r="O52" s="1189">
        <v>106.6</v>
      </c>
      <c r="P52" s="1189">
        <v>106.6</v>
      </c>
      <c r="Q52" s="1189">
        <v>106.6</v>
      </c>
      <c r="R52" s="1189">
        <v>106.6</v>
      </c>
      <c r="S52" s="1189">
        <v>106.6</v>
      </c>
      <c r="T52" s="1189">
        <v>106.6</v>
      </c>
      <c r="U52" s="1189">
        <v>106.6</v>
      </c>
      <c r="V52" s="1189">
        <v>106.6</v>
      </c>
      <c r="W52" s="1189">
        <v>106.6</v>
      </c>
      <c r="X52" s="1189">
        <v>106.6</v>
      </c>
      <c r="Y52" s="1189">
        <v>106.6</v>
      </c>
      <c r="Z52" s="1189">
        <v>106.6</v>
      </c>
      <c r="AA52" s="1189">
        <v>106.6</v>
      </c>
      <c r="AB52" s="1189">
        <v>106.6</v>
      </c>
    </row>
    <row r="53" spans="6:28" x14ac:dyDescent="0.3">
      <c r="F53" s="880" t="s">
        <v>1194</v>
      </c>
      <c r="G53" s="1189">
        <v>89.93</v>
      </c>
      <c r="H53" s="1189">
        <v>89.93</v>
      </c>
      <c r="I53" s="1189">
        <v>89.93</v>
      </c>
      <c r="J53" s="1189">
        <v>89.93</v>
      </c>
      <c r="K53" s="1189">
        <v>89.93</v>
      </c>
      <c r="L53" s="1189">
        <v>89.93</v>
      </c>
      <c r="M53" s="1189">
        <v>89.93</v>
      </c>
      <c r="N53" s="1189">
        <v>89.93</v>
      </c>
      <c r="O53" s="1189">
        <v>89.93</v>
      </c>
      <c r="P53" s="1189">
        <v>89.93</v>
      </c>
      <c r="Q53" s="1189">
        <v>89.93</v>
      </c>
      <c r="R53" s="1189">
        <v>89.93</v>
      </c>
      <c r="S53" s="1189">
        <v>89.93</v>
      </c>
      <c r="T53" s="1189">
        <v>89.93</v>
      </c>
      <c r="U53" s="1189">
        <v>89.93</v>
      </c>
      <c r="V53" s="1189">
        <v>89.93</v>
      </c>
      <c r="W53" s="1189">
        <v>89.93</v>
      </c>
      <c r="X53" s="1189">
        <v>89.93</v>
      </c>
      <c r="Y53" s="1189">
        <v>89.93</v>
      </c>
      <c r="Z53" s="1189">
        <v>89.93</v>
      </c>
      <c r="AA53" s="1189">
        <v>89.93</v>
      </c>
      <c r="AB53" s="1189">
        <v>89.93</v>
      </c>
    </row>
    <row r="54" spans="6:28" ht="15" thickBot="1" x14ac:dyDescent="0.35">
      <c r="F54" s="881" t="s">
        <v>1195</v>
      </c>
      <c r="G54" s="887">
        <v>80.239999999999995</v>
      </c>
      <c r="H54" s="887"/>
      <c r="I54" s="887"/>
      <c r="J54" s="887"/>
      <c r="K54" s="887"/>
      <c r="L54" s="887"/>
      <c r="M54" s="887"/>
      <c r="N54" s="887"/>
      <c r="O54" s="887"/>
      <c r="P54" s="887"/>
      <c r="Q54" s="887"/>
      <c r="R54" s="887"/>
      <c r="S54" s="887"/>
      <c r="T54" s="887"/>
      <c r="U54" s="887"/>
      <c r="V54" s="887"/>
      <c r="W54" s="887"/>
      <c r="X54" s="887"/>
      <c r="Y54" s="887"/>
      <c r="Z54" s="887"/>
      <c r="AA54" s="887"/>
      <c r="AB54" s="887"/>
    </row>
  </sheetData>
  <sheetProtection algorithmName="SHA-512" hashValue="Q+zqIotxzb0mVs2Ukm2Hce5gEVITURWrA6f58rNMG/e9QcjB6FyaKzK2P+n+Wzuyf3YGXEPTDYu2VG7+3gIvLg==" saltValue="eUOYay5IbyPTDB7vehWz+Q==" spinCount="100000" sheet="1" objects="1" selectLockedCells="1"/>
  <sortState xmlns:xlrd2="http://schemas.microsoft.com/office/spreadsheetml/2017/richdata2" ref="F5:F28">
    <sortCondition descending="1" ref="F5:F28"/>
  </sortState>
  <mergeCells count="16">
    <mergeCell ref="F2:AB3"/>
    <mergeCell ref="F29:AB29"/>
    <mergeCell ref="B30:B32"/>
    <mergeCell ref="C30:C32"/>
    <mergeCell ref="B33:B35"/>
    <mergeCell ref="C33:C35"/>
    <mergeCell ref="D30:D32"/>
    <mergeCell ref="D33:D35"/>
    <mergeCell ref="B44:D44"/>
    <mergeCell ref="B41:D41"/>
    <mergeCell ref="B45:D45"/>
    <mergeCell ref="B38:D38"/>
    <mergeCell ref="B39:D39"/>
    <mergeCell ref="B40:D40"/>
    <mergeCell ref="B42:D42"/>
    <mergeCell ref="B43:D43"/>
  </mergeCells>
  <conditionalFormatting sqref="F5:F28 F31:F54">
    <cfRule type="cellIs" dxfId="1000" priority="15" operator="equal">
      <formula>$B$43</formula>
    </cfRule>
  </conditionalFormatting>
  <conditionalFormatting sqref="G4:AB4 G30:AB30">
    <cfRule type="cellIs" dxfId="999" priority="16" operator="equal">
      <formula>$B$42</formula>
    </cfRule>
  </conditionalFormatting>
  <conditionalFormatting sqref="R41:AB41 M46:AB46 G54 G31:AB37 J38:AB40 G42:AB45 G48:AB53 L47:AB47">
    <cfRule type="cellIs" dxfId="998" priority="11" operator="equal">
      <formula>$B$45</formula>
    </cfRule>
  </conditionalFormatting>
  <conditionalFormatting sqref="G5:AB10">
    <cfRule type="cellIs" dxfId="997" priority="5" operator="equal">
      <formula>$B$44</formula>
    </cfRule>
  </conditionalFormatting>
  <conditionalFormatting sqref="M20:AB20 R15:AB15 G11:AB11 G22:AB27 J12:AB14 G16:AB19 L21:AB21">
    <cfRule type="cellIs" dxfId="996" priority="3" operator="equal">
      <formula>$B$44</formula>
    </cfRule>
  </conditionalFormatting>
  <conditionalFormatting sqref="G28">
    <cfRule type="cellIs" dxfId="995" priority="1" operator="equal">
      <formula>$B$44</formula>
    </cfRule>
  </conditionalFormatting>
  <printOptions horizontalCentered="1"/>
  <pageMargins left="0.25" right="0.25" top="0.3" bottom="0.3" header="0.3" footer="0.3"/>
  <pageSetup paperSize="5" scale="72" orientation="landscape" r:id="rId1"/>
  <extLst>
    <ext xmlns:x14="http://schemas.microsoft.com/office/spreadsheetml/2009/9/main" uri="{78C0D931-6437-407d-A8EE-F0AAD7539E65}">
      <x14:conditionalFormattings>
        <x14:conditionalFormatting xmlns:xm="http://schemas.microsoft.com/office/excel/2006/main">
          <x14:cfRule type="cellIs" priority="1870" operator="equal" id="{FDBE9932-BA69-40EC-94DE-BDFBCDCB4CD2}">
            <xm:f>'Drill Pay'!$N$10</xm:f>
            <x14:dxf>
              <font>
                <color rgb="FF9C0006"/>
              </font>
              <fill>
                <patternFill>
                  <bgColor rgb="FFFFC7CE"/>
                </patternFill>
              </fill>
            </x14:dxf>
          </x14:cfRule>
          <xm:sqref>F5:F28 F31:F54</xm:sqref>
        </x14:conditionalFormatting>
        <x14:conditionalFormatting xmlns:xm="http://schemas.microsoft.com/office/excel/2006/main">
          <x14:cfRule type="cellIs" priority="1872" operator="equal" id="{D14E82DD-A44D-40C1-BF62-2D472F749196}">
            <xm:f>'Drill Pay'!$N$12</xm:f>
            <x14:dxf>
              <font>
                <color rgb="FF9C0006"/>
              </font>
              <fill>
                <patternFill>
                  <bgColor rgb="FFFFC7CE"/>
                </patternFill>
              </fill>
            </x14:dxf>
          </x14:cfRule>
          <xm:sqref>G4:AB4 G30:AB30</xm:sqref>
        </x14:conditionalFormatting>
        <x14:conditionalFormatting xmlns:xm="http://schemas.microsoft.com/office/excel/2006/main">
          <x14:cfRule type="cellIs" priority="1876" operator="equal" id="{84FFD567-5DE8-4E68-85D4-81E5EA776971}">
            <xm:f>'Drill Pay'!$R$12</xm:f>
            <x14:dxf>
              <font>
                <color rgb="FF9C0006"/>
              </font>
              <fill>
                <patternFill>
                  <bgColor rgb="FFFFC7CE"/>
                </patternFill>
              </fill>
            </x14:dxf>
          </x14:cfRule>
          <xm:sqref>R41:AB41 M46:AB46 G54 G31:AB37 J38:AB40 G42:AB45 G48:AB53 L47:AB47</xm:sqref>
        </x14:conditionalFormatting>
        <x14:conditionalFormatting xmlns:xm="http://schemas.microsoft.com/office/excel/2006/main">
          <x14:cfRule type="cellIs" priority="6" operator="equal" id="{F2705BB6-CA71-424D-A377-594DF585EF29}">
            <xm:f>'Drill Pay'!$R$10</xm:f>
            <x14:dxf>
              <font>
                <color rgb="FF9C0006"/>
              </font>
              <fill>
                <patternFill>
                  <bgColor rgb="FFFFC7CE"/>
                </patternFill>
              </fill>
            </x14:dxf>
          </x14:cfRule>
          <xm:sqref>G5:AB10</xm:sqref>
        </x14:conditionalFormatting>
        <x14:conditionalFormatting xmlns:xm="http://schemas.microsoft.com/office/excel/2006/main">
          <x14:cfRule type="cellIs" priority="4" operator="equal" id="{6CD163A8-C738-4F7B-9CC3-21E378F73EA8}">
            <xm:f>'Drill Pay'!$R$10</xm:f>
            <x14:dxf>
              <font>
                <color rgb="FF9C0006"/>
              </font>
              <fill>
                <patternFill>
                  <bgColor rgb="FFFFC7CE"/>
                </patternFill>
              </fill>
            </x14:dxf>
          </x14:cfRule>
          <xm:sqref>M20:AB20 R15:AB15 G11:AB11 G22:AB27 J12:AB14 G16:AB19 L21:AB21</xm:sqref>
        </x14:conditionalFormatting>
        <x14:conditionalFormatting xmlns:xm="http://schemas.microsoft.com/office/excel/2006/main">
          <x14:cfRule type="cellIs" priority="2" operator="equal" id="{F30089E5-F0D6-4DA6-B255-AA5CDCCF1E50}">
            <xm:f>'Drill Pay'!$R$10</xm:f>
            <x14:dxf>
              <font>
                <color rgb="FF9C0006"/>
              </font>
              <fill>
                <patternFill>
                  <bgColor rgb="FFFFC7CE"/>
                </patternFill>
              </fill>
            </x14:dxf>
          </x14:cfRule>
          <xm:sqref>G28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7B070-A874-42C6-B13B-8BB2F50312F3}">
  <sheetPr codeName="Sheet43">
    <tabColor rgb="FFFFDDAB"/>
    <pageSetUpPr fitToPage="1"/>
  </sheetPr>
  <dimension ref="A1:Z110"/>
  <sheetViews>
    <sheetView showGridLines="0" showRowColHeaders="0" showRuler="0" view="pageLayout" zoomScale="80" zoomScaleNormal="100" zoomScalePageLayoutView="80" workbookViewId="0">
      <selection activeCell="C6" sqref="C6:J6"/>
    </sheetView>
  </sheetViews>
  <sheetFormatPr defaultColWidth="9.109375" defaultRowHeight="14.4" x14ac:dyDescent="0.3"/>
  <cols>
    <col min="1" max="1" width="9.33203125" customWidth="1"/>
    <col min="2" max="2" width="5.6640625" style="15" customWidth="1"/>
    <col min="3" max="3" width="3.44140625" customWidth="1"/>
    <col min="4" max="4" width="6.44140625" customWidth="1"/>
    <col min="5" max="5" width="10.5546875" customWidth="1"/>
    <col min="6" max="6" width="1.88671875" customWidth="1"/>
    <col min="7" max="7" width="12.6640625" customWidth="1"/>
    <col min="8" max="8" width="0.5546875" customWidth="1"/>
    <col min="9" max="9" width="1.88671875" customWidth="1"/>
    <col min="10" max="10" width="8.33203125" customWidth="1"/>
    <col min="11" max="11" width="9.21875" customWidth="1"/>
    <col min="12" max="13" width="7.77734375" customWidth="1"/>
    <col min="14" max="14" width="1.21875" customWidth="1"/>
    <col min="15" max="15" width="7.77734375" customWidth="1"/>
    <col min="16" max="16" width="1.33203125" customWidth="1"/>
    <col min="17" max="17" width="7.88671875" customWidth="1"/>
    <col min="18" max="18" width="1.33203125" customWidth="1"/>
    <col min="19" max="19" width="7.88671875" customWidth="1"/>
    <col min="20" max="20" width="1.33203125" customWidth="1"/>
    <col min="21" max="21" width="7.88671875" customWidth="1"/>
    <col min="22" max="22" width="1.33203125" customWidth="1"/>
    <col min="23" max="23" width="7.77734375" customWidth="1"/>
    <col min="24" max="24" width="0.88671875" customWidth="1"/>
    <col min="25" max="25" width="4.88671875" customWidth="1"/>
    <col min="26" max="26" width="17.33203125" hidden="1" customWidth="1"/>
    <col min="27" max="27" width="59.21875" customWidth="1"/>
  </cols>
  <sheetData>
    <row r="1" spans="1:26" x14ac:dyDescent="0.3">
      <c r="E1" s="1912" t="str">
        <f>IF(Y1=2,CONCATENATE("This worksheet is not applicable for the selected Loan Type (",'I&amp;D Worksheet'!J8,")"),"")</f>
        <v/>
      </c>
      <c r="F1" s="1912"/>
      <c r="G1" s="1912"/>
      <c r="H1" s="1912"/>
      <c r="I1" s="1912"/>
      <c r="J1" s="1912"/>
      <c r="K1" s="1912"/>
      <c r="L1" s="1912"/>
      <c r="M1" s="1912"/>
      <c r="N1" s="1912"/>
      <c r="O1" s="1912"/>
      <c r="P1" s="1912"/>
      <c r="Q1" s="1912"/>
      <c r="R1" s="1912"/>
      <c r="S1" s="1912"/>
      <c r="T1" s="1912"/>
      <c r="U1" s="1500">
        <f>'I&amp;D Worksheet'!J8</f>
        <v>0</v>
      </c>
      <c r="V1" s="1500"/>
      <c r="W1" s="1500"/>
      <c r="Y1" s="36">
        <f>IF(OR(U1="VA",U1="FHA",U1="USDA"),2,1)</f>
        <v>1</v>
      </c>
    </row>
    <row r="2" spans="1:26" ht="36" customHeight="1" x14ac:dyDescent="0.5">
      <c r="A2" s="1321" t="s">
        <v>1355</v>
      </c>
      <c r="B2" s="1321"/>
      <c r="C2" s="1321"/>
      <c r="D2" s="1321"/>
      <c r="E2" s="1321"/>
      <c r="F2" s="1321"/>
      <c r="G2" s="1321"/>
      <c r="H2" s="1321"/>
      <c r="I2" s="1321"/>
      <c r="J2" s="1321"/>
      <c r="K2" s="1321"/>
      <c r="L2" s="1321"/>
      <c r="M2" s="1321"/>
      <c r="N2" s="1321"/>
      <c r="O2" s="1321"/>
      <c r="P2" s="1321"/>
      <c r="Q2" s="1321"/>
      <c r="R2" s="1321"/>
      <c r="S2" s="1321"/>
      <c r="T2" s="1321"/>
      <c r="U2" s="1321"/>
      <c r="V2" s="1321"/>
      <c r="W2" s="1321"/>
      <c r="X2" s="1321"/>
      <c r="Y2" s="1321"/>
      <c r="Z2" s="1321"/>
    </row>
    <row r="3" spans="1:26" ht="27" customHeight="1" x14ac:dyDescent="0.3">
      <c r="A3" s="1919" t="s">
        <v>1357</v>
      </c>
      <c r="B3" s="1919"/>
      <c r="C3" s="1919"/>
      <c r="D3" s="1919"/>
      <c r="E3" s="1919"/>
      <c r="F3" s="1919"/>
      <c r="G3" s="1919"/>
      <c r="H3" s="1919"/>
      <c r="I3" s="1919"/>
      <c r="J3" s="1919"/>
      <c r="K3" s="1919"/>
      <c r="L3" s="1919"/>
      <c r="M3" s="1919"/>
      <c r="N3" s="1919"/>
      <c r="O3" s="1919"/>
      <c r="P3" s="1919"/>
      <c r="Q3" s="1919"/>
      <c r="R3" s="1919"/>
      <c r="S3" s="1919"/>
      <c r="T3" s="1919"/>
      <c r="U3" s="1919"/>
      <c r="V3" s="1919"/>
      <c r="W3" s="1919"/>
      <c r="X3" s="1919"/>
      <c r="Y3" s="1919"/>
    </row>
    <row r="4" spans="1:26" ht="8.4" customHeight="1" x14ac:dyDescent="0.3">
      <c r="A4" s="1919"/>
      <c r="B4" s="1919"/>
      <c r="C4" s="1919"/>
      <c r="D4" s="1919"/>
      <c r="E4" s="1919"/>
      <c r="F4" s="1919"/>
      <c r="G4" s="1919"/>
      <c r="H4" s="1919"/>
      <c r="I4" s="1919"/>
      <c r="J4" s="1919"/>
      <c r="K4" s="1919"/>
      <c r="L4" s="1919"/>
      <c r="M4" s="1919"/>
      <c r="N4" s="1919"/>
      <c r="O4" s="1919"/>
      <c r="P4" s="1919"/>
      <c r="Q4" s="1919"/>
      <c r="R4" s="1919"/>
      <c r="S4" s="1919"/>
      <c r="T4" s="1919"/>
      <c r="U4" s="1919"/>
      <c r="V4" s="1919"/>
      <c r="W4" s="1919"/>
      <c r="X4" s="1919"/>
      <c r="Y4" s="1919"/>
    </row>
    <row r="5" spans="1:26" ht="21" customHeight="1" x14ac:dyDescent="0.3">
      <c r="B5"/>
      <c r="D5" s="2"/>
      <c r="E5" s="2"/>
      <c r="F5" s="2"/>
      <c r="G5" s="2"/>
      <c r="H5" s="2"/>
      <c r="I5" s="2"/>
      <c r="J5" s="2"/>
      <c r="K5" s="2"/>
      <c r="L5" s="2"/>
      <c r="N5" s="47"/>
      <c r="O5" s="1737" t="s">
        <v>1334</v>
      </c>
      <c r="P5" s="1737"/>
      <c r="Q5" s="1737"/>
      <c r="R5" s="1737"/>
      <c r="S5" s="1737"/>
      <c r="T5" s="1737"/>
      <c r="U5" s="1737"/>
      <c r="V5" s="1737"/>
      <c r="W5" s="1737"/>
      <c r="X5" s="1737"/>
      <c r="Y5" s="1737"/>
    </row>
    <row r="6" spans="1:26" ht="15.6" x14ac:dyDescent="0.3">
      <c r="A6" s="1407" t="s">
        <v>37</v>
      </c>
      <c r="B6" s="1407"/>
      <c r="C6" s="1909"/>
      <c r="D6" s="1909"/>
      <c r="E6" s="1909"/>
      <c r="F6" s="1909"/>
      <c r="G6" s="1909"/>
      <c r="H6" s="1909"/>
      <c r="I6" s="1909"/>
      <c r="J6" s="1909"/>
      <c r="K6" s="807"/>
      <c r="L6" s="52"/>
      <c r="N6" s="47"/>
      <c r="O6" s="1737"/>
      <c r="P6" s="1737"/>
      <c r="Q6" s="1737"/>
      <c r="R6" s="1737"/>
      <c r="S6" s="1737"/>
      <c r="T6" s="1737"/>
      <c r="U6" s="1737"/>
      <c r="V6" s="1737"/>
      <c r="W6" s="1737"/>
      <c r="X6" s="1737"/>
      <c r="Y6" s="1737"/>
    </row>
    <row r="7" spans="1:26" ht="6" customHeight="1" x14ac:dyDescent="0.3">
      <c r="B7"/>
      <c r="D7" s="66"/>
      <c r="E7" s="66"/>
      <c r="F7" s="66"/>
      <c r="G7" s="66"/>
      <c r="H7" s="66"/>
      <c r="I7" s="66"/>
      <c r="J7" s="66"/>
      <c r="K7" s="66"/>
      <c r="L7" s="46"/>
      <c r="M7" s="46"/>
      <c r="N7" s="2"/>
      <c r="O7" s="1106"/>
      <c r="P7" s="1106"/>
      <c r="Q7" s="1106"/>
      <c r="R7" s="1106"/>
      <c r="S7" s="1106"/>
      <c r="T7" s="1106"/>
      <c r="U7" s="1106"/>
      <c r="V7" s="1106"/>
      <c r="W7" s="1106"/>
      <c r="X7" s="1106"/>
      <c r="Y7" s="1106"/>
    </row>
    <row r="8" spans="1:26" ht="15.6" x14ac:dyDescent="0.3">
      <c r="A8" s="1407" t="s">
        <v>95</v>
      </c>
      <c r="B8" s="1407"/>
      <c r="C8" s="1909"/>
      <c r="D8" s="1909"/>
      <c r="E8" s="1909"/>
      <c r="F8" s="1909"/>
      <c r="G8" s="1909"/>
      <c r="H8" s="1909"/>
      <c r="I8" s="1909"/>
      <c r="J8" s="1909"/>
      <c r="K8" s="807"/>
      <c r="L8" s="52"/>
      <c r="M8" s="52" t="str">
        <f>IF(D8="","",D8)</f>
        <v/>
      </c>
      <c r="N8" s="2"/>
      <c r="O8" s="1106"/>
      <c r="P8" s="1106"/>
      <c r="Q8" s="1106"/>
      <c r="R8" s="1106"/>
      <c r="S8" s="1106"/>
      <c r="T8" s="1106"/>
      <c r="U8" s="1106"/>
      <c r="V8" s="1106"/>
      <c r="W8" s="1106"/>
      <c r="X8" s="1106"/>
      <c r="Y8" s="1106"/>
    </row>
    <row r="9" spans="1:26" ht="13.8" customHeight="1" x14ac:dyDescent="0.3">
      <c r="N9" s="2"/>
      <c r="O9" s="1106"/>
      <c r="P9" s="1106"/>
      <c r="Q9" s="1106"/>
      <c r="R9" s="1106"/>
      <c r="T9" s="1107"/>
      <c r="U9" s="1107"/>
      <c r="V9" s="1106"/>
      <c r="W9" s="1106"/>
      <c r="X9" s="1106"/>
      <c r="Y9" s="1106"/>
    </row>
    <row r="10" spans="1:26" ht="27" customHeight="1" x14ac:dyDescent="0.3">
      <c r="A10" s="1910" t="s">
        <v>1354</v>
      </c>
      <c r="B10" s="1910"/>
      <c r="C10" s="1910"/>
      <c r="D10" s="1910"/>
      <c r="E10" s="1125"/>
      <c r="F10" s="1125"/>
      <c r="G10" s="1125"/>
      <c r="H10" s="1125"/>
      <c r="I10" s="1125"/>
      <c r="J10" s="1125"/>
      <c r="K10" s="1125"/>
      <c r="L10" s="1125"/>
      <c r="M10" s="1125"/>
      <c r="N10" s="1125"/>
      <c r="O10" s="1911" t="str">
        <f>IF(AND(Y1=2,W103=TRUE),"Does not match loan type
selected on the I&amp;D Worksheet","")</f>
        <v/>
      </c>
      <c r="P10" s="1911"/>
      <c r="Q10" s="1911"/>
      <c r="R10" s="1911"/>
      <c r="S10" s="1911"/>
      <c r="T10" s="1911"/>
      <c r="U10" s="1911"/>
      <c r="V10" s="1106"/>
      <c r="W10" s="1106"/>
      <c r="X10" s="1106"/>
      <c r="Y10" s="1106"/>
    </row>
    <row r="11" spans="1:26" ht="15.6" customHeight="1" x14ac:dyDescent="0.35">
      <c r="B11" s="3"/>
      <c r="C11" s="1921" t="s">
        <v>1352</v>
      </c>
      <c r="D11" s="1921"/>
      <c r="E11" s="1921"/>
      <c r="F11" s="1921"/>
      <c r="G11" s="1921"/>
      <c r="H11" s="1921"/>
      <c r="I11" s="1921"/>
      <c r="J11" s="1921"/>
      <c r="K11" s="1921"/>
      <c r="L11" s="1921"/>
      <c r="M11" s="1921"/>
      <c r="N11" s="1921"/>
      <c r="O11" s="1921"/>
      <c r="R11" s="1106"/>
      <c r="V11" s="1106"/>
      <c r="W11" s="1106"/>
      <c r="X11" s="1106"/>
      <c r="Y11" s="1106"/>
    </row>
    <row r="12" spans="1:26" ht="10.8" customHeight="1" x14ac:dyDescent="0.3">
      <c r="A12" s="1117"/>
      <c r="B12" s="1117"/>
      <c r="C12" s="1117"/>
      <c r="D12" s="1117"/>
      <c r="E12" s="1117"/>
      <c r="F12" s="1117"/>
      <c r="G12" s="1117"/>
      <c r="H12" s="1117"/>
      <c r="I12" s="1117"/>
      <c r="J12" s="1117"/>
      <c r="K12" s="1117"/>
      <c r="L12" s="1117"/>
      <c r="M12" s="1117"/>
      <c r="N12" s="1117"/>
      <c r="O12" s="1117"/>
      <c r="P12" s="1117"/>
      <c r="Q12" s="1117"/>
      <c r="R12" s="1106"/>
      <c r="S12" s="1116"/>
      <c r="T12" s="1116"/>
      <c r="U12" s="1116"/>
      <c r="V12" s="1106"/>
      <c r="W12" s="1106"/>
      <c r="X12" s="1106"/>
      <c r="Y12" s="1106"/>
    </row>
    <row r="13" spans="1:26" ht="15.6" customHeight="1" x14ac:dyDescent="0.35">
      <c r="B13" s="3"/>
      <c r="C13" s="1921" t="s">
        <v>1364</v>
      </c>
      <c r="D13" s="1921"/>
      <c r="E13" s="1921"/>
      <c r="F13" s="1921"/>
      <c r="G13" s="1921"/>
      <c r="H13" s="1921"/>
      <c r="I13" s="1921"/>
      <c r="J13" s="1921"/>
      <c r="K13" s="1921"/>
      <c r="L13" s="1921"/>
      <c r="M13" s="1921"/>
      <c r="N13" s="1921"/>
      <c r="O13" s="1921"/>
      <c r="R13" s="1106"/>
      <c r="S13" s="1116"/>
      <c r="T13" s="1116"/>
      <c r="U13" s="1116"/>
      <c r="V13" s="1106"/>
      <c r="W13" s="1106"/>
      <c r="X13" s="1106"/>
      <c r="Y13" s="1106"/>
    </row>
    <row r="14" spans="1:26" ht="17.399999999999999" customHeight="1" x14ac:dyDescent="0.3">
      <c r="A14" s="1117"/>
      <c r="C14" s="1117"/>
      <c r="D14" s="1117"/>
      <c r="E14" s="1117"/>
      <c r="F14" s="1117"/>
      <c r="G14" s="1117"/>
      <c r="H14" s="1117"/>
      <c r="I14" s="1117"/>
      <c r="J14" s="1117"/>
      <c r="K14" s="1117"/>
      <c r="L14" s="1117"/>
      <c r="M14" s="1117"/>
      <c r="N14" s="1117"/>
      <c r="O14" s="1117"/>
      <c r="P14" s="1117"/>
      <c r="Q14" s="1117"/>
      <c r="R14" s="1106"/>
      <c r="S14" s="1918" t="s">
        <v>1336</v>
      </c>
      <c r="T14" s="1918"/>
      <c r="U14" s="1918"/>
      <c r="V14" s="1106"/>
      <c r="W14" s="1106"/>
      <c r="X14" s="1106"/>
      <c r="Y14" s="1106"/>
    </row>
    <row r="15" spans="1:26" ht="15" customHeight="1" x14ac:dyDescent="0.3">
      <c r="A15" s="1914" t="s">
        <v>1348</v>
      </c>
      <c r="B15" s="1914"/>
      <c r="C15" s="1914"/>
      <c r="D15" s="1914"/>
      <c r="E15" s="1914"/>
      <c r="F15" s="1914"/>
      <c r="G15" s="1914"/>
      <c r="H15" s="1914"/>
      <c r="I15" s="1914"/>
      <c r="J15" s="1914"/>
      <c r="K15" s="1914"/>
      <c r="L15" s="1914"/>
      <c r="M15" s="1914"/>
      <c r="N15" s="1914"/>
      <c r="O15" s="1914"/>
      <c r="P15" s="1914"/>
      <c r="Q15" s="1914"/>
      <c r="R15" s="1106"/>
      <c r="S15" s="1918"/>
      <c r="T15" s="1918"/>
      <c r="U15" s="1918"/>
      <c r="V15" s="1106"/>
      <c r="W15" s="1106"/>
      <c r="X15" s="1106"/>
      <c r="Y15" s="1106"/>
    </row>
    <row r="16" spans="1:26" ht="15" customHeight="1" x14ac:dyDescent="0.3">
      <c r="A16" s="2"/>
      <c r="B16" s="2"/>
      <c r="C16" s="2"/>
      <c r="D16" s="2"/>
      <c r="E16" s="2"/>
      <c r="F16" s="2"/>
      <c r="G16" s="2"/>
      <c r="H16" s="2"/>
      <c r="I16" s="2"/>
      <c r="J16" s="2"/>
      <c r="K16" s="2"/>
      <c r="L16" s="2"/>
      <c r="M16" s="2"/>
      <c r="N16" s="2"/>
      <c r="O16" s="2"/>
      <c r="P16" s="2"/>
      <c r="Q16" s="2"/>
      <c r="R16" s="1106"/>
      <c r="S16" s="1916">
        <v>2025</v>
      </c>
      <c r="T16" s="1916"/>
      <c r="U16" s="1916"/>
      <c r="V16" s="1106"/>
      <c r="W16" s="1106"/>
      <c r="X16" s="1106"/>
      <c r="Y16" s="1106"/>
    </row>
    <row r="17" spans="2:25" ht="15" customHeight="1" x14ac:dyDescent="0.3">
      <c r="B17" s="51" t="s">
        <v>1</v>
      </c>
      <c r="C17" s="1427" t="s">
        <v>1343</v>
      </c>
      <c r="D17" s="1427"/>
      <c r="E17" s="1427"/>
      <c r="F17" s="1427"/>
      <c r="G17" s="1427"/>
      <c r="H17" s="3"/>
      <c r="I17" s="3"/>
      <c r="J17" s="3"/>
      <c r="K17" s="3"/>
      <c r="L17" s="3"/>
      <c r="M17" s="3"/>
      <c r="N17" s="3"/>
      <c r="O17" s="3"/>
      <c r="P17" s="3"/>
      <c r="Q17" s="3"/>
      <c r="R17" s="3"/>
      <c r="S17" s="1917"/>
      <c r="T17" s="1917"/>
      <c r="U17" s="1917"/>
      <c r="V17" s="3"/>
      <c r="W17" s="1106"/>
      <c r="X17" s="1106"/>
      <c r="Y17" s="1106"/>
    </row>
    <row r="18" spans="2:25" ht="8.4" customHeight="1" x14ac:dyDescent="0.3">
      <c r="B18" s="4"/>
      <c r="C18" s="2"/>
      <c r="D18" s="2"/>
      <c r="E18" s="2"/>
      <c r="F18" s="2"/>
      <c r="G18" s="2"/>
      <c r="H18" s="2"/>
      <c r="I18" s="2"/>
      <c r="J18" s="2"/>
      <c r="K18" s="2"/>
      <c r="L18" s="2"/>
      <c r="M18" s="2"/>
      <c r="N18" s="2"/>
      <c r="O18" s="2"/>
      <c r="P18" s="2"/>
      <c r="Q18" s="2"/>
      <c r="R18" s="3"/>
      <c r="S18" s="1123"/>
      <c r="T18" s="1123"/>
      <c r="U18" s="1123"/>
      <c r="V18" s="3"/>
      <c r="W18" s="1106"/>
      <c r="X18" s="1106"/>
      <c r="Y18" s="1106"/>
    </row>
    <row r="19" spans="2:25" ht="15" customHeight="1" x14ac:dyDescent="0.3">
      <c r="B19" s="51" t="s">
        <v>2</v>
      </c>
      <c r="C19" s="1476" t="s">
        <v>1339</v>
      </c>
      <c r="D19" s="1476"/>
      <c r="E19" s="1476"/>
      <c r="F19" s="1476"/>
      <c r="G19" s="1476"/>
      <c r="H19" s="170"/>
      <c r="I19" s="170"/>
      <c r="J19" s="170"/>
      <c r="K19" s="2"/>
      <c r="L19" s="2"/>
      <c r="M19" s="2"/>
      <c r="N19" s="2"/>
      <c r="O19" s="2"/>
      <c r="P19" s="2"/>
      <c r="Q19" s="2"/>
      <c r="R19" s="3"/>
      <c r="S19" s="1124"/>
      <c r="T19" s="1124"/>
      <c r="U19" s="1124"/>
      <c r="V19" s="3"/>
      <c r="W19" s="1106"/>
      <c r="X19" s="1106"/>
      <c r="Y19" s="1106"/>
    </row>
    <row r="20" spans="2:25" ht="15" customHeight="1" x14ac:dyDescent="0.3">
      <c r="B20" s="4"/>
      <c r="C20" s="417" t="s">
        <v>616</v>
      </c>
      <c r="D20" s="1922" t="s">
        <v>1340</v>
      </c>
      <c r="E20" s="1922"/>
      <c r="F20" s="1922"/>
      <c r="G20" s="1922"/>
      <c r="H20" s="1922"/>
      <c r="I20" s="1922"/>
      <c r="J20" s="1922"/>
      <c r="K20" s="1922"/>
      <c r="L20" s="1922"/>
      <c r="M20" s="1922"/>
      <c r="N20" s="1922"/>
      <c r="O20" s="1922"/>
      <c r="P20" s="1922"/>
      <c r="Q20" s="1922"/>
      <c r="R20" s="3"/>
      <c r="S20" s="1917"/>
      <c r="T20" s="1917"/>
      <c r="U20" s="1917"/>
      <c r="V20" s="3"/>
      <c r="W20" s="1106"/>
      <c r="X20" s="1106"/>
      <c r="Y20" s="1106"/>
    </row>
    <row r="21" spans="2:25" ht="15" customHeight="1" x14ac:dyDescent="0.3">
      <c r="B21" s="4"/>
      <c r="C21" s="417" t="s">
        <v>619</v>
      </c>
      <c r="D21" s="1701" t="s">
        <v>20</v>
      </c>
      <c r="E21" s="1701"/>
      <c r="F21" s="1701"/>
      <c r="G21" s="1701"/>
      <c r="H21" s="1701"/>
      <c r="I21" s="1701"/>
      <c r="J21" s="1701"/>
      <c r="K21" s="1701"/>
      <c r="L21" s="1701"/>
      <c r="M21" s="1701"/>
      <c r="N21" s="1701"/>
      <c r="O21" s="1701"/>
      <c r="P21" s="1701"/>
      <c r="Q21" s="1701"/>
      <c r="R21" s="58" t="s">
        <v>14</v>
      </c>
      <c r="S21" s="1917"/>
      <c r="T21" s="1917"/>
      <c r="U21" s="1917"/>
      <c r="V21" s="92" t="s">
        <v>13</v>
      </c>
      <c r="W21" s="1106"/>
      <c r="X21" s="1106"/>
      <c r="Y21" s="1106"/>
    </row>
    <row r="22" spans="2:25" ht="15" customHeight="1" x14ac:dyDescent="0.3">
      <c r="B22" s="4"/>
      <c r="C22" s="417" t="s">
        <v>622</v>
      </c>
      <c r="D22" s="1701" t="s">
        <v>834</v>
      </c>
      <c r="E22" s="1701"/>
      <c r="F22" s="1701"/>
      <c r="G22" s="1701"/>
      <c r="H22" s="1701"/>
      <c r="I22" s="1701"/>
      <c r="J22" s="1701"/>
      <c r="K22" s="1701"/>
      <c r="L22" s="1701"/>
      <c r="M22" s="1701"/>
      <c r="N22" s="1701"/>
      <c r="O22" s="1701"/>
      <c r="P22" s="1701"/>
      <c r="Q22" s="1701"/>
      <c r="R22" s="58" t="s">
        <v>14</v>
      </c>
      <c r="S22" s="1917"/>
      <c r="T22" s="1917"/>
      <c r="U22" s="1917"/>
      <c r="V22" s="92" t="s">
        <v>13</v>
      </c>
      <c r="W22" s="1106"/>
      <c r="X22" s="1106"/>
      <c r="Y22" s="1106"/>
    </row>
    <row r="23" spans="2:25" ht="15" customHeight="1" x14ac:dyDescent="0.3">
      <c r="B23" s="4"/>
      <c r="C23" s="417" t="s">
        <v>636</v>
      </c>
      <c r="D23" s="1701" t="s">
        <v>1335</v>
      </c>
      <c r="E23" s="1701"/>
      <c r="F23" s="1701"/>
      <c r="G23" s="1701"/>
      <c r="H23" s="1701"/>
      <c r="I23" s="1701"/>
      <c r="J23" s="1701"/>
      <c r="K23" s="1701"/>
      <c r="L23" s="1701"/>
      <c r="M23" s="1701"/>
      <c r="N23" s="1701"/>
      <c r="O23" s="1701"/>
      <c r="P23" s="1701"/>
      <c r="Q23" s="1701"/>
      <c r="R23" s="3"/>
      <c r="S23" s="1917"/>
      <c r="T23" s="1917"/>
      <c r="U23" s="1917"/>
      <c r="V23" s="3"/>
      <c r="W23" s="1106"/>
      <c r="X23" s="1106"/>
      <c r="Y23" s="1106"/>
    </row>
    <row r="24" spans="2:25" ht="15" customHeight="1" x14ac:dyDescent="0.3">
      <c r="B24" s="4"/>
      <c r="C24" s="417" t="s">
        <v>639</v>
      </c>
      <c r="D24" s="1701" t="s">
        <v>22</v>
      </c>
      <c r="E24" s="1701"/>
      <c r="F24" s="1701"/>
      <c r="G24" s="1701"/>
      <c r="H24" s="1701"/>
      <c r="I24" s="1701"/>
      <c r="J24" s="1701"/>
      <c r="K24" s="1701"/>
      <c r="L24" s="2"/>
      <c r="M24" s="2"/>
      <c r="N24" s="2"/>
      <c r="O24" s="2"/>
      <c r="P24" s="2"/>
      <c r="Q24" s="2"/>
      <c r="R24" s="1106"/>
      <c r="S24" s="1926"/>
      <c r="T24" s="1926"/>
      <c r="U24" s="1926"/>
      <c r="V24" s="1106"/>
      <c r="W24" s="1106"/>
      <c r="X24" s="1106"/>
      <c r="Y24" s="1106"/>
    </row>
    <row r="25" spans="2:25" ht="15" customHeight="1" x14ac:dyDescent="0.3">
      <c r="B25" s="4"/>
      <c r="C25" s="417"/>
      <c r="D25" s="1701" t="s">
        <v>23</v>
      </c>
      <c r="E25" s="1701"/>
      <c r="F25" s="1701"/>
      <c r="G25" s="1701"/>
      <c r="H25" s="1701"/>
      <c r="I25" s="1701"/>
      <c r="J25" s="1701"/>
      <c r="K25" s="1701"/>
      <c r="L25" s="1110"/>
      <c r="M25" s="1110"/>
      <c r="N25" s="2"/>
      <c r="O25" s="1106"/>
      <c r="P25" s="1106"/>
      <c r="Q25" s="1106"/>
      <c r="R25" s="1106"/>
      <c r="S25" s="1927">
        <f>IF(S16=2012,0.23,IF(S16=2013,0.23,IF(S16=2014,0.22,IF(S16=2015,0.24,IF(S16=2016,0.24,IF(S16=2017,0.25,IF(S16=2018,0.25,IF(S16=2019,0.26,IF(S16=2020,0.27,IF(S16=2021,0.26,IF(S16=2022,0.26,IF(S16=2023,0.28,
IF(S16=2024,0.3,0.25)))))))))))))</f>
        <v>0.25</v>
      </c>
      <c r="T25" s="1927"/>
      <c r="U25" s="1927"/>
      <c r="V25" s="1106"/>
      <c r="W25" s="1106"/>
      <c r="X25" s="1106"/>
      <c r="Y25" s="1106"/>
    </row>
    <row r="26" spans="2:25" ht="15" customHeight="1" x14ac:dyDescent="0.3">
      <c r="B26" s="4"/>
      <c r="C26" s="417"/>
      <c r="D26" s="1701" t="s">
        <v>24</v>
      </c>
      <c r="E26" s="1701"/>
      <c r="F26" s="1701"/>
      <c r="G26" s="1701"/>
      <c r="H26" s="1701"/>
      <c r="I26" s="1701"/>
      <c r="J26" s="1701"/>
      <c r="K26" s="1701"/>
      <c r="L26" s="1110"/>
      <c r="M26" s="10"/>
      <c r="N26" s="2"/>
      <c r="O26" s="1106"/>
      <c r="P26" s="1106"/>
      <c r="Q26" s="1106"/>
      <c r="R26" s="1111" t="s">
        <v>14</v>
      </c>
      <c r="S26" s="1928">
        <f>S25*S24</f>
        <v>0</v>
      </c>
      <c r="T26" s="1928"/>
      <c r="U26" s="1928"/>
      <c r="V26" s="1112" t="s">
        <v>13</v>
      </c>
      <c r="W26" s="1106"/>
      <c r="X26" s="1106"/>
      <c r="Y26" s="1106"/>
    </row>
    <row r="27" spans="2:25" ht="15" customHeight="1" x14ac:dyDescent="0.3">
      <c r="B27" s="4"/>
      <c r="C27" s="417" t="s">
        <v>642</v>
      </c>
      <c r="D27" s="1701" t="s">
        <v>835</v>
      </c>
      <c r="E27" s="1701"/>
      <c r="F27" s="1701"/>
      <c r="G27" s="1701"/>
      <c r="H27" s="1701"/>
      <c r="I27" s="1701"/>
      <c r="J27" s="1701"/>
      <c r="K27" s="1701"/>
      <c r="L27" s="1701"/>
      <c r="M27" s="1701"/>
      <c r="N27" s="1701"/>
      <c r="O27" s="1701"/>
      <c r="P27" s="1701"/>
      <c r="Q27" s="1701"/>
      <c r="R27" s="58" t="s">
        <v>14</v>
      </c>
      <c r="S27" s="1917"/>
      <c r="T27" s="1917"/>
      <c r="U27" s="1917"/>
      <c r="V27" s="92" t="s">
        <v>13</v>
      </c>
      <c r="W27" s="1106"/>
      <c r="X27" s="1106"/>
      <c r="Y27" s="1106"/>
    </row>
    <row r="28" spans="2:25" ht="15" customHeight="1" x14ac:dyDescent="0.3">
      <c r="B28" s="4"/>
      <c r="C28" s="417" t="s">
        <v>1342</v>
      </c>
      <c r="D28" s="2" t="s">
        <v>239</v>
      </c>
      <c r="E28" s="1920"/>
      <c r="F28" s="1920"/>
      <c r="G28" s="1920"/>
      <c r="H28" s="1920"/>
      <c r="I28" s="1920"/>
      <c r="J28" s="1920"/>
      <c r="K28" s="1920"/>
      <c r="L28" s="1130"/>
      <c r="M28" s="10"/>
      <c r="N28" s="2"/>
      <c r="O28" s="1106"/>
      <c r="P28" s="1106"/>
      <c r="Q28" s="1106"/>
      <c r="R28" s="3"/>
      <c r="S28" s="1917"/>
      <c r="T28" s="1917"/>
      <c r="U28" s="1917"/>
      <c r="V28" s="3"/>
      <c r="W28" s="1106"/>
      <c r="X28" s="1106"/>
      <c r="Y28" s="1106"/>
    </row>
    <row r="29" spans="2:25" ht="15" customHeight="1" thickBot="1" x14ac:dyDescent="0.35">
      <c r="B29" s="4"/>
      <c r="C29" s="1427" t="s">
        <v>1341</v>
      </c>
      <c r="D29" s="1427"/>
      <c r="E29" s="1427"/>
      <c r="F29" s="1427"/>
      <c r="G29" s="1427"/>
      <c r="H29" s="1427"/>
      <c r="I29" s="1427"/>
      <c r="J29" s="1427"/>
      <c r="K29" s="1427"/>
      <c r="L29" s="1427"/>
      <c r="M29" s="1427"/>
      <c r="N29" s="1427"/>
      <c r="O29" s="1427"/>
      <c r="P29" s="1427"/>
      <c r="Q29" s="1427"/>
      <c r="R29" s="1106"/>
      <c r="S29" s="1915">
        <f>S20-S21-S22+S23-S26-S27+S28</f>
        <v>0</v>
      </c>
      <c r="T29" s="1915"/>
      <c r="U29" s="1915"/>
      <c r="V29" s="1106"/>
      <c r="W29" s="1106"/>
      <c r="X29" s="1106"/>
      <c r="Y29" s="1106"/>
    </row>
    <row r="30" spans="2:25" ht="15" customHeight="1" thickTop="1" x14ac:dyDescent="0.3">
      <c r="B30" s="4"/>
      <c r="C30" s="3"/>
      <c r="D30" s="3"/>
      <c r="E30" s="3"/>
      <c r="F30" s="3"/>
      <c r="G30" s="3"/>
      <c r="H30" s="3"/>
      <c r="I30" s="3"/>
      <c r="J30" s="3"/>
      <c r="K30" s="3"/>
      <c r="L30" s="3"/>
      <c r="M30" s="3"/>
      <c r="N30" s="3"/>
      <c r="O30" s="3"/>
      <c r="P30" s="3"/>
      <c r="Q30" s="3"/>
      <c r="R30" s="1106"/>
      <c r="S30" s="1108"/>
      <c r="T30" s="1108"/>
      <c r="U30" s="1108"/>
      <c r="V30" s="1106"/>
      <c r="W30" s="1106"/>
      <c r="X30" s="1106"/>
      <c r="Y30" s="1106"/>
    </row>
    <row r="31" spans="2:25" ht="15" customHeight="1" thickBot="1" x14ac:dyDescent="0.35">
      <c r="B31" s="51" t="s">
        <v>3</v>
      </c>
      <c r="C31" s="1427" t="s">
        <v>1344</v>
      </c>
      <c r="D31" s="1427"/>
      <c r="E31" s="1427"/>
      <c r="F31" s="1427"/>
      <c r="G31" s="1427"/>
      <c r="H31" s="3"/>
      <c r="I31" s="3"/>
      <c r="J31" s="3"/>
      <c r="K31" s="3"/>
      <c r="L31" s="3"/>
      <c r="M31" s="3"/>
      <c r="N31" s="3"/>
      <c r="O31" s="3"/>
      <c r="P31" s="3"/>
      <c r="Q31" s="3"/>
      <c r="R31" s="3"/>
      <c r="S31" s="1925"/>
      <c r="T31" s="1925"/>
      <c r="U31" s="1925"/>
      <c r="V31" s="1106"/>
      <c r="W31" s="1106"/>
      <c r="X31" s="1106"/>
      <c r="Y31" s="1106"/>
    </row>
    <row r="32" spans="2:25" ht="10.8" customHeight="1" thickTop="1" x14ac:dyDescent="0.3">
      <c r="B32" s="9"/>
      <c r="C32" s="3"/>
      <c r="D32" s="3"/>
      <c r="E32" s="3"/>
      <c r="F32" s="3"/>
      <c r="G32" s="3"/>
      <c r="H32" s="3"/>
      <c r="I32" s="3"/>
      <c r="J32" s="10"/>
      <c r="K32" s="10"/>
      <c r="L32" s="10"/>
      <c r="M32" s="10"/>
      <c r="N32" s="2"/>
      <c r="O32" s="1106"/>
      <c r="P32" s="1106"/>
      <c r="Q32" s="1106"/>
      <c r="R32" s="1106"/>
      <c r="S32" s="1108"/>
      <c r="T32" s="1108"/>
      <c r="U32" s="1108"/>
      <c r="V32" s="1106"/>
      <c r="W32" s="1106"/>
      <c r="X32" s="1106"/>
      <c r="Y32" s="1106"/>
    </row>
    <row r="33" spans="1:25" s="74" customFormat="1" ht="26.4" customHeight="1" x14ac:dyDescent="0.3">
      <c r="B33" s="23"/>
      <c r="C33" s="1923" t="s">
        <v>1347</v>
      </c>
      <c r="D33" s="1923"/>
      <c r="E33" s="1923"/>
      <c r="F33" s="1923"/>
      <c r="G33" s="1923"/>
      <c r="H33" s="1923"/>
      <c r="I33" s="1923"/>
      <c r="J33" s="1923"/>
      <c r="K33" s="1923"/>
      <c r="L33" s="1923"/>
      <c r="M33" s="1923"/>
      <c r="N33" s="1923"/>
      <c r="O33" s="1923"/>
      <c r="P33" s="1923"/>
      <c r="Q33" s="1923"/>
      <c r="R33" s="1109"/>
      <c r="S33" s="1924">
        <f>IF(AND(S29&gt;0,S31&gt;0),S29/S31,0)</f>
        <v>0</v>
      </c>
      <c r="T33" s="1924"/>
      <c r="U33" s="1924"/>
      <c r="V33" s="1109"/>
      <c r="W33" s="1109"/>
      <c r="X33" s="1109"/>
      <c r="Y33" s="1109"/>
    </row>
    <row r="34" spans="1:25" ht="9.6" customHeight="1" x14ac:dyDescent="0.3">
      <c r="B34" s="9"/>
      <c r="C34" s="3"/>
      <c r="D34" s="3"/>
      <c r="E34" s="3"/>
      <c r="F34" s="3"/>
      <c r="G34" s="3"/>
      <c r="H34" s="3"/>
      <c r="I34" s="3"/>
      <c r="J34" s="10"/>
      <c r="K34" s="10"/>
      <c r="L34" s="10"/>
      <c r="M34" s="10"/>
      <c r="N34" s="2"/>
      <c r="O34" s="1106"/>
      <c r="P34" s="1106"/>
      <c r="Q34" s="1106"/>
      <c r="R34" s="1106"/>
      <c r="S34" s="1108"/>
      <c r="T34" s="1108"/>
      <c r="U34" s="1108"/>
      <c r="V34" s="1106"/>
      <c r="W34" s="1106"/>
      <c r="X34" s="1106"/>
      <c r="Y34" s="1106"/>
    </row>
    <row r="35" spans="1:25" ht="15" customHeight="1" x14ac:dyDescent="0.3">
      <c r="B35" s="9"/>
      <c r="C35" s="3"/>
      <c r="D35" s="1913" t="s">
        <v>1346</v>
      </c>
      <c r="E35" s="1913"/>
      <c r="F35" s="1913"/>
      <c r="G35" s="1913"/>
      <c r="H35" s="1913"/>
      <c r="I35" s="1913"/>
      <c r="J35" s="1913"/>
      <c r="K35" s="1913"/>
      <c r="L35" s="1913"/>
      <c r="M35" s="1913"/>
      <c r="N35" s="1913"/>
      <c r="O35" s="1913"/>
      <c r="P35" s="1913"/>
      <c r="Q35" s="1913"/>
      <c r="R35" s="1913"/>
      <c r="S35" s="1913"/>
      <c r="T35" s="1913"/>
      <c r="U35" s="1913"/>
      <c r="V35" s="1106"/>
      <c r="W35" s="1106"/>
      <c r="X35" s="1106"/>
      <c r="Y35" s="1106"/>
    </row>
    <row r="36" spans="1:25" ht="15" customHeight="1" x14ac:dyDescent="0.3">
      <c r="B36" s="9"/>
      <c r="D36" s="1929" t="str">
        <f>IF(AND(S31&gt;0,W103=FALSE),"Does not qualify when Freddie loan certification (Required Section above) is not checked.",
IF(AND(S31&gt;0,W104=FALSE),"Does not qualify when Full 12 mo. receipt (Required Section above) is not checked.",
IF(S17&gt;0,"Does not qualify as non-self employed 1099 income when Cost of Goods Sold is
greater than $0.  Proceed using the Schedule C worksheet as a sole proprietorship.",
IF(AND(S17=0,S31&gt;0,S33&lt;=0.05),"Expense Rate meets 5% requirement, proceed below.",
IF(AND(S17=0,S31&gt;0,S33&gt;0.05,S33&lt;=0.07),"Expense Rate is slightly above 5%, additional analysis to determine income remains 
characteristic of non-self employed, and certification below, is required to proceed.",
IF(AND(S17=0,S31&gt;0,S33&gt;0.07),"Cannot be considered for non-self employed 1099 income when the expense rate is
greater than 7%.  Proceed using the Schedule C worksheet as a sole proprietorship.",
""))))))</f>
        <v/>
      </c>
      <c r="E36" s="1929"/>
      <c r="F36" s="1929"/>
      <c r="G36" s="1929"/>
      <c r="H36" s="1929"/>
      <c r="I36" s="1929"/>
      <c r="J36" s="1929"/>
      <c r="K36" s="1929"/>
      <c r="L36" s="1929"/>
      <c r="M36" s="1929"/>
      <c r="N36" s="1929"/>
      <c r="O36" s="1929"/>
      <c r="P36" s="1929"/>
      <c r="Q36" s="1929"/>
      <c r="R36" s="1929"/>
      <c r="S36" s="1929"/>
      <c r="T36" s="1929"/>
      <c r="U36" s="1929"/>
      <c r="V36" s="1113"/>
      <c r="W36" s="1106"/>
      <c r="X36" s="1106"/>
      <c r="Y36" s="1106"/>
    </row>
    <row r="37" spans="1:25" ht="15" customHeight="1" x14ac:dyDescent="0.3">
      <c r="B37" s="9"/>
      <c r="C37" s="1113"/>
      <c r="D37" s="1929"/>
      <c r="E37" s="1929"/>
      <c r="F37" s="1929"/>
      <c r="G37" s="1929"/>
      <c r="H37" s="1929"/>
      <c r="I37" s="1929"/>
      <c r="J37" s="1929"/>
      <c r="K37" s="1929"/>
      <c r="L37" s="1929"/>
      <c r="M37" s="1929"/>
      <c r="N37" s="1929"/>
      <c r="O37" s="1929"/>
      <c r="P37" s="1929"/>
      <c r="Q37" s="1929"/>
      <c r="R37" s="1929"/>
      <c r="S37" s="1929"/>
      <c r="T37" s="1929"/>
      <c r="U37" s="1929"/>
      <c r="V37" s="1113"/>
      <c r="W37" s="1106"/>
      <c r="X37" s="1106"/>
      <c r="Y37" s="1106"/>
    </row>
    <row r="38" spans="1:25" ht="13.2" customHeight="1" x14ac:dyDescent="0.3">
      <c r="B38" s="9"/>
      <c r="D38" s="1930" t="str">
        <f>IF(AND(S17=0,S31&gt;0,S33&gt;0.05,S33&lt;=0.07),"If income is determined to be from a sole proprietorship, proceed using the schedule C worksheet.","")</f>
        <v/>
      </c>
      <c r="E38" s="1930"/>
      <c r="F38" s="1930"/>
      <c r="G38" s="1930"/>
      <c r="H38" s="1930"/>
      <c r="I38" s="1930"/>
      <c r="J38" s="1930"/>
      <c r="K38" s="1930"/>
      <c r="L38" s="1930"/>
      <c r="M38" s="1930"/>
      <c r="N38" s="1930"/>
      <c r="O38" s="1930"/>
      <c r="P38" s="1930"/>
      <c r="Q38" s="1930"/>
      <c r="R38" s="1930"/>
      <c r="S38" s="1930"/>
      <c r="T38" s="1930"/>
      <c r="U38" s="1930"/>
      <c r="V38" s="1114"/>
      <c r="W38" s="1106"/>
      <c r="X38" s="1106"/>
      <c r="Y38" s="1106"/>
    </row>
    <row r="39" spans="1:25" ht="4.8" customHeight="1" x14ac:dyDescent="0.3">
      <c r="B39" s="9"/>
      <c r="C39" s="3"/>
      <c r="D39" s="444"/>
      <c r="E39" s="444"/>
      <c r="F39" s="444"/>
      <c r="G39" s="444"/>
      <c r="H39" s="444"/>
      <c r="I39" s="444"/>
      <c r="J39" s="444"/>
      <c r="K39" s="444"/>
      <c r="L39" s="444"/>
      <c r="M39" s="444"/>
      <c r="N39" s="444"/>
      <c r="O39" s="444"/>
      <c r="P39" s="444"/>
      <c r="Q39" s="444"/>
      <c r="R39" s="444"/>
      <c r="S39" s="444"/>
      <c r="T39" s="444"/>
      <c r="U39" s="55"/>
      <c r="V39" s="1106"/>
      <c r="W39" s="1106"/>
      <c r="X39" s="1106"/>
      <c r="Y39" s="1106"/>
    </row>
    <row r="40" spans="1:25" ht="12" customHeight="1" x14ac:dyDescent="0.3">
      <c r="B40" s="9"/>
      <c r="C40" s="3"/>
      <c r="D40" s="444"/>
      <c r="E40" s="1932" t="str">
        <f>IF(AND(S17=0,S31&gt;0,S33&gt;0.05,S33&lt;=0.07),"Select determined business type:","")</f>
        <v/>
      </c>
      <c r="F40" s="1932"/>
      <c r="G40" s="1932"/>
      <c r="H40" s="1932"/>
      <c r="I40" s="1932"/>
      <c r="J40" s="1932"/>
      <c r="K40" s="1932"/>
      <c r="L40" s="1932"/>
      <c r="M40" s="1931"/>
      <c r="N40" s="1931"/>
      <c r="O40" s="1931"/>
      <c r="P40" s="1931"/>
      <c r="Q40" s="1931"/>
      <c r="R40" s="1931"/>
      <c r="S40" s="444"/>
      <c r="T40" s="444"/>
      <c r="U40" s="55"/>
      <c r="V40" s="1106"/>
      <c r="W40" s="1106"/>
      <c r="X40" s="1106"/>
      <c r="Y40" s="1106"/>
    </row>
    <row r="41" spans="1:25" ht="4.8" customHeight="1" x14ac:dyDescent="0.3">
      <c r="B41" s="9"/>
      <c r="C41" s="3"/>
      <c r="D41" s="444"/>
      <c r="E41" s="444"/>
      <c r="F41" s="444"/>
      <c r="G41" s="444"/>
      <c r="H41" s="444"/>
      <c r="I41" s="444"/>
      <c r="J41" s="444"/>
      <c r="K41" s="444"/>
      <c r="L41" s="444"/>
      <c r="M41" s="444"/>
      <c r="N41" s="444"/>
      <c r="O41" s="444"/>
      <c r="P41" s="444"/>
      <c r="Q41" s="444"/>
      <c r="R41" s="444"/>
      <c r="S41" s="444"/>
      <c r="T41" s="444"/>
      <c r="U41" s="55"/>
      <c r="V41" s="1106"/>
      <c r="W41" s="1106"/>
      <c r="X41" s="1106"/>
      <c r="Y41" s="1106"/>
    </row>
    <row r="42" spans="1:25" ht="14.4" customHeight="1" x14ac:dyDescent="0.3">
      <c r="B42" s="4"/>
      <c r="C42" s="4"/>
      <c r="D42" s="10"/>
      <c r="F42" s="1110"/>
      <c r="G42" s="1780" t="str">
        <f>IF(AND(S17=0,S31&gt;0,S33&gt;0.05,S33&lt;=0.07,M40="Sole Proprietorship"),"Proceed using the schedule C worksheet.",
IF(AND(S17=0,S31&gt;0,S33&gt;0.05,S33&lt;=0.07,M40="Non-Self Employment"),"Proceed below",""))</f>
        <v/>
      </c>
      <c r="H42" s="1780"/>
      <c r="I42" s="1780"/>
      <c r="J42" s="1780"/>
      <c r="K42" s="1780"/>
      <c r="L42" s="1780"/>
      <c r="M42" s="1780"/>
      <c r="N42" s="1780"/>
      <c r="O42" s="1780"/>
      <c r="P42" s="1780"/>
      <c r="Q42" s="1780"/>
      <c r="R42" s="1780"/>
      <c r="S42" s="1110"/>
      <c r="T42" s="1110"/>
      <c r="U42" s="500"/>
      <c r="V42" s="500"/>
      <c r="W42" s="500"/>
      <c r="X42" s="45"/>
    </row>
    <row r="43" spans="1:25" ht="10.199999999999999" customHeight="1" x14ac:dyDescent="0.3">
      <c r="B43" s="4"/>
      <c r="C43" s="4"/>
      <c r="D43" s="10"/>
      <c r="E43" s="166"/>
      <c r="F43" s="166"/>
      <c r="G43" s="166"/>
      <c r="H43" s="166"/>
      <c r="I43" s="166"/>
      <c r="J43" s="166"/>
      <c r="K43" s="166"/>
      <c r="L43" s="166"/>
      <c r="M43" s="166"/>
      <c r="N43" s="166"/>
      <c r="O43" s="166"/>
      <c r="P43" s="166"/>
      <c r="Q43" s="166"/>
      <c r="R43" s="166"/>
      <c r="S43" s="166"/>
      <c r="T43" s="166"/>
      <c r="U43" s="500"/>
      <c r="V43" s="500"/>
      <c r="W43" s="500"/>
      <c r="X43" s="45"/>
    </row>
    <row r="44" spans="1:25" ht="18" x14ac:dyDescent="0.3">
      <c r="A44" s="1914" t="s">
        <v>1345</v>
      </c>
      <c r="B44" s="1914"/>
      <c r="C44" s="1914"/>
      <c r="D44" s="1914"/>
      <c r="E44" s="1914"/>
      <c r="F44" s="1914"/>
      <c r="G44" s="1914"/>
      <c r="H44" s="1914"/>
      <c r="I44" s="1914"/>
      <c r="J44" s="1914"/>
      <c r="K44" s="1914"/>
      <c r="L44" s="10"/>
      <c r="M44" s="1944">
        <v>2026</v>
      </c>
      <c r="N44" s="1944"/>
      <c r="O44" s="1944"/>
      <c r="P44" s="2"/>
      <c r="Q44" s="1945">
        <f>M44-1</f>
        <v>2025</v>
      </c>
      <c r="R44" s="1945"/>
      <c r="S44" s="1945"/>
      <c r="T44" s="36"/>
      <c r="U44" s="1945">
        <f>M44-2</f>
        <v>2024</v>
      </c>
      <c r="V44" s="1945"/>
      <c r="W44" s="1945"/>
      <c r="X44" s="45"/>
    </row>
    <row r="45" spans="1:25" ht="18" x14ac:dyDescent="0.3">
      <c r="A45" s="1942"/>
      <c r="B45" s="1942"/>
      <c r="C45" s="1942"/>
      <c r="D45" s="1942"/>
      <c r="E45" s="1942"/>
      <c r="F45" s="1942"/>
      <c r="G45" s="1942"/>
      <c r="H45" s="1942"/>
      <c r="I45" s="1942"/>
      <c r="J45" s="1942"/>
      <c r="K45" s="1942"/>
      <c r="L45" s="10"/>
      <c r="M45" s="1943" t="s">
        <v>1338</v>
      </c>
      <c r="N45" s="1943"/>
      <c r="O45" s="1943"/>
      <c r="P45" s="2"/>
      <c r="Q45" s="1943" t="s">
        <v>1337</v>
      </c>
      <c r="R45" s="1943"/>
      <c r="S45" s="1943"/>
      <c r="T45" s="647"/>
      <c r="U45" s="1943" t="s">
        <v>1337</v>
      </c>
      <c r="V45" s="1943"/>
      <c r="W45" s="1943"/>
      <c r="X45" s="45"/>
    </row>
    <row r="46" spans="1:25" ht="15.6" customHeight="1" x14ac:dyDescent="0.35">
      <c r="B46" s="4"/>
      <c r="C46" s="170"/>
      <c r="D46" s="170"/>
      <c r="E46" s="170"/>
      <c r="F46" s="170"/>
      <c r="G46" s="1506" t="s">
        <v>893</v>
      </c>
      <c r="H46" s="1506"/>
      <c r="I46" s="1506"/>
      <c r="J46" s="1506"/>
      <c r="K46" s="1506"/>
      <c r="L46" s="1506"/>
      <c r="M46" s="526">
        <v>46023</v>
      </c>
      <c r="N46" s="621"/>
      <c r="O46" s="526"/>
      <c r="P46" s="3"/>
      <c r="Q46" s="526">
        <v>45658</v>
      </c>
      <c r="R46" s="509"/>
      <c r="S46" s="526">
        <v>46022</v>
      </c>
      <c r="T46" s="525"/>
      <c r="U46" s="526">
        <v>45292</v>
      </c>
      <c r="V46" s="509"/>
      <c r="W46" s="526">
        <v>45657</v>
      </c>
      <c r="X46" s="45"/>
    </row>
    <row r="47" spans="1:25" ht="12.6" customHeight="1" x14ac:dyDescent="0.3">
      <c r="B47"/>
      <c r="C47" s="173"/>
      <c r="D47" s="173"/>
      <c r="E47" s="173"/>
      <c r="F47" s="173"/>
      <c r="G47" s="173"/>
      <c r="H47" s="538"/>
      <c r="I47" s="538"/>
      <c r="J47" s="10"/>
      <c r="K47" s="806">
        <f>YEAR(M46)</f>
        <v>2026</v>
      </c>
      <c r="L47" s="10"/>
      <c r="M47" s="1507" t="s">
        <v>97</v>
      </c>
      <c r="N47" s="1507"/>
      <c r="O47" s="1507"/>
      <c r="P47" s="2"/>
      <c r="Q47" s="1508" t="s">
        <v>97</v>
      </c>
      <c r="R47" s="1508"/>
      <c r="S47" s="1508"/>
      <c r="T47" s="36"/>
      <c r="U47" s="1508" t="s">
        <v>97</v>
      </c>
      <c r="V47" s="1508"/>
      <c r="W47" s="1508"/>
      <c r="X47" s="45"/>
    </row>
    <row r="48" spans="1:25" ht="15" customHeight="1" x14ac:dyDescent="0.3">
      <c r="B48" s="1515" t="s">
        <v>96</v>
      </c>
      <c r="C48" s="1515"/>
      <c r="D48" s="1515"/>
      <c r="E48" s="1515"/>
      <c r="F48" s="1515"/>
      <c r="G48" s="1515"/>
      <c r="H48" s="1515"/>
      <c r="I48" s="1515"/>
      <c r="J48" s="1515"/>
      <c r="K48" s="10"/>
      <c r="L48" s="10"/>
      <c r="M48" s="1516" t="str">
        <f>IF(OR(M46="",O46=""),"=",CONCATENATE(ROUND(O49,2)," Months"))</f>
        <v>=</v>
      </c>
      <c r="N48" s="1516"/>
      <c r="O48" s="1516"/>
      <c r="P48" s="2"/>
      <c r="Q48" s="1516" t="str">
        <f>IF(OR(Q46="",S46=""),"=",CONCATENATE(ROUND(S49,2)," Months"))</f>
        <v>12 Months</v>
      </c>
      <c r="R48" s="1516"/>
      <c r="S48" s="1516"/>
      <c r="T48" s="36"/>
      <c r="U48" s="1516" t="str">
        <f>IF(OR(U46="",W46=""),"=",CONCATENATE(ROUND(W49,2)," Months"))</f>
        <v>12 Months</v>
      </c>
      <c r="V48" s="1516"/>
      <c r="W48" s="1516"/>
      <c r="X48" s="45"/>
    </row>
    <row r="49" spans="2:24" ht="6.6" customHeight="1" x14ac:dyDescent="0.3">
      <c r="B49" s="1515"/>
      <c r="C49" s="1515"/>
      <c r="D49" s="1515"/>
      <c r="E49" s="1515"/>
      <c r="F49" s="1515"/>
      <c r="G49" s="1515"/>
      <c r="H49" s="1515"/>
      <c r="I49" s="1515"/>
      <c r="J49" s="1515"/>
      <c r="K49" s="508"/>
      <c r="L49" s="10"/>
      <c r="M49" s="220">
        <f>YEARFRAC(M46,O46+1,4)</f>
        <v>126</v>
      </c>
      <c r="N49" s="394" t="str">
        <f>IF(OR(M46="",O46=""),"=",(ROUND(O49,2)))</f>
        <v>=</v>
      </c>
      <c r="O49" s="221">
        <f>M49*12</f>
        <v>1512</v>
      </c>
      <c r="P49" s="46">
        <f>IF(AND(M75&lt;&gt;0,U103&lt;&gt;TRUE),N49,0)</f>
        <v>0</v>
      </c>
      <c r="Q49" s="220">
        <f>YEARFRAC(Q46,S46+1,4)</f>
        <v>1</v>
      </c>
      <c r="R49" s="394">
        <f>IF(OR(Q46="",S46=""),"=",(ROUND(S49,2)))</f>
        <v>12</v>
      </c>
      <c r="S49" s="221">
        <f>Q49*12</f>
        <v>12</v>
      </c>
      <c r="T49" s="46">
        <f>IF(AND(Q75&lt;&gt;0,U104&lt;&gt;TRUE),R49,0)</f>
        <v>0</v>
      </c>
      <c r="U49" s="220">
        <f>YEARFRAC(U46,W46+1,4)</f>
        <v>1</v>
      </c>
      <c r="V49" s="394">
        <f>IF(OR(U46="",W46=""),"=",(ROUND(W49,2)))</f>
        <v>12</v>
      </c>
      <c r="W49" s="221">
        <f>U49*12</f>
        <v>12</v>
      </c>
      <c r="X49" s="46">
        <f>IF(AND(U75&lt;&gt;0,U105&lt;&gt;TRUE),V49,0)</f>
        <v>0</v>
      </c>
    </row>
    <row r="50" spans="2:24" ht="15" customHeight="1" x14ac:dyDescent="0.3">
      <c r="B50" s="1515"/>
      <c r="C50" s="1515"/>
      <c r="D50" s="1515"/>
      <c r="E50" s="1515"/>
      <c r="F50" s="1515"/>
      <c r="G50" s="1515"/>
      <c r="H50" s="1515"/>
      <c r="I50" s="1515"/>
      <c r="J50" s="1515"/>
      <c r="M50" s="1517" t="str">
        <f>IF(K47&lt;&gt;M44,"Error: Years don’t match",IF(AND(O46&lt;&gt;"",O46&lt;M46),"Error: &lt; 1 day",IF(AND(N49&gt;12,O46&lt;&gt;""),"Error: &gt; 12 Mo",IF(AND(M75&lt;&gt;0,O46=""),"Enter Date Above",""))))</f>
        <v/>
      </c>
      <c r="N50" s="1517"/>
      <c r="O50" s="1517"/>
      <c r="P50" s="800" t="str">
        <f>IF(M50&lt;&gt;"",1,"")</f>
        <v/>
      </c>
      <c r="Q50" s="1517" t="str">
        <f>IF(Q44&lt;&gt;(K47-1),"Error: Years don't match",IF(S46&lt;Q46,"Error: &lt; 1 day",IF(AND(R49&gt;12,S46&lt;&gt;""),"Error: &gt; 12 Mo","")))</f>
        <v/>
      </c>
      <c r="R50" s="1517"/>
      <c r="S50" s="1517"/>
      <c r="T50" s="800" t="str">
        <f>IF(Q50&lt;&gt;"",1,"")</f>
        <v/>
      </c>
      <c r="U50" s="1517" t="str">
        <f>IF(U44&lt;&gt;K47-2,"Error: Years don’t match",IF(W46&lt;U46,"Error: &lt; 1 day",IF(AND(V49&gt;12,W46&lt;&gt;""),"Error: &gt; 12 Mo","")))</f>
        <v/>
      </c>
      <c r="V50" s="1517"/>
      <c r="W50" s="1517"/>
      <c r="X50" s="800" t="str">
        <f>IF(U50&lt;&gt;"",1,"")</f>
        <v/>
      </c>
    </row>
    <row r="51" spans="2:24" ht="15.6" x14ac:dyDescent="0.3">
      <c r="B51" s="1773" t="s">
        <v>847</v>
      </c>
      <c r="C51" s="1773"/>
      <c r="D51" s="1773"/>
      <c r="E51" s="1773"/>
      <c r="F51" s="1773"/>
      <c r="G51" s="1773"/>
      <c r="H51" s="1773"/>
      <c r="I51" s="1773"/>
      <c r="J51" s="1773"/>
      <c r="K51" s="10"/>
      <c r="L51" s="56"/>
      <c r="M51" s="1502"/>
      <c r="N51" s="1502"/>
      <c r="O51" s="1502"/>
      <c r="P51" s="6"/>
      <c r="Q51" s="1502"/>
      <c r="R51" s="1502"/>
      <c r="S51" s="1502"/>
      <c r="T51" s="3">
        <f>IF(Q79&lt;&gt;0,R51,0)</f>
        <v>0</v>
      </c>
      <c r="U51" s="1502"/>
      <c r="V51" s="1502"/>
      <c r="W51" s="1502"/>
      <c r="X51" s="2">
        <f>IF(U79&lt;&gt;0,V51,0)</f>
        <v>0</v>
      </c>
    </row>
    <row r="52" spans="2:24" ht="3" customHeight="1" x14ac:dyDescent="0.3">
      <c r="B52" s="170"/>
      <c r="C52" s="538"/>
      <c r="D52" s="91"/>
      <c r="E52" s="91"/>
      <c r="F52" s="91"/>
      <c r="G52" s="91"/>
      <c r="H52" s="91"/>
      <c r="I52" s="91"/>
      <c r="J52" s="91"/>
      <c r="K52" s="10"/>
      <c r="L52" s="56"/>
      <c r="M52" s="56"/>
      <c r="N52" s="10"/>
      <c r="O52" s="3"/>
      <c r="P52" s="3"/>
      <c r="Q52" s="56"/>
      <c r="R52" s="3"/>
      <c r="S52" s="3"/>
      <c r="T52" s="3"/>
      <c r="U52" s="3"/>
      <c r="V52" s="3"/>
      <c r="W52" s="3"/>
    </row>
    <row r="53" spans="2:24" ht="15.6" x14ac:dyDescent="0.3">
      <c r="B53" s="1773" t="s">
        <v>847</v>
      </c>
      <c r="C53" s="1773"/>
      <c r="D53" s="1773"/>
      <c r="E53" s="1773"/>
      <c r="F53" s="1773"/>
      <c r="G53" s="1773"/>
      <c r="H53" s="1773"/>
      <c r="I53" s="1773"/>
      <c r="J53" s="1773"/>
      <c r="K53" s="10"/>
      <c r="L53" s="56"/>
      <c r="M53" s="1502"/>
      <c r="N53" s="1502"/>
      <c r="O53" s="1502"/>
      <c r="P53" s="3"/>
      <c r="Q53" s="1502"/>
      <c r="R53" s="1502"/>
      <c r="S53" s="1502"/>
      <c r="T53" s="3"/>
      <c r="U53" s="1502"/>
      <c r="V53" s="1502"/>
      <c r="W53" s="1502"/>
    </row>
    <row r="54" spans="2:24" ht="3" customHeight="1" x14ac:dyDescent="0.3">
      <c r="B54" s="170"/>
      <c r="C54" s="538"/>
      <c r="D54" s="91"/>
      <c r="E54" s="91"/>
      <c r="F54" s="91"/>
      <c r="G54" s="91"/>
      <c r="H54" s="91"/>
      <c r="I54" s="91"/>
      <c r="J54" s="91"/>
      <c r="K54" s="10"/>
      <c r="L54" s="56"/>
      <c r="M54" s="56"/>
      <c r="N54" s="10"/>
      <c r="O54" s="3"/>
      <c r="P54" s="3"/>
      <c r="Q54" s="56"/>
      <c r="R54" s="3"/>
      <c r="S54" s="3"/>
      <c r="T54" s="3"/>
      <c r="U54" s="3"/>
      <c r="V54" s="3"/>
      <c r="W54" s="3"/>
    </row>
    <row r="55" spans="2:24" ht="15.6" x14ac:dyDescent="0.3">
      <c r="B55" s="1773" t="s">
        <v>847</v>
      </c>
      <c r="C55" s="1773"/>
      <c r="D55" s="1773"/>
      <c r="E55" s="1773"/>
      <c r="F55" s="1773"/>
      <c r="G55" s="1773"/>
      <c r="H55" s="1773"/>
      <c r="I55" s="1773"/>
      <c r="J55" s="1773"/>
      <c r="K55" s="10"/>
      <c r="L55" s="56"/>
      <c r="M55" s="1502"/>
      <c r="N55" s="1502"/>
      <c r="O55" s="1502"/>
      <c r="P55" s="3"/>
      <c r="Q55" s="1502"/>
      <c r="R55" s="1502"/>
      <c r="S55" s="1502"/>
      <c r="T55" s="3"/>
      <c r="U55" s="1502"/>
      <c r="V55" s="1502"/>
      <c r="W55" s="1502"/>
    </row>
    <row r="56" spans="2:24" ht="3" customHeight="1" x14ac:dyDescent="0.3">
      <c r="B56" s="170"/>
      <c r="C56" s="1867"/>
      <c r="D56" s="1867"/>
      <c r="E56" s="1867"/>
      <c r="F56" s="1867"/>
      <c r="G56" s="1867"/>
      <c r="H56" s="1867"/>
      <c r="I56" s="1867"/>
      <c r="J56" s="1867"/>
      <c r="K56" s="10"/>
      <c r="L56" s="56"/>
      <c r="M56" s="56"/>
      <c r="N56" s="781"/>
      <c r="O56" s="3"/>
      <c r="P56" s="3"/>
      <c r="Q56" s="3"/>
      <c r="R56" s="3"/>
      <c r="S56" s="3"/>
      <c r="T56" s="3"/>
      <c r="U56" s="3"/>
      <c r="V56" s="3"/>
      <c r="W56" s="3"/>
    </row>
    <row r="57" spans="2:24" ht="15" customHeight="1" x14ac:dyDescent="0.3">
      <c r="B57" s="1773" t="s">
        <v>847</v>
      </c>
      <c r="C57" s="1773"/>
      <c r="D57" s="1773"/>
      <c r="E57" s="1773"/>
      <c r="F57" s="1773"/>
      <c r="G57" s="1773"/>
      <c r="H57" s="1773"/>
      <c r="I57" s="1773"/>
      <c r="J57" s="1773"/>
      <c r="K57" s="10"/>
      <c r="L57" s="56"/>
      <c r="M57" s="1502"/>
      <c r="N57" s="1502"/>
      <c r="O57" s="1502"/>
      <c r="P57" s="3"/>
      <c r="Q57" s="1502"/>
      <c r="R57" s="1502"/>
      <c r="S57" s="1502"/>
      <c r="T57" s="3"/>
      <c r="U57" s="1502"/>
      <c r="V57" s="1502"/>
      <c r="W57" s="1502"/>
    </row>
    <row r="58" spans="2:24" ht="3" customHeight="1" x14ac:dyDescent="0.3">
      <c r="B58" s="170"/>
      <c r="C58" s="538"/>
      <c r="D58" s="538"/>
      <c r="E58" s="538"/>
      <c r="F58" s="538"/>
      <c r="G58" s="538"/>
      <c r="H58" s="538"/>
      <c r="I58" s="538"/>
      <c r="J58" s="538"/>
      <c r="K58" s="10"/>
      <c r="L58" s="56"/>
      <c r="M58" s="56"/>
      <c r="N58" s="10"/>
      <c r="O58" s="3"/>
      <c r="P58" s="3"/>
      <c r="Q58" s="3"/>
      <c r="R58" s="3"/>
      <c r="S58" s="3"/>
      <c r="T58" s="3"/>
      <c r="U58" s="3"/>
      <c r="V58" s="3"/>
      <c r="W58" s="3"/>
    </row>
    <row r="59" spans="2:24" ht="15.6" x14ac:dyDescent="0.3">
      <c r="B59" s="1773" t="s">
        <v>847</v>
      </c>
      <c r="C59" s="1773"/>
      <c r="D59" s="1773"/>
      <c r="E59" s="1773"/>
      <c r="F59" s="1773"/>
      <c r="G59" s="1773"/>
      <c r="H59" s="1773"/>
      <c r="I59" s="1773"/>
      <c r="J59" s="1773"/>
      <c r="K59" s="166"/>
      <c r="L59" s="56"/>
      <c r="M59" s="1502"/>
      <c r="N59" s="1502"/>
      <c r="O59" s="1502"/>
      <c r="P59" s="3"/>
      <c r="Q59" s="1502"/>
      <c r="R59" s="1502"/>
      <c r="S59" s="1502"/>
      <c r="T59" s="3"/>
      <c r="U59" s="1502"/>
      <c r="V59" s="1502"/>
      <c r="W59" s="1502"/>
    </row>
    <row r="60" spans="2:24" ht="3" customHeight="1" x14ac:dyDescent="0.3">
      <c r="B60" s="170"/>
      <c r="C60" s="538"/>
      <c r="D60" s="91"/>
      <c r="E60" s="91"/>
      <c r="F60" s="91"/>
      <c r="G60" s="91"/>
      <c r="H60" s="91"/>
      <c r="I60" s="91"/>
      <c r="J60" s="91"/>
      <c r="K60" s="10"/>
      <c r="L60" s="56"/>
      <c r="M60" s="56"/>
      <c r="N60" s="10"/>
      <c r="O60" s="3"/>
      <c r="P60" s="3"/>
      <c r="Q60" s="56"/>
      <c r="R60" s="3"/>
      <c r="S60" s="3"/>
      <c r="T60" s="3"/>
      <c r="U60" s="3"/>
      <c r="V60" s="3"/>
      <c r="W60" s="3"/>
    </row>
    <row r="61" spans="2:24" ht="15.6" x14ac:dyDescent="0.3">
      <c r="B61" s="1773" t="s">
        <v>847</v>
      </c>
      <c r="C61" s="1773"/>
      <c r="D61" s="1773"/>
      <c r="E61" s="1773"/>
      <c r="F61" s="1773"/>
      <c r="G61" s="1773"/>
      <c r="H61" s="1773"/>
      <c r="I61" s="1773"/>
      <c r="J61" s="1773"/>
      <c r="K61" s="10"/>
      <c r="L61" s="56"/>
      <c r="M61" s="1502"/>
      <c r="N61" s="1502"/>
      <c r="O61" s="1502"/>
      <c r="P61" s="3"/>
      <c r="Q61" s="1502"/>
      <c r="R61" s="1502"/>
      <c r="S61" s="1502"/>
      <c r="T61" s="3"/>
      <c r="U61" s="1502"/>
      <c r="V61" s="1502"/>
      <c r="W61" s="1502"/>
    </row>
    <row r="62" spans="2:24" ht="3" customHeight="1" x14ac:dyDescent="0.3">
      <c r="B62" s="170"/>
      <c r="C62" s="538"/>
      <c r="D62" s="91"/>
      <c r="E62" s="91"/>
      <c r="F62" s="91"/>
      <c r="G62" s="91"/>
      <c r="H62" s="91"/>
      <c r="I62" s="91"/>
      <c r="J62" s="91"/>
      <c r="K62" s="10"/>
      <c r="L62" s="56"/>
      <c r="M62" s="56"/>
      <c r="N62" s="10"/>
      <c r="O62" s="3"/>
      <c r="P62" s="3"/>
      <c r="Q62" s="56"/>
      <c r="R62" s="3"/>
      <c r="S62" s="3"/>
      <c r="T62" s="3"/>
      <c r="U62" s="3"/>
      <c r="V62" s="3"/>
      <c r="W62" s="3"/>
    </row>
    <row r="63" spans="2:24" ht="15.75" customHeight="1" x14ac:dyDescent="0.3">
      <c r="B63" s="1773" t="s">
        <v>847</v>
      </c>
      <c r="C63" s="1773"/>
      <c r="D63" s="1773"/>
      <c r="E63" s="1773"/>
      <c r="F63" s="1773"/>
      <c r="G63" s="1773"/>
      <c r="H63" s="1773"/>
      <c r="I63" s="1773"/>
      <c r="J63" s="1773"/>
      <c r="K63" s="10"/>
      <c r="L63" s="56"/>
      <c r="M63" s="1502"/>
      <c r="N63" s="1502"/>
      <c r="O63" s="1502"/>
      <c r="P63" s="3"/>
      <c r="Q63" s="1502"/>
      <c r="R63" s="1502"/>
      <c r="S63" s="1502"/>
      <c r="T63" s="3"/>
      <c r="U63" s="1502"/>
      <c r="V63" s="1502"/>
      <c r="W63" s="1502"/>
    </row>
    <row r="64" spans="2:24" ht="3" customHeight="1" x14ac:dyDescent="0.3">
      <c r="B64" s="170"/>
      <c r="C64" s="538"/>
      <c r="D64" s="91"/>
      <c r="E64" s="91"/>
      <c r="F64" s="91"/>
      <c r="G64" s="91"/>
      <c r="H64" s="91"/>
      <c r="I64" s="91"/>
      <c r="J64" s="91"/>
      <c r="K64" s="10"/>
      <c r="L64" s="56"/>
      <c r="M64" s="302"/>
      <c r="N64" s="10"/>
      <c r="O64" s="3"/>
      <c r="P64" s="3"/>
      <c r="Q64" s="56"/>
      <c r="R64" s="3"/>
      <c r="S64" s="3"/>
      <c r="T64" s="3"/>
      <c r="U64" s="3"/>
      <c r="V64" s="3"/>
      <c r="W64" s="3"/>
    </row>
    <row r="65" spans="2:25" ht="15.6" x14ac:dyDescent="0.3">
      <c r="B65" s="1773" t="s">
        <v>847</v>
      </c>
      <c r="C65" s="1773"/>
      <c r="D65" s="1773"/>
      <c r="E65" s="1773"/>
      <c r="F65" s="1773"/>
      <c r="G65" s="1773"/>
      <c r="H65" s="1773"/>
      <c r="I65" s="1773"/>
      <c r="J65" s="1773"/>
      <c r="K65" s="10"/>
      <c r="L65" s="56"/>
      <c r="M65" s="1502"/>
      <c r="N65" s="1502"/>
      <c r="O65" s="1502"/>
      <c r="P65" s="3"/>
      <c r="Q65" s="1502"/>
      <c r="R65" s="1502"/>
      <c r="S65" s="1502"/>
      <c r="T65" s="3"/>
      <c r="U65" s="1502"/>
      <c r="V65" s="1502"/>
      <c r="W65" s="1502"/>
    </row>
    <row r="66" spans="2:25" ht="3" customHeight="1" x14ac:dyDescent="0.3">
      <c r="B66" s="170"/>
      <c r="C66" s="1867"/>
      <c r="D66" s="1867"/>
      <c r="E66" s="1867"/>
      <c r="F66" s="1867"/>
      <c r="G66" s="1867"/>
      <c r="H66" s="1867"/>
      <c r="I66" s="1867"/>
      <c r="J66" s="1867"/>
      <c r="K66" s="10"/>
      <c r="L66" s="56"/>
      <c r="M66" s="56"/>
      <c r="N66" s="10"/>
      <c r="O66" s="3"/>
      <c r="P66" s="3"/>
      <c r="Q66" s="3"/>
      <c r="R66" s="3"/>
      <c r="S66" s="3"/>
      <c r="T66" s="3"/>
      <c r="U66" s="3"/>
      <c r="V66" s="3"/>
      <c r="W66" s="3"/>
    </row>
    <row r="67" spans="2:25" ht="15" customHeight="1" x14ac:dyDescent="0.3">
      <c r="B67" s="1773" t="s">
        <v>847</v>
      </c>
      <c r="C67" s="1773"/>
      <c r="D67" s="1773"/>
      <c r="E67" s="1773"/>
      <c r="F67" s="1773"/>
      <c r="G67" s="1773"/>
      <c r="H67" s="1773"/>
      <c r="I67" s="1773"/>
      <c r="J67" s="1773"/>
      <c r="K67" s="10"/>
      <c r="L67" s="56"/>
      <c r="M67" s="1502"/>
      <c r="N67" s="1502"/>
      <c r="O67" s="1502"/>
      <c r="P67" s="3"/>
      <c r="Q67" s="1502"/>
      <c r="R67" s="1502"/>
      <c r="S67" s="1502"/>
      <c r="T67" s="3"/>
      <c r="U67" s="1502"/>
      <c r="V67" s="1502"/>
      <c r="W67" s="1502"/>
    </row>
    <row r="68" spans="2:25" ht="3" customHeight="1" x14ac:dyDescent="0.3">
      <c r="B68" s="170"/>
      <c r="C68" s="538"/>
      <c r="D68" s="538"/>
      <c r="E68" s="538"/>
      <c r="F68" s="538"/>
      <c r="G68" s="538"/>
      <c r="H68" s="538"/>
      <c r="I68" s="538"/>
      <c r="J68" s="538"/>
      <c r="K68" s="10"/>
      <c r="L68" s="56"/>
      <c r="M68" s="56"/>
      <c r="N68" s="10"/>
      <c r="O68" s="3"/>
      <c r="P68" s="3"/>
      <c r="Q68" s="3"/>
      <c r="R68" s="3"/>
      <c r="S68" s="3"/>
      <c r="T68" s="3"/>
      <c r="U68" s="3"/>
      <c r="V68" s="3"/>
      <c r="W68" s="3"/>
    </row>
    <row r="69" spans="2:25" ht="16.5" customHeight="1" x14ac:dyDescent="0.3">
      <c r="B69" s="1773" t="s">
        <v>847</v>
      </c>
      <c r="C69" s="1773"/>
      <c r="D69" s="1773"/>
      <c r="E69" s="1773"/>
      <c r="F69" s="1773"/>
      <c r="G69" s="1773"/>
      <c r="H69" s="1773"/>
      <c r="I69" s="1773"/>
      <c r="J69" s="1773"/>
      <c r="K69" s="10"/>
      <c r="L69" s="56"/>
      <c r="M69" s="1502"/>
      <c r="N69" s="1502"/>
      <c r="O69" s="1502"/>
      <c r="P69" s="3"/>
      <c r="Q69" s="1502"/>
      <c r="R69" s="1502"/>
      <c r="S69" s="1502"/>
      <c r="T69" s="3"/>
      <c r="U69" s="1502"/>
      <c r="V69" s="1502"/>
      <c r="W69" s="1502"/>
    </row>
    <row r="70" spans="2:25" ht="3" customHeight="1" x14ac:dyDescent="0.3">
      <c r="B70" s="170"/>
      <c r="C70" s="538"/>
      <c r="D70" s="538"/>
      <c r="E70" s="538"/>
      <c r="F70" s="538"/>
      <c r="G70" s="538"/>
      <c r="H70" s="538"/>
      <c r="I70" s="538"/>
      <c r="J70" s="538"/>
      <c r="K70" s="10"/>
      <c r="L70" s="56"/>
      <c r="M70" s="56"/>
      <c r="N70" s="10"/>
      <c r="O70" s="3"/>
      <c r="P70" s="3"/>
      <c r="Q70" s="3"/>
      <c r="R70" s="3"/>
      <c r="S70" s="3"/>
      <c r="T70" s="3"/>
      <c r="U70" s="3"/>
      <c r="V70" s="3"/>
      <c r="W70" s="3"/>
    </row>
    <row r="71" spans="2:25" ht="15.75" customHeight="1" x14ac:dyDescent="0.3">
      <c r="B71" s="1773" t="s">
        <v>847</v>
      </c>
      <c r="C71" s="1773"/>
      <c r="D71" s="1773"/>
      <c r="E71" s="1773"/>
      <c r="F71" s="1773"/>
      <c r="G71" s="1773"/>
      <c r="H71" s="1773"/>
      <c r="I71" s="1773"/>
      <c r="J71" s="1773"/>
      <c r="K71" s="10"/>
      <c r="L71" s="56"/>
      <c r="M71" s="1502"/>
      <c r="N71" s="1502"/>
      <c r="O71" s="1502"/>
      <c r="P71" s="6"/>
      <c r="Q71" s="1502"/>
      <c r="R71" s="1502"/>
      <c r="S71" s="1502"/>
      <c r="T71" s="3"/>
      <c r="U71" s="1502"/>
      <c r="V71" s="1502"/>
      <c r="W71" s="1502"/>
    </row>
    <row r="72" spans="2:25" ht="3" customHeight="1" x14ac:dyDescent="0.3">
      <c r="B72" s="170"/>
      <c r="C72" s="538"/>
      <c r="D72" s="91"/>
      <c r="E72" s="91"/>
      <c r="F72" s="91"/>
      <c r="G72" s="91"/>
      <c r="H72" s="91"/>
      <c r="I72" s="91"/>
      <c r="J72" s="91"/>
      <c r="K72" s="10"/>
      <c r="L72" s="56"/>
      <c r="M72" s="56"/>
      <c r="N72" s="10"/>
      <c r="O72" s="3"/>
      <c r="P72" s="3"/>
      <c r="Q72" s="56"/>
      <c r="R72" s="3"/>
      <c r="S72" s="3"/>
      <c r="T72" s="3"/>
      <c r="U72" s="3"/>
      <c r="V72" s="3"/>
      <c r="W72" s="3"/>
    </row>
    <row r="73" spans="2:25" ht="15.75" customHeight="1" x14ac:dyDescent="0.3">
      <c r="B73" s="1773" t="s">
        <v>847</v>
      </c>
      <c r="C73" s="1773"/>
      <c r="D73" s="1773"/>
      <c r="E73" s="1773"/>
      <c r="F73" s="1773"/>
      <c r="G73" s="1773"/>
      <c r="H73" s="1773"/>
      <c r="I73" s="1773"/>
      <c r="J73" s="1773"/>
      <c r="K73" s="10"/>
      <c r="L73" s="56"/>
      <c r="M73" s="1502"/>
      <c r="N73" s="1502"/>
      <c r="O73" s="1502"/>
      <c r="P73" s="3"/>
      <c r="Q73" s="1502"/>
      <c r="R73" s="1502"/>
      <c r="S73" s="1502"/>
      <c r="T73" s="3"/>
      <c r="U73" s="1502"/>
      <c r="V73" s="1502"/>
      <c r="W73" s="1502"/>
    </row>
    <row r="74" spans="2:25" ht="6" customHeight="1" x14ac:dyDescent="0.3">
      <c r="B74" s="34"/>
      <c r="C74" s="34"/>
      <c r="D74" s="34"/>
      <c r="E74" s="34"/>
      <c r="F74" s="34"/>
      <c r="G74" s="34"/>
      <c r="H74" s="34"/>
      <c r="I74" s="34"/>
      <c r="J74" s="34"/>
      <c r="K74" s="34"/>
      <c r="L74" s="34"/>
      <c r="M74" s="34"/>
      <c r="N74" s="34"/>
      <c r="O74" s="34"/>
      <c r="P74" s="34"/>
      <c r="Q74" s="34"/>
      <c r="R74" s="34"/>
      <c r="S74" s="34"/>
      <c r="T74" s="34"/>
      <c r="U74" s="34"/>
      <c r="V74" s="34"/>
      <c r="W74" s="34"/>
      <c r="X74" s="34"/>
    </row>
    <row r="75" spans="2:25" s="74" customFormat="1" ht="15.75" customHeight="1" x14ac:dyDescent="0.3">
      <c r="B75" s="1521" t="s">
        <v>1349</v>
      </c>
      <c r="C75" s="1521"/>
      <c r="D75" s="99"/>
      <c r="E75" s="99"/>
      <c r="F75" s="99"/>
      <c r="G75" s="99"/>
      <c r="H75" s="99"/>
      <c r="I75" s="99"/>
      <c r="J75" s="47">
        <f>IF(U103=TRUE,0,M77)</f>
        <v>0</v>
      </c>
      <c r="K75" s="99"/>
      <c r="L75" s="99"/>
      <c r="M75" s="1937">
        <f>M51+M53+M55+M57+M59+M61+M63+M65+M67+M69+M71+M73</f>
        <v>0</v>
      </c>
      <c r="N75" s="1937"/>
      <c r="O75" s="1937"/>
      <c r="P75" s="99"/>
      <c r="Q75" s="1937">
        <f>Q51+Q53+Q55+Q57+Q59+Q61+Q63+Q65+Q67+Q69+Q71+Q73</f>
        <v>0</v>
      </c>
      <c r="R75" s="1937"/>
      <c r="S75" s="1937"/>
      <c r="T75" s="99"/>
      <c r="U75" s="1937">
        <f>U51+U53+U55+U57+U59+U61+U63+U65+U67+U69+U71+U73</f>
        <v>0</v>
      </c>
      <c r="V75" s="1937"/>
      <c r="W75" s="1937"/>
      <c r="X75" s="99"/>
    </row>
    <row r="76" spans="2:25" s="74" customFormat="1" ht="14.4" customHeight="1" x14ac:dyDescent="0.3">
      <c r="B76" s="1940" t="s">
        <v>1350</v>
      </c>
      <c r="C76" s="1940"/>
      <c r="D76" s="1940"/>
      <c r="E76" s="1940"/>
      <c r="F76" s="1940"/>
      <c r="G76" s="1940"/>
      <c r="H76" s="1128"/>
      <c r="I76" s="1128"/>
      <c r="J76" s="47">
        <f>IF(U104=TRUE,0,Q77)</f>
        <v>0</v>
      </c>
      <c r="K76" s="1939">
        <f>S33</f>
        <v>0</v>
      </c>
      <c r="L76" s="1939"/>
      <c r="M76" s="1938">
        <f>(K76*M75)*-1</f>
        <v>0</v>
      </c>
      <c r="N76" s="1938"/>
      <c r="O76" s="1938"/>
      <c r="P76" s="99"/>
      <c r="Q76" s="1938">
        <f>(K76*Q75)*-1</f>
        <v>0</v>
      </c>
      <c r="R76" s="1938"/>
      <c r="S76" s="1938"/>
      <c r="T76" s="99"/>
      <c r="U76" s="1938">
        <f>(K76*U75)*-1</f>
        <v>0</v>
      </c>
      <c r="V76" s="1938"/>
      <c r="W76" s="1938"/>
      <c r="X76" s="99"/>
    </row>
    <row r="77" spans="2:25" s="74" customFormat="1" ht="16.8" customHeight="1" x14ac:dyDescent="0.3">
      <c r="B77" s="1521" t="s">
        <v>98</v>
      </c>
      <c r="C77" s="1521"/>
      <c r="D77" s="99"/>
      <c r="E77" s="99"/>
      <c r="F77" s="99"/>
      <c r="G77" s="99"/>
      <c r="H77" s="99"/>
      <c r="I77" s="99"/>
      <c r="J77" s="47">
        <f>IF(U105=TRUE,0,U77)</f>
        <v>0</v>
      </c>
      <c r="K77" s="99"/>
      <c r="L77" s="99"/>
      <c r="M77" s="1937">
        <f>M75+M76</f>
        <v>0</v>
      </c>
      <c r="N77" s="1937"/>
      <c r="O77" s="1937"/>
      <c r="P77" s="99"/>
      <c r="Q77" s="1937">
        <f>Q75+Q76</f>
        <v>0</v>
      </c>
      <c r="R77" s="1937"/>
      <c r="S77" s="1937"/>
      <c r="T77" s="99"/>
      <c r="U77" s="1937">
        <f>U75+U76</f>
        <v>0</v>
      </c>
      <c r="V77" s="1937"/>
      <c r="W77" s="1937"/>
      <c r="X77" s="99"/>
    </row>
    <row r="78" spans="2:25" s="421" customFormat="1" ht="4.8" customHeight="1" x14ac:dyDescent="0.3">
      <c r="B78" s="428"/>
      <c r="C78" s="428"/>
      <c r="D78" s="428"/>
      <c r="E78" s="428"/>
      <c r="F78" s="428"/>
      <c r="G78" s="428"/>
      <c r="H78" s="428"/>
      <c r="I78" s="1519" t="s">
        <v>814</v>
      </c>
      <c r="J78" s="1519"/>
      <c r="K78" s="1519"/>
      <c r="L78" s="1519"/>
      <c r="M78" s="1520">
        <f>IF(AND(N49&lt;12,N49&lt;&gt;""),(M77/N49)*12,M77)</f>
        <v>0</v>
      </c>
      <c r="N78" s="1520"/>
      <c r="O78" s="1520"/>
      <c r="P78" s="518"/>
      <c r="Q78" s="1520">
        <f>IF(AND(R49&lt;12,R49&lt;&gt;""),(Q77/R49)*12,Q77)</f>
        <v>0</v>
      </c>
      <c r="R78" s="1520"/>
      <c r="S78" s="1520"/>
      <c r="T78" s="518"/>
      <c r="U78" s="1520">
        <f>IF(AND(V49&lt;12,V49&lt;&gt;""),(U77/V49)*12,U77)</f>
        <v>0</v>
      </c>
      <c r="V78" s="1520"/>
      <c r="W78" s="1520"/>
      <c r="X78" s="428"/>
    </row>
    <row r="79" spans="2:25" ht="9" customHeight="1" x14ac:dyDescent="0.3">
      <c r="B79" s="34"/>
      <c r="C79" s="1527" t="s">
        <v>104</v>
      </c>
      <c r="D79" s="1527"/>
      <c r="E79" s="1527"/>
      <c r="F79" s="1527"/>
      <c r="G79" s="1527"/>
      <c r="H79" s="1527"/>
      <c r="I79" s="1527"/>
      <c r="J79" s="1527"/>
      <c r="K79" s="1527"/>
      <c r="L79" s="1527"/>
      <c r="M79" s="1934" t="s">
        <v>1351</v>
      </c>
      <c r="N79" s="1934"/>
      <c r="O79" s="1934"/>
      <c r="P79" s="1119"/>
      <c r="Q79" s="1934" t="s">
        <v>1351</v>
      </c>
      <c r="R79" s="1934"/>
      <c r="S79" s="1934"/>
      <c r="T79" s="1120"/>
      <c r="U79" s="1118" t="s">
        <v>1351</v>
      </c>
      <c r="V79" s="1120"/>
      <c r="W79" s="1120"/>
      <c r="X79" s="539"/>
      <c r="Y79" s="539"/>
    </row>
    <row r="80" spans="2:25" ht="9" customHeight="1" x14ac:dyDescent="0.3">
      <c r="B80" s="34"/>
      <c r="C80" s="1527"/>
      <c r="D80" s="1527"/>
      <c r="E80" s="1527"/>
      <c r="F80" s="1527"/>
      <c r="G80" s="1527"/>
      <c r="H80" s="1527"/>
      <c r="I80" s="1527"/>
      <c r="J80" s="1527"/>
      <c r="K80" s="1527"/>
      <c r="L80" s="1527"/>
      <c r="M80" s="1935" t="str">
        <f>CONCATENATE(M44)</f>
        <v>2026</v>
      </c>
      <c r="N80" s="1935"/>
      <c r="O80" s="1935"/>
      <c r="P80" s="1119"/>
      <c r="Q80" s="1935" t="str">
        <f>CONCATENATE(Q44)</f>
        <v>2025</v>
      </c>
      <c r="R80" s="1935"/>
      <c r="S80" s="1935"/>
      <c r="T80" s="1120"/>
      <c r="U80" s="1121" t="str">
        <f>CONCATENATE(U44)</f>
        <v>2024</v>
      </c>
      <c r="V80" s="1122"/>
      <c r="W80" s="1122"/>
      <c r="X80" s="539"/>
      <c r="Y80" s="539"/>
    </row>
    <row r="81" spans="2:25" ht="5.4" customHeight="1" x14ac:dyDescent="0.3">
      <c r="B81" s="34"/>
      <c r="C81" s="539"/>
      <c r="D81" s="539"/>
      <c r="E81" s="539"/>
      <c r="F81" s="539"/>
      <c r="G81" s="539"/>
      <c r="H81" s="539"/>
      <c r="I81" s="539"/>
      <c r="J81" s="539"/>
      <c r="K81" s="539"/>
      <c r="L81" s="539"/>
      <c r="M81" s="540"/>
      <c r="N81" s="540"/>
      <c r="O81" s="540"/>
      <c r="P81" s="34"/>
      <c r="Q81" s="540"/>
      <c r="R81" s="540"/>
      <c r="S81" s="540"/>
      <c r="T81" s="539"/>
      <c r="U81" s="540"/>
      <c r="V81" s="540"/>
      <c r="W81" s="540"/>
      <c r="X81" s="539"/>
      <c r="Y81" s="539"/>
    </row>
    <row r="82" spans="2:25" ht="36" customHeight="1" x14ac:dyDescent="0.3">
      <c r="B82" s="34"/>
      <c r="C82" s="34"/>
      <c r="D82" s="34"/>
      <c r="E82" s="34"/>
      <c r="F82" s="46" t="str">
        <f>IF(OR(AND(S16=Q44,S49&lt;12),AND(S16=U44,W49&lt;12),AND(S16=U44,W49=12,S49&lt;12,M75&gt;0),AND(S16=Q44,ROUNDUP(Q75,0)&gt;S31),AND(S16=U44,ROUNDUP(U75,0)&gt;S31)),"Error","")</f>
        <v/>
      </c>
      <c r="G82" s="1855" t="str">
        <f>IF(AND(S16=Q44,S49&lt;12),CONCATENATE("Error: Most recent tax year (",S16,") indicated in Step 1 has dates totaling less than 12 months entered in Step 2.
12 months receipt on most recent returns required to proceed."),
IF(AND(S16=U44,W49&lt;12),CONCATENATE("Error: Most recent tax year (",S16,") indicated in Step 1 has dates totaling less than 12 months entered in Step 2.
12 months receipt on most recent returns required to proceed."),
IF(AND(S16=U44,W49=12,S49&lt;12,M75&gt;0),CONCATENATE("Error: ",Q44," should be a full 12 months when most recent tax year is ",S16," and YTD from ",(M44)," is being entered"),
IF(AND(S16=Q44,ROUNDUP(Q75,0)&gt;S31),CONCATENATE("Error: Total 1099 income entered for ",Q44," in Step 2 is 
greater than 'Gross Receipts/Sales' entered from the
",S16," schedule C entered in Step 1."),
IF(AND(S16=U44,ROUNDUP(U75,0)&gt;S31),CONCATENATE("Error: Total 1099 income entered for ",U44," in Step 2 is 
greater than 'Gross Receipts/Sales' entered from the
",S16," schedule C entered in Step 1."),
IF(OR(P50=1,T50=1,X50=1),"Error with dates above",
IF(AND(U87&gt;Q87,U105=FALSE),CONCATENATE("Caution: Decline in income indicated from ",U44," to ",Q44,"; ",U44," should either be excluded from the calculation, or justification is required in the notes."),
IF(AND(M87&gt;0,Q87&gt;M87),CONCATENATE("Caution: Decline in income indicated from ",Q44," to ",M44,"; When the income is declining YTD from prior year(s) the income should either be omitted, or justification is required in the notes."),
IF(AND(G86&lt;&gt;J84,J84&lt;&gt;"",G86&lt;&gt;0),"Caution, Number of Months entered does not match 
number of months calculated based on Dates Entered.
Correct or explain/justify in notes.","")))))))))</f>
        <v/>
      </c>
      <c r="H82" s="1855"/>
      <c r="I82" s="1855"/>
      <c r="J82" s="1855"/>
      <c r="K82" s="1855"/>
      <c r="L82" s="1855"/>
      <c r="M82" s="1855"/>
      <c r="N82" s="1855"/>
      <c r="O82" s="1855"/>
      <c r="P82" s="34"/>
      <c r="Q82" s="1513" t="s">
        <v>992</v>
      </c>
      <c r="R82" s="1513"/>
      <c r="S82" s="1513"/>
      <c r="T82" s="1513"/>
      <c r="U82" s="1513"/>
      <c r="V82" s="1513"/>
      <c r="W82" s="1513"/>
      <c r="X82" s="34"/>
    </row>
    <row r="83" spans="2:25" ht="6.6" customHeight="1" x14ac:dyDescent="0.3">
      <c r="B83" s="34"/>
      <c r="C83" s="34"/>
      <c r="D83" s="34"/>
      <c r="E83" s="34"/>
      <c r="F83" s="34"/>
      <c r="G83" s="1115"/>
      <c r="H83" s="1115"/>
      <c r="I83" s="1115"/>
      <c r="J83" s="1115"/>
      <c r="K83" s="1115"/>
      <c r="L83" s="1115"/>
      <c r="M83" s="1115"/>
      <c r="N83" s="1115"/>
      <c r="O83" s="1115"/>
      <c r="P83" s="34"/>
      <c r="Q83" s="611"/>
      <c r="R83" s="611"/>
      <c r="S83" s="611"/>
      <c r="T83" s="611"/>
      <c r="U83" s="611"/>
      <c r="V83" s="611"/>
      <c r="W83" s="611"/>
      <c r="X83" s="34"/>
    </row>
    <row r="84" spans="2:25" ht="18.600000000000001" customHeight="1" thickBot="1" x14ac:dyDescent="0.5">
      <c r="B84" s="34"/>
      <c r="C84" s="51" t="s">
        <v>102</v>
      </c>
      <c r="D84" s="1531">
        <f>J75+J76+J77</f>
        <v>0</v>
      </c>
      <c r="E84" s="1531"/>
      <c r="F84" s="1531"/>
      <c r="G84" s="1476" t="s">
        <v>101</v>
      </c>
      <c r="H84" s="1476"/>
      <c r="I84" s="1476"/>
      <c r="J84" s="1532"/>
      <c r="K84" s="1532"/>
      <c r="L84" s="1936" t="s">
        <v>1353</v>
      </c>
      <c r="M84" s="1936"/>
      <c r="N84" s="1936"/>
      <c r="O84" s="1936"/>
      <c r="P84" s="1933">
        <f>IF(O10&lt;&gt;"",0,IF(E1&lt;&gt;"",0,IF(AND(S31&gt;0,W103=FALSE),0,IF(AND(S31&gt;0,W104=FALSE),0,IF(OR(AND(S17=0,S31&gt;0,S33&lt;=0.05,F82&lt;&gt;"Error",J84&gt;0),
AND(S17=0,S31&gt;0,S33&gt;0.05,S33&lt;=0.07,M40="Non-Self Employment",F82&lt;&gt;"Error",J84&gt;0)),D84/J84,0)))))</f>
        <v>0</v>
      </c>
      <c r="Q84" s="1933"/>
      <c r="R84" s="1933"/>
      <c r="S84" s="1933"/>
      <c r="T84" s="1476" t="s">
        <v>99</v>
      </c>
      <c r="U84" s="1476"/>
      <c r="V84" s="1476"/>
      <c r="W84" s="1476"/>
      <c r="X84" s="34"/>
    </row>
    <row r="85" spans="2:25" ht="27" customHeight="1" thickTop="1" thickBot="1" x14ac:dyDescent="0.35">
      <c r="B85" s="34"/>
      <c r="C85" s="34"/>
      <c r="D85" s="10"/>
      <c r="E85" s="10"/>
      <c r="F85" s="10"/>
      <c r="G85" s="10"/>
      <c r="H85" s="10"/>
      <c r="I85" s="10"/>
      <c r="J85" s="10"/>
      <c r="K85" s="10"/>
      <c r="L85" s="10"/>
      <c r="M85" s="10"/>
      <c r="N85" s="2"/>
      <c r="O85" s="2"/>
      <c r="P85" s="2"/>
      <c r="Q85" s="2"/>
      <c r="R85" s="2"/>
      <c r="S85" s="2"/>
      <c r="T85" s="2"/>
      <c r="U85" s="1127">
        <f>IF(W105=TRUE,0,P84)</f>
        <v>0</v>
      </c>
      <c r="V85" s="72"/>
      <c r="W85" s="72"/>
    </row>
    <row r="86" spans="2:25" ht="15.6" customHeight="1" x14ac:dyDescent="0.3">
      <c r="B86" s="34"/>
      <c r="C86" s="34"/>
      <c r="D86" s="1539" t="s">
        <v>894</v>
      </c>
      <c r="E86" s="1539"/>
      <c r="F86" s="1540" t="s">
        <v>179</v>
      </c>
      <c r="G86" s="1541">
        <f>IF(OR(P50=1,T50=1,X50=1),0,ROUND(P49+T49+X49,2))</f>
        <v>0</v>
      </c>
      <c r="H86" s="1542"/>
      <c r="I86" s="1543" t="s">
        <v>815</v>
      </c>
      <c r="J86" s="1544"/>
      <c r="K86" s="1544"/>
      <c r="L86" s="1544"/>
      <c r="M86" s="1533">
        <f>M44</f>
        <v>2026</v>
      </c>
      <c r="N86" s="1534"/>
      <c r="O86" s="1534"/>
      <c r="P86" s="519"/>
      <c r="Q86" s="1533">
        <f>Q44</f>
        <v>2025</v>
      </c>
      <c r="R86" s="1534"/>
      <c r="S86" s="1534"/>
      <c r="T86" s="520"/>
      <c r="U86" s="1533">
        <f>U44</f>
        <v>2024</v>
      </c>
      <c r="V86" s="1534"/>
      <c r="W86" s="1536"/>
    </row>
    <row r="87" spans="2:25" ht="15.6" customHeight="1" thickBot="1" x14ac:dyDescent="0.35">
      <c r="B87" s="34"/>
      <c r="C87" s="34"/>
      <c r="D87" s="1539"/>
      <c r="E87" s="1539"/>
      <c r="F87" s="1540"/>
      <c r="G87" s="1541"/>
      <c r="H87" s="1542"/>
      <c r="I87" s="1545"/>
      <c r="J87" s="1546"/>
      <c r="K87" s="1546"/>
      <c r="L87" s="1546"/>
      <c r="M87" s="1537">
        <f>M78</f>
        <v>0</v>
      </c>
      <c r="N87" s="1537"/>
      <c r="O87" s="1537"/>
      <c r="P87" s="521"/>
      <c r="Q87" s="1537">
        <f>Q78</f>
        <v>0</v>
      </c>
      <c r="R87" s="1537"/>
      <c r="S87" s="1537"/>
      <c r="T87" s="522"/>
      <c r="U87" s="1537">
        <f>U78</f>
        <v>0</v>
      </c>
      <c r="V87" s="1537"/>
      <c r="W87" s="1538"/>
    </row>
    <row r="88" spans="2:25" ht="10.8" customHeight="1" x14ac:dyDescent="0.3">
      <c r="B88" s="34"/>
      <c r="C88" s="34"/>
      <c r="D88" s="114"/>
      <c r="E88" s="511"/>
      <c r="F88" s="165"/>
      <c r="G88" s="511"/>
      <c r="H88" s="511"/>
      <c r="I88" s="512"/>
      <c r="J88" s="515"/>
      <c r="K88" s="515"/>
      <c r="L88" s="515"/>
      <c r="N88" s="2"/>
      <c r="O88" s="2"/>
      <c r="P88" s="2"/>
      <c r="Q88" s="2"/>
      <c r="R88" s="2"/>
      <c r="S88" s="2"/>
      <c r="T88" s="2"/>
      <c r="U88" s="72"/>
      <c r="V88" s="72"/>
      <c r="W88" s="72"/>
    </row>
    <row r="89" spans="2:25" ht="12" customHeight="1" x14ac:dyDescent="0.3">
      <c r="B89" s="34"/>
      <c r="D89" s="1523" t="str">
        <f>IF(AND(U75&lt;&gt;0,Q75&lt;&gt;0),CONCATENATE(U44," - ",Q44, ":"),"")</f>
        <v/>
      </c>
      <c r="E89" s="1523"/>
      <c r="F89" s="1523"/>
      <c r="G89" s="1523"/>
      <c r="H89" s="1524" t="str">
        <f>IF(AND(Q87&lt;&gt;0,U87&lt;&gt;0,U87&gt;Q87),CONCATENATE(ROUND(((U87-Q87)/U87)*100,2),"%"," Decline from ",U86," to ",Q86),
IF(AND(Q87&lt;&gt;0,U87&lt;&gt;0,U87&lt;Q87),CONCATENATE(ROUND(((Q87-U87)/U87)*100,2),"%"," Increase from ",U86," to ",Q86),
IF(AND(Q87&lt;&gt;0,U87&lt;&gt;0,U87=Q87),"No Change",
"")))</f>
        <v/>
      </c>
      <c r="I89" s="1524"/>
      <c r="J89" s="1524"/>
      <c r="K89" s="1524"/>
      <c r="L89" s="1524"/>
      <c r="M89" s="1524"/>
      <c r="N89" s="1524"/>
      <c r="O89" s="1524"/>
      <c r="P89" s="1524"/>
      <c r="Q89" s="1524"/>
      <c r="R89" s="1524"/>
      <c r="S89" s="1524"/>
      <c r="T89" s="1524"/>
      <c r="U89" s="524"/>
      <c r="V89" s="524"/>
      <c r="W89" s="524"/>
    </row>
    <row r="90" spans="2:25" ht="12" customHeight="1" x14ac:dyDescent="0.3">
      <c r="B90" s="34"/>
      <c r="C90" s="523"/>
      <c r="D90" s="1523"/>
      <c r="E90" s="1523"/>
      <c r="F90" s="1523"/>
      <c r="G90" s="1523"/>
      <c r="H90" s="1524"/>
      <c r="I90" s="1524"/>
      <c r="J90" s="1524"/>
      <c r="K90" s="1524"/>
      <c r="L90" s="1524"/>
      <c r="M90" s="1524"/>
      <c r="N90" s="1524"/>
      <c r="O90" s="1524"/>
      <c r="P90" s="1524"/>
      <c r="Q90" s="1524"/>
      <c r="R90" s="1524"/>
      <c r="S90" s="1524"/>
      <c r="T90" s="1524"/>
      <c r="U90" s="524"/>
      <c r="V90" s="524"/>
      <c r="W90" s="524"/>
    </row>
    <row r="91" spans="2:25" ht="12" customHeight="1" x14ac:dyDescent="0.3">
      <c r="B91" s="34"/>
      <c r="D91" s="1523" t="str">
        <f>CONCATENATE(Q44," - ",M44,":")</f>
        <v>2025 - 2026:</v>
      </c>
      <c r="E91" s="1523"/>
      <c r="F91" s="1523"/>
      <c r="G91" s="1523"/>
      <c r="H91" s="1524" t="str">
        <f>IF(AND(M87&lt;&gt;0,Q87&lt;&gt;0,Q87&gt;M87),CONCATENATE(ROUND(((Q87-M87)/Q87)*100,2),"%"," Decline from ",Q86," to ",M86),
IF(AND(M87&lt;&gt;0,Q87&lt;&gt;0,Q87&lt;M87),CONCATENATE(ROUND(((M87-Q87)/Q87)*100,2),"%"," Increase from ",Q86," to ",M86),
IF(AND(M87&lt;&gt;0,Q87&lt;&gt;0,Q87=M87),"No Change",
"")))</f>
        <v/>
      </c>
      <c r="I91" s="1524"/>
      <c r="J91" s="1524"/>
      <c r="K91" s="1524"/>
      <c r="L91" s="1524"/>
      <c r="M91" s="1524"/>
      <c r="N91" s="1524"/>
      <c r="O91" s="1524"/>
      <c r="P91" s="1524"/>
      <c r="Q91" s="1524"/>
      <c r="R91" s="1524"/>
      <c r="S91" s="1524"/>
      <c r="T91" s="1524"/>
      <c r="U91" s="524"/>
      <c r="V91" s="524"/>
      <c r="W91" s="524"/>
      <c r="X91" s="1525"/>
    </row>
    <row r="92" spans="2:25" ht="12" customHeight="1" x14ac:dyDescent="0.3">
      <c r="B92" s="34"/>
      <c r="C92" s="523"/>
      <c r="D92" s="1523"/>
      <c r="E92" s="1523"/>
      <c r="F92" s="1523"/>
      <c r="G92" s="1523"/>
      <c r="H92" s="1524"/>
      <c r="I92" s="1524"/>
      <c r="J92" s="1524"/>
      <c r="K92" s="1524"/>
      <c r="L92" s="1524"/>
      <c r="M92" s="1524"/>
      <c r="N92" s="1524"/>
      <c r="O92" s="1524"/>
      <c r="P92" s="1524"/>
      <c r="Q92" s="1524"/>
      <c r="R92" s="1524"/>
      <c r="S92" s="1524"/>
      <c r="T92" s="1524"/>
      <c r="U92" s="524"/>
      <c r="V92" s="524"/>
      <c r="W92" s="524"/>
      <c r="X92" s="1525"/>
    </row>
    <row r="93" spans="2:25" ht="15.6" customHeight="1" x14ac:dyDescent="0.3">
      <c r="B93" s="34"/>
      <c r="C93" s="1526" t="s">
        <v>1019</v>
      </c>
      <c r="D93" s="1526"/>
      <c r="E93" s="1526"/>
      <c r="F93" s="1526"/>
      <c r="G93" s="1526"/>
      <c r="H93" s="1526"/>
      <c r="I93" s="1526"/>
      <c r="J93" s="1526"/>
      <c r="K93" s="1526"/>
      <c r="L93" s="1526"/>
      <c r="M93" s="1526"/>
      <c r="N93" s="1526"/>
      <c r="O93" s="1526"/>
      <c r="P93" s="1526"/>
      <c r="Q93" s="1526"/>
      <c r="R93" s="1526"/>
      <c r="S93" s="1526"/>
      <c r="T93" s="1526"/>
      <c r="U93" s="1526"/>
      <c r="V93" s="1526"/>
      <c r="W93" s="1526"/>
    </row>
    <row r="94" spans="2:25" ht="6.6" customHeight="1" x14ac:dyDescent="0.3">
      <c r="B94" s="34"/>
      <c r="C94" s="34"/>
      <c r="D94" s="10"/>
      <c r="E94" s="10"/>
      <c r="F94" s="10"/>
      <c r="G94" s="10"/>
      <c r="H94" s="10"/>
      <c r="I94" s="10"/>
      <c r="J94" s="10"/>
      <c r="K94" s="10"/>
      <c r="L94" s="10"/>
      <c r="M94" s="10"/>
      <c r="N94" s="2"/>
      <c r="O94" s="2"/>
      <c r="P94" s="2"/>
      <c r="Q94" s="2"/>
      <c r="R94" s="2"/>
      <c r="S94" s="2"/>
      <c r="T94" s="2"/>
      <c r="U94" s="2"/>
      <c r="V94" s="2"/>
      <c r="W94" s="2"/>
    </row>
    <row r="95" spans="2:25" ht="10.8" customHeight="1" x14ac:dyDescent="0.3">
      <c r="B95" s="34"/>
      <c r="C95" s="34"/>
      <c r="D95" s="10"/>
      <c r="E95" s="10"/>
      <c r="F95" s="10"/>
      <c r="G95" s="1535" t="s">
        <v>977</v>
      </c>
      <c r="H95" s="1535"/>
      <c r="I95" s="1535"/>
      <c r="J95" s="1535"/>
      <c r="K95" s="1535"/>
      <c r="L95" s="1535"/>
      <c r="M95" s="1535"/>
      <c r="N95" s="1535"/>
      <c r="O95" s="1535"/>
      <c r="P95" s="1535"/>
      <c r="Q95" s="1535"/>
      <c r="R95" s="2"/>
      <c r="S95" s="2"/>
      <c r="T95" s="2"/>
      <c r="U95" s="2"/>
      <c r="V95" s="2"/>
      <c r="W95" s="2"/>
    </row>
    <row r="96" spans="2:25" ht="10.8" customHeight="1" x14ac:dyDescent="0.3">
      <c r="B96" s="34"/>
      <c r="C96" s="34"/>
      <c r="D96" s="10"/>
      <c r="E96" s="10"/>
      <c r="F96" s="10"/>
      <c r="G96" s="1535"/>
      <c r="H96" s="1535"/>
      <c r="I96" s="1535"/>
      <c r="J96" s="1535"/>
      <c r="K96" s="1535"/>
      <c r="L96" s="1535"/>
      <c r="M96" s="1535"/>
      <c r="N96" s="1535"/>
      <c r="O96" s="1535"/>
      <c r="P96" s="1535"/>
      <c r="Q96" s="1535"/>
      <c r="R96" s="2"/>
      <c r="S96" s="2"/>
      <c r="T96" s="2"/>
      <c r="U96" s="2"/>
      <c r="V96" s="2"/>
      <c r="W96" s="2"/>
    </row>
    <row r="97" spans="1:25" ht="15.6" customHeight="1" x14ac:dyDescent="0.3">
      <c r="B97" s="34"/>
      <c r="C97" s="34"/>
      <c r="D97" s="10"/>
      <c r="E97" s="10"/>
      <c r="F97" s="10"/>
      <c r="G97" s="1535"/>
      <c r="H97" s="1535"/>
      <c r="I97" s="1535"/>
      <c r="J97" s="1535"/>
      <c r="K97" s="1535"/>
      <c r="L97" s="1535"/>
      <c r="M97" s="1535"/>
      <c r="N97" s="1535"/>
      <c r="O97" s="1535"/>
      <c r="P97" s="1535"/>
      <c r="Q97" s="1535"/>
      <c r="R97" s="2"/>
      <c r="S97" s="2"/>
      <c r="T97" s="2"/>
      <c r="U97" s="2"/>
      <c r="V97" s="2"/>
      <c r="W97" s="2"/>
    </row>
    <row r="98" spans="1:25" ht="7.2" customHeight="1" x14ac:dyDescent="0.3">
      <c r="B98" s="34"/>
      <c r="C98" s="34"/>
      <c r="D98" s="10"/>
      <c r="E98" s="10"/>
      <c r="F98" s="10"/>
      <c r="G98" s="10"/>
      <c r="H98" s="10"/>
      <c r="I98" s="10"/>
      <c r="J98" s="10"/>
      <c r="K98" s="10"/>
      <c r="L98" s="10"/>
      <c r="M98" s="10"/>
      <c r="N98" s="2"/>
      <c r="O98" s="2"/>
      <c r="P98" s="2"/>
      <c r="Q98" s="2"/>
      <c r="R98" s="2"/>
      <c r="S98" s="2"/>
      <c r="T98" s="2"/>
      <c r="U98" s="2"/>
      <c r="V98" s="2"/>
      <c r="W98" s="2"/>
    </row>
    <row r="99" spans="1:25" ht="15.75" customHeight="1" x14ac:dyDescent="0.3">
      <c r="A99" s="1494" t="s">
        <v>1077</v>
      </c>
      <c r="B99" s="1494"/>
      <c r="C99" s="1494"/>
      <c r="D99" s="1494"/>
      <c r="E99" s="1494"/>
      <c r="F99" s="1494"/>
      <c r="G99" s="1494"/>
      <c r="H99" s="19"/>
      <c r="I99" s="19"/>
      <c r="J99" s="19"/>
      <c r="K99" s="19"/>
      <c r="L99" s="19"/>
      <c r="M99" s="19"/>
      <c r="N99" s="19"/>
      <c r="O99" s="19"/>
      <c r="P99" s="19"/>
      <c r="Q99" s="19"/>
      <c r="R99" s="19"/>
      <c r="S99" s="19"/>
      <c r="T99" s="19"/>
      <c r="U99" s="19"/>
      <c r="V99" s="19"/>
      <c r="W99" s="19"/>
    </row>
    <row r="100" spans="1:25" ht="15.75" customHeight="1" x14ac:dyDescent="0.3">
      <c r="A100" s="1941"/>
      <c r="B100" s="1941"/>
      <c r="C100" s="1941"/>
      <c r="D100" s="1941"/>
      <c r="E100" s="1941"/>
      <c r="F100" s="1941"/>
      <c r="G100" s="1941"/>
      <c r="H100" s="1941"/>
      <c r="I100" s="1941"/>
      <c r="J100" s="1941"/>
      <c r="K100" s="1941"/>
      <c r="L100" s="1941"/>
      <c r="M100" s="1941"/>
      <c r="N100" s="1941"/>
      <c r="O100" s="1941"/>
      <c r="P100" s="1941"/>
      <c r="Q100" s="1941"/>
      <c r="R100" s="1941"/>
      <c r="S100" s="1941"/>
      <c r="T100" s="1941"/>
      <c r="U100" s="1941"/>
      <c r="V100" s="1941"/>
      <c r="W100" s="1941"/>
      <c r="X100" s="1941"/>
      <c r="Y100" s="1941"/>
    </row>
    <row r="101" spans="1:25" ht="15.75" customHeight="1" x14ac:dyDescent="0.3">
      <c r="A101" s="1941"/>
      <c r="B101" s="1941"/>
      <c r="C101" s="1941"/>
      <c r="D101" s="1941"/>
      <c r="E101" s="1941"/>
      <c r="F101" s="1941"/>
      <c r="G101" s="1941"/>
      <c r="H101" s="1941"/>
      <c r="I101" s="1941"/>
      <c r="J101" s="1941"/>
      <c r="K101" s="1941"/>
      <c r="L101" s="1941"/>
      <c r="M101" s="1941"/>
      <c r="N101" s="1941"/>
      <c r="O101" s="1941"/>
      <c r="P101" s="1941"/>
      <c r="Q101" s="1941"/>
      <c r="R101" s="1941"/>
      <c r="S101" s="1941"/>
      <c r="T101" s="1941"/>
      <c r="U101" s="1941"/>
      <c r="V101" s="1941"/>
      <c r="W101" s="1941"/>
      <c r="X101" s="1941"/>
      <c r="Y101" s="1941"/>
    </row>
    <row r="102" spans="1:25" ht="15.6" hidden="1" customHeight="1" x14ac:dyDescent="0.3">
      <c r="A102" s="421"/>
      <c r="B102" s="421"/>
      <c r="C102" s="421"/>
      <c r="D102" s="421"/>
      <c r="E102" s="421"/>
      <c r="F102" s="421"/>
      <c r="G102" s="421"/>
      <c r="H102" s="421"/>
      <c r="I102" s="421"/>
      <c r="J102" s="421"/>
      <c r="K102" s="421"/>
      <c r="L102" s="421"/>
      <c r="M102" s="421"/>
      <c r="N102" s="421"/>
      <c r="O102" s="421"/>
      <c r="P102" s="421"/>
      <c r="Q102" s="421"/>
      <c r="R102" s="421"/>
      <c r="S102" s="421"/>
      <c r="T102" s="421"/>
      <c r="U102" s="421"/>
      <c r="V102" s="421"/>
      <c r="W102" s="421"/>
      <c r="X102" s="421"/>
      <c r="Y102" s="421"/>
    </row>
    <row r="103" spans="1:25" hidden="1" x14ac:dyDescent="0.3">
      <c r="B103" s="778"/>
      <c r="U103" s="1046" t="b">
        <v>0</v>
      </c>
      <c r="V103" s="47"/>
      <c r="W103" s="1046" t="b">
        <v>0</v>
      </c>
    </row>
    <row r="104" spans="1:25" hidden="1" x14ac:dyDescent="0.3">
      <c r="Q104" s="1065" t="str">
        <f>IF(O10&lt;&gt;"","E","")</f>
        <v/>
      </c>
      <c r="U104" s="1046" t="b">
        <v>0</v>
      </c>
      <c r="V104" s="47"/>
      <c r="W104" s="1046" t="b">
        <v>0</v>
      </c>
    </row>
    <row r="105" spans="1:25" ht="15" hidden="1" customHeight="1" x14ac:dyDescent="0.3">
      <c r="U105" s="1046" t="b">
        <v>0</v>
      </c>
      <c r="V105" s="47"/>
      <c r="W105" s="1046" t="b">
        <v>0</v>
      </c>
    </row>
    <row r="106" spans="1:25" ht="9.6" customHeight="1" x14ac:dyDescent="0.3">
      <c r="B106" s="1522" t="str">
        <f ca="1">REPLACE(CELL("filename",B106),1,FIND("]",CELL("filename",B106)),"")</f>
        <v>1099 Non-Self Employed</v>
      </c>
      <c r="C106" s="1522"/>
      <c r="D106" s="1522"/>
      <c r="E106" s="1522"/>
      <c r="R106" s="186"/>
      <c r="S106" s="186"/>
    </row>
    <row r="109" spans="1:25" x14ac:dyDescent="0.3">
      <c r="T109" s="1419" t="str">
        <f>Version</f>
        <v>Version 2026.1</v>
      </c>
      <c r="U109" s="1419"/>
      <c r="V109" s="1419"/>
      <c r="W109" s="1419"/>
      <c r="X109" s="1419"/>
      <c r="Y109" s="1419"/>
    </row>
    <row r="110" spans="1:25" ht="121.8" customHeight="1" x14ac:dyDescent="0.3"/>
  </sheetData>
  <sheetProtection algorithmName="SHA-512" hashValue="5HhbcssKyUDpiCtXui5j+fFM6sfh1yLDLuJPKmeXJeingHRI1ELJObFrlWU27m7VduxhtOn130Rlry/lh1lw2g==" saltValue="N4QwrjYlzfLbwcz4wuD2Rg==" spinCount="100000" sheet="1" objects="1" scenarios="1" selectLockedCells="1"/>
  <mergeCells count="169">
    <mergeCell ref="A44:K44"/>
    <mergeCell ref="M44:O44"/>
    <mergeCell ref="Q44:S44"/>
    <mergeCell ref="U44:W44"/>
    <mergeCell ref="B53:J53"/>
    <mergeCell ref="M53:O53"/>
    <mergeCell ref="Q53:S53"/>
    <mergeCell ref="U53:W53"/>
    <mergeCell ref="B48:J50"/>
    <mergeCell ref="M48:O48"/>
    <mergeCell ref="Q48:S48"/>
    <mergeCell ref="T109:Y109"/>
    <mergeCell ref="A100:Y101"/>
    <mergeCell ref="A99:G99"/>
    <mergeCell ref="G46:L46"/>
    <mergeCell ref="M47:O47"/>
    <mergeCell ref="Q47:S47"/>
    <mergeCell ref="U47:W47"/>
    <mergeCell ref="A45:K45"/>
    <mergeCell ref="M45:O45"/>
    <mergeCell ref="Q45:S45"/>
    <mergeCell ref="U45:W45"/>
    <mergeCell ref="U48:W48"/>
    <mergeCell ref="M50:O50"/>
    <mergeCell ref="Q50:S50"/>
    <mergeCell ref="U50:W50"/>
    <mergeCell ref="B51:J51"/>
    <mergeCell ref="M51:O51"/>
    <mergeCell ref="Q51:S51"/>
    <mergeCell ref="U51:W51"/>
    <mergeCell ref="B55:J55"/>
    <mergeCell ref="M55:O55"/>
    <mergeCell ref="Q55:S55"/>
    <mergeCell ref="U55:W55"/>
    <mergeCell ref="C56:J56"/>
    <mergeCell ref="B57:J57"/>
    <mergeCell ref="M57:O57"/>
    <mergeCell ref="Q57:S57"/>
    <mergeCell ref="U57:W57"/>
    <mergeCell ref="B63:J63"/>
    <mergeCell ref="M63:O63"/>
    <mergeCell ref="Q63:S63"/>
    <mergeCell ref="U63:W63"/>
    <mergeCell ref="B65:J65"/>
    <mergeCell ref="M65:O65"/>
    <mergeCell ref="Q65:S65"/>
    <mergeCell ref="U65:W65"/>
    <mergeCell ref="B59:J59"/>
    <mergeCell ref="M59:O59"/>
    <mergeCell ref="Q59:S59"/>
    <mergeCell ref="U59:W59"/>
    <mergeCell ref="B61:J61"/>
    <mergeCell ref="M61:O61"/>
    <mergeCell ref="Q61:S61"/>
    <mergeCell ref="U61:W61"/>
    <mergeCell ref="B71:J71"/>
    <mergeCell ref="M71:O71"/>
    <mergeCell ref="Q71:S71"/>
    <mergeCell ref="U71:W71"/>
    <mergeCell ref="B73:J73"/>
    <mergeCell ref="M73:O73"/>
    <mergeCell ref="Q73:S73"/>
    <mergeCell ref="U73:W73"/>
    <mergeCell ref="C66:J66"/>
    <mergeCell ref="B67:J67"/>
    <mergeCell ref="M67:O67"/>
    <mergeCell ref="Q67:S67"/>
    <mergeCell ref="U67:W67"/>
    <mergeCell ref="B69:J69"/>
    <mergeCell ref="M69:O69"/>
    <mergeCell ref="Q69:S69"/>
    <mergeCell ref="U69:W69"/>
    <mergeCell ref="B75:C75"/>
    <mergeCell ref="M75:O75"/>
    <mergeCell ref="Q75:S75"/>
    <mergeCell ref="U75:W75"/>
    <mergeCell ref="I78:L78"/>
    <mergeCell ref="M78:O78"/>
    <mergeCell ref="Q78:S78"/>
    <mergeCell ref="U78:W78"/>
    <mergeCell ref="B77:C77"/>
    <mergeCell ref="M77:O77"/>
    <mergeCell ref="Q77:S77"/>
    <mergeCell ref="U77:W77"/>
    <mergeCell ref="M76:O76"/>
    <mergeCell ref="Q76:S76"/>
    <mergeCell ref="U76:W76"/>
    <mergeCell ref="K76:L76"/>
    <mergeCell ref="B76:G76"/>
    <mergeCell ref="J84:K84"/>
    <mergeCell ref="P84:S84"/>
    <mergeCell ref="T84:W84"/>
    <mergeCell ref="C79:L80"/>
    <mergeCell ref="M79:O79"/>
    <mergeCell ref="Q79:S79"/>
    <mergeCell ref="M80:O80"/>
    <mergeCell ref="Q80:S80"/>
    <mergeCell ref="G82:O82"/>
    <mergeCell ref="Q82:W82"/>
    <mergeCell ref="L84:O84"/>
    <mergeCell ref="B106:E106"/>
    <mergeCell ref="O5:Y6"/>
    <mergeCell ref="D91:G92"/>
    <mergeCell ref="H91:T92"/>
    <mergeCell ref="X91:X92"/>
    <mergeCell ref="C93:W93"/>
    <mergeCell ref="G95:Q97"/>
    <mergeCell ref="U86:W86"/>
    <mergeCell ref="M87:O87"/>
    <mergeCell ref="Q87:S87"/>
    <mergeCell ref="U87:W87"/>
    <mergeCell ref="D89:G90"/>
    <mergeCell ref="H89:T90"/>
    <mergeCell ref="D86:E87"/>
    <mergeCell ref="F86:F87"/>
    <mergeCell ref="G86:H87"/>
    <mergeCell ref="I86:L87"/>
    <mergeCell ref="M86:O86"/>
    <mergeCell ref="Q86:S86"/>
    <mergeCell ref="D84:F84"/>
    <mergeCell ref="G84:I84"/>
    <mergeCell ref="C19:G19"/>
    <mergeCell ref="C17:G17"/>
    <mergeCell ref="E40:L40"/>
    <mergeCell ref="G42:R42"/>
    <mergeCell ref="D25:K25"/>
    <mergeCell ref="D26:K26"/>
    <mergeCell ref="D27:Q27"/>
    <mergeCell ref="D20:Q20"/>
    <mergeCell ref="C33:Q33"/>
    <mergeCell ref="S33:U33"/>
    <mergeCell ref="C31:G31"/>
    <mergeCell ref="S31:U31"/>
    <mergeCell ref="S22:U22"/>
    <mergeCell ref="S23:U23"/>
    <mergeCell ref="S24:U24"/>
    <mergeCell ref="S25:U25"/>
    <mergeCell ref="S26:U26"/>
    <mergeCell ref="S27:U27"/>
    <mergeCell ref="S28:U28"/>
    <mergeCell ref="D36:U37"/>
    <mergeCell ref="D38:U38"/>
    <mergeCell ref="M40:R40"/>
    <mergeCell ref="S20:U20"/>
    <mergeCell ref="D21:Q21"/>
    <mergeCell ref="D22:Q22"/>
    <mergeCell ref="D23:Q23"/>
    <mergeCell ref="D24:K24"/>
    <mergeCell ref="A6:B6"/>
    <mergeCell ref="A8:B8"/>
    <mergeCell ref="C6:J6"/>
    <mergeCell ref="C8:J8"/>
    <mergeCell ref="U1:W1"/>
    <mergeCell ref="A10:D10"/>
    <mergeCell ref="O10:U10"/>
    <mergeCell ref="E1:T1"/>
    <mergeCell ref="D35:U35"/>
    <mergeCell ref="C29:Q29"/>
    <mergeCell ref="A2:Z2"/>
    <mergeCell ref="A15:Q15"/>
    <mergeCell ref="S29:U29"/>
    <mergeCell ref="S16:U16"/>
    <mergeCell ref="S17:U17"/>
    <mergeCell ref="S21:U21"/>
    <mergeCell ref="S14:U15"/>
    <mergeCell ref="A3:Y4"/>
    <mergeCell ref="E28:K28"/>
    <mergeCell ref="C11:O11"/>
    <mergeCell ref="C13:O13"/>
  </mergeCells>
  <conditionalFormatting sqref="M48:O48">
    <cfRule type="expression" dxfId="988" priority="59">
      <formula>AND($O$46&lt;$M$46,$O$46&lt;&gt;"")</formula>
    </cfRule>
    <cfRule type="expression" dxfId="987" priority="68">
      <formula>$M$75=0</formula>
    </cfRule>
    <cfRule type="expression" dxfId="986" priority="73">
      <formula>AND($N$49&gt;12,$O$46&lt;&gt;"")</formula>
    </cfRule>
  </conditionalFormatting>
  <conditionalFormatting sqref="Q48:S48">
    <cfRule type="expression" dxfId="985" priority="57">
      <formula>$S$46&lt;$Q$46</formula>
    </cfRule>
    <cfRule type="expression" dxfId="984" priority="70">
      <formula>$Q$75=0</formula>
    </cfRule>
    <cfRule type="expression" dxfId="983" priority="72">
      <formula>AND($R$49&gt;12,$S$46&lt;&gt;"")</formula>
    </cfRule>
  </conditionalFormatting>
  <conditionalFormatting sqref="U48:W48">
    <cfRule type="expression" dxfId="982" priority="56">
      <formula>$W$46&lt;$U$46</formula>
    </cfRule>
    <cfRule type="expression" dxfId="981" priority="69">
      <formula>$U$75=0</formula>
    </cfRule>
    <cfRule type="expression" dxfId="980" priority="71">
      <formula>AND($V$49&gt;12,$W$46&lt;&gt;"")</formula>
    </cfRule>
  </conditionalFormatting>
  <conditionalFormatting sqref="H91">
    <cfRule type="expression" dxfId="979" priority="67">
      <formula>AND($M$87&lt;&gt;0,$Q$87&lt;&gt;0, $M$87&lt;$Q$87)</formula>
    </cfRule>
  </conditionalFormatting>
  <conditionalFormatting sqref="G82:O82">
    <cfRule type="expression" dxfId="978" priority="66">
      <formula>$G$82&lt;&gt;""</formula>
    </cfRule>
  </conditionalFormatting>
  <conditionalFormatting sqref="H89 U89:W90">
    <cfRule type="expression" dxfId="977" priority="65">
      <formula>AND($Q$87&lt;&gt;0,$U$87&lt;&gt;0,$Q$87&lt;$U$87)</formula>
    </cfRule>
  </conditionalFormatting>
  <conditionalFormatting sqref="P84:S84">
    <cfRule type="expression" dxfId="976" priority="64">
      <formula>$W$105=TRUE</formula>
    </cfRule>
  </conditionalFormatting>
  <conditionalFormatting sqref="O46">
    <cfRule type="expression" dxfId="975" priority="58">
      <formula>AND($O$46&lt;$M$46,$O$46&lt;&gt;"")</formula>
    </cfRule>
    <cfRule type="expression" dxfId="974" priority="63">
      <formula>AND($M$75&lt;&gt;0,$O$46="")</formula>
    </cfRule>
  </conditionalFormatting>
  <conditionalFormatting sqref="Q82:W82">
    <cfRule type="expression" dxfId="973" priority="62">
      <formula>OR($U$103=TRUE,$U$104=TRUE,$U$105=TRUE)</formula>
    </cfRule>
  </conditionalFormatting>
  <conditionalFormatting sqref="M44:O44 M45:M46">
    <cfRule type="expression" dxfId="972" priority="55">
      <formula>$K$47&lt;&gt;$M$44</formula>
    </cfRule>
  </conditionalFormatting>
  <conditionalFormatting sqref="Q44:S44 Q45:Q46">
    <cfRule type="expression" dxfId="971" priority="54">
      <formula>$Q$44&lt;&gt;$K$47-1</formula>
    </cfRule>
  </conditionalFormatting>
  <conditionalFormatting sqref="U44:W44 U45:U46">
    <cfRule type="expression" dxfId="970" priority="53">
      <formula>$U$44&lt;&gt;$K$47-2</formula>
    </cfRule>
  </conditionalFormatting>
  <conditionalFormatting sqref="O5:Y6">
    <cfRule type="expression" dxfId="969" priority="50">
      <formula>AND(B106&lt;&gt;"1099 Non-Self Employed",B106&lt;&gt;"1099 Non-Self Employed (2)")</formula>
    </cfRule>
  </conditionalFormatting>
  <conditionalFormatting sqref="S20:S21">
    <cfRule type="expression" dxfId="968" priority="41">
      <formula>$J$17&lt;&gt;0</formula>
    </cfRule>
  </conditionalFormatting>
  <conditionalFormatting sqref="S27">
    <cfRule type="expression" dxfId="967" priority="40">
      <formula>$J$26&lt;&gt;0</formula>
    </cfRule>
  </conditionalFormatting>
  <conditionalFormatting sqref="S17:U17">
    <cfRule type="expression" dxfId="966" priority="19">
      <formula>$S$17&gt;0</formula>
    </cfRule>
  </conditionalFormatting>
  <conditionalFormatting sqref="D36">
    <cfRule type="expression" dxfId="965" priority="2118">
      <formula>$D$36="Expense Rate meets 5% requirement, proceed below."</formula>
    </cfRule>
    <cfRule type="expression" dxfId="964" priority="2119">
      <formula>$D$36&lt;&gt;""</formula>
    </cfRule>
  </conditionalFormatting>
  <conditionalFormatting sqref="D38">
    <cfRule type="expression" dxfId="963" priority="2120">
      <formula>$D$38&lt;&gt;""</formula>
    </cfRule>
  </conditionalFormatting>
  <conditionalFormatting sqref="M40:R40">
    <cfRule type="expression" dxfId="962" priority="14">
      <formula>$E$40=""</formula>
    </cfRule>
  </conditionalFormatting>
  <conditionalFormatting sqref="G42">
    <cfRule type="expression" dxfId="961" priority="13">
      <formula>$G$42&lt;&gt;""</formula>
    </cfRule>
  </conditionalFormatting>
  <conditionalFormatting sqref="G42:R42">
    <cfRule type="expression" dxfId="960" priority="12">
      <formula>$G$42="Proceed below"</formula>
    </cfRule>
  </conditionalFormatting>
  <conditionalFormatting sqref="M77:O77">
    <cfRule type="expression" dxfId="959" priority="11">
      <formula>$U$103=TRUE</formula>
    </cfRule>
  </conditionalFormatting>
  <conditionalFormatting sqref="Q77:S77">
    <cfRule type="expression" dxfId="958" priority="10">
      <formula>$U$104=TRUE</formula>
    </cfRule>
  </conditionalFormatting>
  <conditionalFormatting sqref="U77:W77">
    <cfRule type="expression" dxfId="957" priority="9">
      <formula>$U$105=TRUE</formula>
    </cfRule>
  </conditionalFormatting>
  <conditionalFormatting sqref="G95:Q97">
    <cfRule type="expression" dxfId="956" priority="8">
      <formula>OR(AND($U$87&lt;&gt;0,$Q$87&lt;&gt;0,$Q$87&lt;$U$87),AND($Q$75&lt;&gt;0,$M$75&lt;&gt;0,$M$87&lt;$Q$87))</formula>
    </cfRule>
  </conditionalFormatting>
  <conditionalFormatting sqref="J84:K84">
    <cfRule type="expression" dxfId="955" priority="7">
      <formula>$J$84&lt;&gt;$G$86</formula>
    </cfRule>
  </conditionalFormatting>
  <conditionalFormatting sqref="B11">
    <cfRule type="expression" dxfId="954" priority="6">
      <formula>AND(S31&gt;0,W103=FALSE)</formula>
    </cfRule>
  </conditionalFormatting>
  <conditionalFormatting sqref="B13">
    <cfRule type="expression" dxfId="953" priority="5">
      <formula>AND(S31&gt;0,W104=FALSE)</formula>
    </cfRule>
  </conditionalFormatting>
  <conditionalFormatting sqref="O10:U10">
    <cfRule type="expression" dxfId="952" priority="4">
      <formula>$O$10&lt;&gt;""</formula>
    </cfRule>
  </conditionalFormatting>
  <conditionalFormatting sqref="E1:T1">
    <cfRule type="expression" dxfId="951" priority="3">
      <formula>$E$1&lt;&gt;""</formula>
    </cfRule>
  </conditionalFormatting>
  <conditionalFormatting sqref="Q75:S75">
    <cfRule type="expression" dxfId="950" priority="2">
      <formula>AND(S16=Q44,ROUNDUP(Q75,0)&gt;S31)</formula>
    </cfRule>
  </conditionalFormatting>
  <conditionalFormatting sqref="U75:W75">
    <cfRule type="expression" dxfId="949" priority="1">
      <formula>AND(S16=U44,ROUNDUP(U75,0)&gt;S31)</formula>
    </cfRule>
  </conditionalFormatting>
  <dataValidations disablePrompts="1" count="3">
    <dataValidation type="custom" allowBlank="1" showInputMessage="1" showErrorMessage="1" errorTitle="Incorrect Entry Type" error="A dollar amount should be entered in this field (ex. 25 or 25.50)" sqref="M51:O51 Q51:S51 U51:W51" xr:uid="{DC7B06C2-5EDD-4F8E-803E-5AB550E671DE}">
      <formula1>CELL("format")="C2"</formula1>
    </dataValidation>
    <dataValidation type="decimal" operator="greaterThanOrEqual" allowBlank="1" showInputMessage="1" showErrorMessage="1" errorTitle="Invalid Entry" error="A negative figure cannot be entered in this field.  The worksheet subtracts any amount entered in this field as it is for nonrecurring income that should be backed out of the cash flow. Please see worksheet instruction *" sqref="S20:S21" xr:uid="{E35F0F67-7109-4275-8C5B-F172BE18E6C8}">
      <formula1>0</formula1>
    </dataValidation>
    <dataValidation type="list" allowBlank="1" showInputMessage="1" showErrorMessage="1" sqref="M40:R40" xr:uid="{00F9B34D-796D-4E89-A0EF-9C6601386017}">
      <formula1>"Non-Self Employment,Sole Proprietorship"</formula1>
    </dataValidation>
  </dataValidations>
  <printOptions horizontalCentered="1"/>
  <pageMargins left="0.25" right="0.30092592592592599" top="0.25" bottom="0.25" header="0.3" footer="0.3"/>
  <pageSetup paperSize="5" scale="6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25409" r:id="rId4" name="Check Box 1">
              <controlPr defaultSize="0" autoFill="0" autoLine="0" autoPict="0">
                <anchor moveWithCells="1" sizeWithCells="1">
                  <from>
                    <xdr:col>12</xdr:col>
                    <xdr:colOff>297180</xdr:colOff>
                    <xdr:row>77</xdr:row>
                    <xdr:rowOff>45720</xdr:rowOff>
                  </from>
                  <to>
                    <xdr:col>14</xdr:col>
                    <xdr:colOff>236220</xdr:colOff>
                    <xdr:row>80</xdr:row>
                    <xdr:rowOff>22860</xdr:rowOff>
                  </to>
                </anchor>
              </controlPr>
            </control>
          </mc:Choice>
        </mc:AlternateContent>
        <mc:AlternateContent xmlns:mc="http://schemas.openxmlformats.org/markup-compatibility/2006">
          <mc:Choice Requires="x14">
            <control shapeId="1425410" r:id="rId5" name="Check Box 2">
              <controlPr defaultSize="0" autoFill="0" autoLine="0" autoPict="0">
                <anchor moveWithCells="1" sizeWithCells="1">
                  <from>
                    <xdr:col>16</xdr:col>
                    <xdr:colOff>320040</xdr:colOff>
                    <xdr:row>77</xdr:row>
                    <xdr:rowOff>53340</xdr:rowOff>
                  </from>
                  <to>
                    <xdr:col>18</xdr:col>
                    <xdr:colOff>266700</xdr:colOff>
                    <xdr:row>80</xdr:row>
                    <xdr:rowOff>7620</xdr:rowOff>
                  </to>
                </anchor>
              </controlPr>
            </control>
          </mc:Choice>
        </mc:AlternateContent>
        <mc:AlternateContent xmlns:mc="http://schemas.openxmlformats.org/markup-compatibility/2006">
          <mc:Choice Requires="x14">
            <control shapeId="1425411" r:id="rId6" name="Check Box 3">
              <controlPr defaultSize="0" autoFill="0" autoLine="0" autoPict="0">
                <anchor moveWithCells="1" sizeWithCells="1">
                  <from>
                    <xdr:col>20</xdr:col>
                    <xdr:colOff>312420</xdr:colOff>
                    <xdr:row>77</xdr:row>
                    <xdr:rowOff>45720</xdr:rowOff>
                  </from>
                  <to>
                    <xdr:col>22</xdr:col>
                    <xdr:colOff>327660</xdr:colOff>
                    <xdr:row>80</xdr:row>
                    <xdr:rowOff>30480</xdr:rowOff>
                  </to>
                </anchor>
              </controlPr>
            </control>
          </mc:Choice>
        </mc:AlternateContent>
        <mc:AlternateContent xmlns:mc="http://schemas.openxmlformats.org/markup-compatibility/2006">
          <mc:Choice Requires="x14">
            <control shapeId="1425416" r:id="rId7" name="Check Box 8">
              <controlPr defaultSize="0" autoFill="0" autoLine="0" autoPict="0">
                <anchor moveWithCells="1">
                  <from>
                    <xdr:col>15</xdr:col>
                    <xdr:colOff>83820</xdr:colOff>
                    <xdr:row>83</xdr:row>
                    <xdr:rowOff>182880</xdr:rowOff>
                  </from>
                  <to>
                    <xdr:col>19</xdr:col>
                    <xdr:colOff>0</xdr:colOff>
                    <xdr:row>84</xdr:row>
                    <xdr:rowOff>274320</xdr:rowOff>
                  </to>
                </anchor>
              </controlPr>
            </control>
          </mc:Choice>
        </mc:AlternateContent>
        <mc:AlternateContent xmlns:mc="http://schemas.openxmlformats.org/markup-compatibility/2006">
          <mc:Choice Requires="x14">
            <control shapeId="1425419" r:id="rId8" name="Check Box 11">
              <controlPr defaultSize="0" autoFill="0" autoLine="0" autoPict="0">
                <anchor moveWithCells="1">
                  <from>
                    <xdr:col>1</xdr:col>
                    <xdr:colOff>106680</xdr:colOff>
                    <xdr:row>9</xdr:row>
                    <xdr:rowOff>335280</xdr:rowOff>
                  </from>
                  <to>
                    <xdr:col>1</xdr:col>
                    <xdr:colOff>373380</xdr:colOff>
                    <xdr:row>10</xdr:row>
                    <xdr:rowOff>198120</xdr:rowOff>
                  </to>
                </anchor>
              </controlPr>
            </control>
          </mc:Choice>
        </mc:AlternateContent>
        <mc:AlternateContent xmlns:mc="http://schemas.openxmlformats.org/markup-compatibility/2006">
          <mc:Choice Requires="x14">
            <control shapeId="1425420" r:id="rId9" name="Check Box 12">
              <controlPr defaultSize="0" autoFill="0" autoLine="0" autoPict="0">
                <anchor moveWithCells="1">
                  <from>
                    <xdr:col>1</xdr:col>
                    <xdr:colOff>106680</xdr:colOff>
                    <xdr:row>11</xdr:row>
                    <xdr:rowOff>121920</xdr:rowOff>
                  </from>
                  <to>
                    <xdr:col>1</xdr:col>
                    <xdr:colOff>381000</xdr:colOff>
                    <xdr:row>12</xdr:row>
                    <xdr:rowOff>190500</xdr:rowOff>
                  </to>
                </anchor>
              </controlPr>
            </control>
          </mc:Choice>
        </mc:AlternateContent>
        <mc:AlternateContent xmlns:mc="http://schemas.openxmlformats.org/markup-compatibility/2006">
          <mc:Choice Requires="x14">
            <control shapeId="1425421" r:id="rId10" name="Button 13">
              <controlPr defaultSize="0" print="0" autoFill="0" autoPict="0" macro="[0]!IW_Copy">
                <anchor moveWithCells="1" sizeWithCells="1">
                  <from>
                    <xdr:col>0</xdr:col>
                    <xdr:colOff>487680</xdr:colOff>
                    <xdr:row>0</xdr:row>
                    <xdr:rowOff>7620</xdr:rowOff>
                  </from>
                  <to>
                    <xdr:col>1</xdr:col>
                    <xdr:colOff>251460</xdr:colOff>
                    <xdr:row>1</xdr:row>
                    <xdr:rowOff>114300</xdr:rowOff>
                  </to>
                </anchor>
              </controlPr>
            </control>
          </mc:Choice>
        </mc:AlternateContent>
        <mc:AlternateContent xmlns:mc="http://schemas.openxmlformats.org/markup-compatibility/2006">
          <mc:Choice Requires="x14">
            <control shapeId="1425422" r:id="rId11" name="Button 14">
              <controlPr defaultSize="0" print="0" autoFill="0" autoPict="0" macro="[0]!IW_Home">
                <anchor moveWithCells="1" sizeWithCells="1">
                  <from>
                    <xdr:col>0</xdr:col>
                    <xdr:colOff>0</xdr:colOff>
                    <xdr:row>0</xdr:row>
                    <xdr:rowOff>7620</xdr:rowOff>
                  </from>
                  <to>
                    <xdr:col>0</xdr:col>
                    <xdr:colOff>434340</xdr:colOff>
                    <xdr:row>1</xdr:row>
                    <xdr:rowOff>114300</xdr:rowOff>
                  </to>
                </anchor>
              </controlPr>
            </control>
          </mc:Choice>
        </mc:AlternateContent>
        <mc:AlternateContent xmlns:mc="http://schemas.openxmlformats.org/markup-compatibility/2006">
          <mc:Choice Requires="x14">
            <control shapeId="1425423" r:id="rId12" name="Button 15">
              <controlPr defaultSize="0" print="0" autoFill="0" autoPict="0" macro="[0]!TenNineNine_Clear">
                <anchor moveWithCells="1" sizeWithCells="1">
                  <from>
                    <xdr:col>1</xdr:col>
                    <xdr:colOff>312420</xdr:colOff>
                    <xdr:row>0</xdr:row>
                    <xdr:rowOff>7620</xdr:rowOff>
                  </from>
                  <to>
                    <xdr:col>3</xdr:col>
                    <xdr:colOff>99060</xdr:colOff>
                    <xdr:row>1</xdr:row>
                    <xdr:rowOff>114300</xdr:rowOff>
                  </to>
                </anchor>
              </controlPr>
            </control>
          </mc:Choice>
        </mc:AlternateContent>
        <mc:AlternateContent xmlns:mc="http://schemas.openxmlformats.org/markup-compatibility/2006">
          <mc:Choice Requires="x14">
            <control shapeId="1425424" r:id="rId13" name="Button 16">
              <controlPr defaultSize="0" print="0" autoFill="0" autoPict="0" macro="[0]!TenNineNine_OmidHide">
                <anchor moveWithCells="1" sizeWithCells="1">
                  <from>
                    <xdr:col>0</xdr:col>
                    <xdr:colOff>7620</xdr:colOff>
                    <xdr:row>1</xdr:row>
                    <xdr:rowOff>175260</xdr:rowOff>
                  </from>
                  <to>
                    <xdr:col>1</xdr:col>
                    <xdr:colOff>160020</xdr:colOff>
                    <xdr:row>2</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FFE1FF"/>
    <pageSetUpPr fitToPage="1"/>
  </sheetPr>
  <dimension ref="A1:U81"/>
  <sheetViews>
    <sheetView showGridLines="0" showRowColHeaders="0" showRuler="0" view="pageLayout" zoomScale="90" zoomScaleNormal="90" zoomScalePageLayoutView="90" workbookViewId="0">
      <selection activeCell="B5" sqref="B5:H5"/>
    </sheetView>
  </sheetViews>
  <sheetFormatPr defaultColWidth="9.109375" defaultRowHeight="14.4" x14ac:dyDescent="0.3"/>
  <cols>
    <col min="1" max="1" width="9.6640625" customWidth="1"/>
    <col min="2" max="2" width="6.21875" customWidth="1"/>
    <col min="3" max="3" width="3.44140625" customWidth="1"/>
    <col min="4" max="4" width="9.6640625" customWidth="1"/>
    <col min="5" max="5" width="10" customWidth="1"/>
    <col min="6" max="6" width="9.109375" customWidth="1"/>
    <col min="7" max="7" width="8.77734375" customWidth="1"/>
    <col min="8" max="8" width="6.44140625" customWidth="1"/>
    <col min="9" max="9" width="9.33203125" customWidth="1"/>
    <col min="10" max="10" width="3" customWidth="1"/>
    <col min="11" max="11" width="9.77734375" customWidth="1"/>
    <col min="12" max="12" width="6" customWidth="1"/>
    <col min="13" max="13" width="7.44140625" customWidth="1"/>
    <col min="14" max="14" width="8.109375" customWidth="1"/>
    <col min="15" max="15" width="2" customWidth="1"/>
    <col min="16" max="16" width="7.6640625" customWidth="1"/>
    <col min="17" max="17" width="2.33203125" customWidth="1"/>
    <col min="18" max="18" width="55.33203125" customWidth="1"/>
  </cols>
  <sheetData>
    <row r="1" spans="1:17" x14ac:dyDescent="0.3">
      <c r="N1" s="36">
        <f>'I&amp;D Worksheet'!J8</f>
        <v>0</v>
      </c>
      <c r="O1" s="36"/>
      <c r="P1" s="36" t="str">
        <f>IF(AND(N1="VA",Q74&lt;&gt;TRUE,G37=24,OR(J20&lt;&gt;"",J21&lt;&gt;"",J22&lt;&gt;"",J23&lt;&gt;"",J24&lt;&gt;"",J25&lt;&gt;"",J26&lt;&gt;"",J27&lt;&gt;""),OR(N20&lt;&gt;"",N21&lt;&gt;"",N22&lt;&gt;"",N23&lt;&gt;"",N24&lt;&gt;"",N25&lt;&gt;"",N26&lt;&gt;"",N27&lt;&gt;""),OR(AND(P75=FALSE,F33=24),AND(P75=TRUE,F33=12))),"YES","NO")</f>
        <v>NO</v>
      </c>
    </row>
    <row r="2" spans="1:17" ht="36.75" customHeight="1" x14ac:dyDescent="0.5">
      <c r="B2" s="354"/>
      <c r="C2" s="354"/>
      <c r="D2" s="354"/>
      <c r="F2" s="1321" t="s">
        <v>58</v>
      </c>
      <c r="G2" s="1321"/>
      <c r="H2" s="1321"/>
      <c r="I2" s="1321"/>
      <c r="J2" s="1321"/>
      <c r="K2" s="839"/>
      <c r="L2" s="1969" t="b">
        <f>IF(OR('I&amp;D Worksheet'!O70=3,'I&amp;D Worksheet'!O70=7),"Use the 'Owner Multi-Unit' worksheet to calculate rental income on the subject property",IF('I&amp;D Worksheet'!O70=6,"Use the 'Investment Refinance' worksheet to calculate rental income on the subject property"))</f>
        <v>0</v>
      </c>
      <c r="M2" s="1969"/>
      <c r="N2" s="1969"/>
      <c r="O2" s="1969"/>
      <c r="P2" s="1969"/>
      <c r="Q2" s="1969"/>
    </row>
    <row r="3" spans="1:17" ht="33.6" customHeight="1" x14ac:dyDescent="0.45">
      <c r="B3" s="355"/>
      <c r="C3" s="355"/>
      <c r="D3" s="355"/>
      <c r="F3" s="1970" t="s">
        <v>200</v>
      </c>
      <c r="G3" s="1970"/>
      <c r="H3" s="1970"/>
      <c r="I3" s="1970"/>
      <c r="J3" s="1970"/>
      <c r="K3" s="925"/>
      <c r="L3" s="1978" t="s">
        <v>1236</v>
      </c>
      <c r="M3" s="1978"/>
      <c r="N3" s="1978"/>
      <c r="O3" s="1978"/>
      <c r="P3" s="1978"/>
      <c r="Q3" s="1978"/>
    </row>
    <row r="4" spans="1:17" ht="28.8" customHeight="1" x14ac:dyDescent="0.45">
      <c r="B4" s="355"/>
      <c r="C4" s="355"/>
      <c r="D4" s="355"/>
      <c r="F4" s="925"/>
      <c r="G4" s="925"/>
      <c r="H4" s="925"/>
      <c r="I4" s="925"/>
      <c r="J4" s="1948" t="s">
        <v>1227</v>
      </c>
      <c r="K4" s="1948"/>
      <c r="L4" s="1948"/>
      <c r="M4" s="1948"/>
      <c r="N4" s="1948"/>
      <c r="O4" s="1948"/>
      <c r="P4" s="1948"/>
      <c r="Q4" s="1948"/>
    </row>
    <row r="5" spans="1:17" ht="15" customHeight="1" x14ac:dyDescent="0.45">
      <c r="A5" s="8" t="s">
        <v>0</v>
      </c>
      <c r="B5" s="1979"/>
      <c r="C5" s="1979"/>
      <c r="D5" s="1979"/>
      <c r="E5" s="1979"/>
      <c r="F5" s="1979"/>
      <c r="G5" s="1979"/>
      <c r="H5" s="1979"/>
      <c r="I5" s="132"/>
      <c r="J5" s="1969" t="s">
        <v>1228</v>
      </c>
      <c r="K5" s="1969"/>
      <c r="L5" s="1969"/>
      <c r="M5" s="1969"/>
      <c r="N5" s="1969"/>
      <c r="O5" s="1969"/>
      <c r="P5" s="1969"/>
      <c r="Q5" s="1969"/>
    </row>
    <row r="6" spans="1:17" ht="12" customHeight="1" x14ac:dyDescent="0.3">
      <c r="J6" s="1969"/>
      <c r="K6" s="1969"/>
      <c r="L6" s="1969"/>
      <c r="M6" s="1969"/>
      <c r="N6" s="1969"/>
      <c r="O6" s="1969"/>
      <c r="P6" s="1969"/>
      <c r="Q6" s="1969"/>
    </row>
    <row r="7" spans="1:17" ht="6.6" customHeight="1" thickBot="1" x14ac:dyDescent="0.35">
      <c r="J7" s="840"/>
      <c r="K7" s="840"/>
      <c r="L7" s="840"/>
      <c r="M7" s="840"/>
      <c r="N7" s="840"/>
      <c r="O7" s="840"/>
      <c r="P7" s="840"/>
      <c r="Q7" s="840"/>
    </row>
    <row r="8" spans="1:17" ht="6" customHeight="1" thickTop="1" x14ac:dyDescent="0.3">
      <c r="B8" s="932"/>
      <c r="C8" s="933"/>
      <c r="D8" s="933"/>
      <c r="E8" s="933"/>
      <c r="F8" s="933"/>
      <c r="G8" s="933"/>
      <c r="H8" s="933"/>
      <c r="I8" s="933"/>
      <c r="J8" s="934"/>
      <c r="K8" s="934"/>
      <c r="L8" s="934"/>
      <c r="M8" s="934"/>
      <c r="N8" s="934"/>
      <c r="O8" s="935"/>
      <c r="P8" s="840"/>
      <c r="Q8" s="840"/>
    </row>
    <row r="9" spans="1:17" ht="16.8" customHeight="1" x14ac:dyDescent="0.3">
      <c r="B9" s="1982" t="s">
        <v>1237</v>
      </c>
      <c r="C9" s="1983"/>
      <c r="D9" s="1983"/>
      <c r="E9" s="1983"/>
      <c r="F9" s="1983"/>
      <c r="G9" s="1457" t="s">
        <v>1238</v>
      </c>
      <c r="H9" s="1457"/>
      <c r="I9" s="1457"/>
      <c r="J9" s="1457"/>
      <c r="K9" s="1457"/>
      <c r="L9" s="1457"/>
      <c r="M9" s="1976"/>
      <c r="N9" s="1976"/>
      <c r="O9" s="936"/>
    </row>
    <row r="10" spans="1:17" ht="2.4" customHeight="1" x14ac:dyDescent="0.3">
      <c r="B10" s="937"/>
      <c r="C10" s="938"/>
      <c r="D10" s="938"/>
      <c r="E10" s="938"/>
      <c r="F10" s="56"/>
      <c r="G10" s="532"/>
      <c r="H10" s="532"/>
      <c r="I10" s="532"/>
      <c r="J10" s="532"/>
      <c r="K10" s="532"/>
      <c r="L10" s="157"/>
      <c r="M10" s="157"/>
      <c r="N10" s="156"/>
      <c r="O10" s="939"/>
    </row>
    <row r="11" spans="1:17" ht="15.6" customHeight="1" x14ac:dyDescent="0.3">
      <c r="A11" s="926"/>
      <c r="B11" s="1974" t="str">
        <f>IF(M9="Fannie","2. Borrowers Primary residency type: (select one)","")</f>
        <v/>
      </c>
      <c r="C11" s="1975"/>
      <c r="D11" s="1975"/>
      <c r="E11" s="1975"/>
      <c r="F11" s="1975"/>
      <c r="G11" s="1975"/>
      <c r="H11" s="1980"/>
      <c r="I11" s="1980"/>
      <c r="J11" s="1980"/>
      <c r="M11" s="706"/>
      <c r="N11" s="706"/>
      <c r="O11" s="940"/>
      <c r="P11" s="423"/>
      <c r="Q11" s="423"/>
    </row>
    <row r="12" spans="1:17" ht="2.4" customHeight="1" x14ac:dyDescent="0.3">
      <c r="A12" s="926"/>
      <c r="B12" s="941"/>
      <c r="C12" s="33"/>
      <c r="D12" s="33"/>
      <c r="E12" s="33"/>
      <c r="F12" s="33"/>
      <c r="H12" s="942"/>
      <c r="I12" s="942"/>
      <c r="J12" s="942"/>
      <c r="M12" s="706"/>
      <c r="N12" s="706"/>
      <c r="O12" s="940"/>
      <c r="P12" s="423"/>
      <c r="Q12" s="423"/>
    </row>
    <row r="13" spans="1:17" ht="15.6" customHeight="1" x14ac:dyDescent="0.3">
      <c r="B13" s="1974" t="str">
        <f>IF(M9="Fannie","3. Does the borrower have 1yr property Management Exp?","")</f>
        <v/>
      </c>
      <c r="C13" s="1975"/>
      <c r="D13" s="1975"/>
      <c r="E13" s="1975"/>
      <c r="F13" s="1975"/>
      <c r="G13" s="1975"/>
      <c r="H13" s="1975"/>
      <c r="I13" s="1975"/>
      <c r="J13" s="1977"/>
      <c r="K13" s="1977"/>
      <c r="M13" s="706"/>
      <c r="N13" s="706"/>
      <c r="O13" s="940"/>
      <c r="P13" s="423"/>
      <c r="Q13" s="423"/>
    </row>
    <row r="14" spans="1:17" ht="2.4" customHeight="1" x14ac:dyDescent="0.3">
      <c r="B14" s="943"/>
      <c r="C14" s="56"/>
      <c r="D14" s="56"/>
      <c r="E14" s="56"/>
      <c r="F14" s="56"/>
      <c r="H14" s="33"/>
      <c r="I14" s="417"/>
      <c r="J14" s="417"/>
      <c r="K14" s="417"/>
      <c r="L14" s="706"/>
      <c r="M14" s="706"/>
      <c r="N14" s="706"/>
      <c r="O14" s="940"/>
      <c r="P14" s="423"/>
      <c r="Q14" s="423"/>
    </row>
    <row r="15" spans="1:17" ht="15" customHeight="1" x14ac:dyDescent="0.3">
      <c r="B15" s="1974" t="str">
        <f>IF(AND(M9="Fannie",H11="Rent Free"),"4. Borrower has at least one-year of receiving rental income from this property?","")</f>
        <v/>
      </c>
      <c r="C15" s="1975"/>
      <c r="D15" s="1975"/>
      <c r="E15" s="1975"/>
      <c r="F15" s="1975"/>
      <c r="G15" s="1975"/>
      <c r="H15" s="1975"/>
      <c r="I15" s="1975"/>
      <c r="J15" s="1975"/>
      <c r="K15" s="1975"/>
      <c r="L15" s="1977"/>
      <c r="M15" s="1977"/>
      <c r="N15" s="706"/>
      <c r="O15" s="940"/>
      <c r="P15" s="423"/>
      <c r="Q15" s="423"/>
    </row>
    <row r="16" spans="1:17" ht="30.6" customHeight="1" thickBot="1" x14ac:dyDescent="0.35">
      <c r="A16" s="927"/>
      <c r="B16" s="1971" t="str">
        <f>IF(AND(N1="Conventional",M9="N/A"),"Error: Loan type indicated as Conventional, Fannie or Freddie should be selected",
IF(OR(N1="FHA",N1="VA",N1="USDA"),"",
IF(OR(M9="Freddie",M9="N/A"),"Rental income is not limited on this property, Proceed below",
IF(AND(B9&lt;&gt;"",OR(J28&lt;&gt;0,N28&lt;&gt;0),OR(M9="",H11="",J13="",AND(B15&lt;&gt;"",L15=""))),"Answer required question(s) above",
IF(AND(B9&lt;&gt;"",M9="Fannie",OR(H11="Owns",H11="Rents (with Payment)"),J13="Yes"),"Rental income is not limited on this property, Proceed below",
IF(AND(B9&lt;&gt;"",M9="Fannie",OR(H11="Owns",H11="Rents (with Payment)"),J13="No"),"Rental Income Limited to PITIA; if rent income exceeds the PITIA, the final result (line 15) will be $0.00. Proceed Below",
IF(AND(B9&lt;&gt;"",M9="Fannie",H11="Rent Free",J13="Yes",L15="Yes"),"Rental income is not limited on this property, Proceed below",
IF(AND(B9&lt;&gt;"",M9="Fannie",H11="Rent Free",J13="No",L15="Yes"),"Error: the answer to question 3 cannot be 'No', when the answer to 4 is 'Yes'",
IF(AND(B9&lt;&gt;"",M9="Fannie",H11="Rent Free",J13&lt;&gt;"",L15="No"),"Rental income cannot be used, the full PITIA entered on line(s) 14 below will be duducted 
in additional to any gross rental loss from the schedule E calculation (if applicable), Proceed below",
"")))))))))</f>
        <v/>
      </c>
      <c r="C16" s="1972"/>
      <c r="D16" s="1972"/>
      <c r="E16" s="1972"/>
      <c r="F16" s="1972"/>
      <c r="G16" s="1972"/>
      <c r="H16" s="1972"/>
      <c r="I16" s="1972"/>
      <c r="J16" s="1972"/>
      <c r="K16" s="1972"/>
      <c r="L16" s="1972"/>
      <c r="M16" s="1972"/>
      <c r="N16" s="1972"/>
      <c r="O16" s="1973"/>
      <c r="P16" s="423">
        <f>IF(AND(N1="Conventional",M9="N/A"),0,
IF(OR(M9="Freddie",M9="N/A"),1,
IF(OR(N1="FHA",N1="VA",N1="USDA"),1,
IF(AND(B9&lt;&gt;"",OR(M9="",H11="",J13="",AND(B15&lt;&gt;"",L15=""))),0,
IF(AND(B9&lt;&gt;"",M9="Fannie",OR(H11="Owns",H11="Rents (with Payment)"),J13="Yes"),1,
IF(AND(B9&lt;&gt;"",M9="Fannie",OR(H11="Owns",H11="Rents (with Payment)"),J13="No"),2,
IF(AND(B9&lt;&gt;"",M9="Fannie",H11="Rent Free",J13="Yes",L15="Yes"),1,
IF(AND(B9&lt;&gt;"",M9="Fannie",H11="Rent Free",J13="No",L15="Yes"),0,
IF(AND(B9&lt;&gt;"",M9="Fannie",H11="Rent Free",OR(J13="Yes",J13="No"),L15="No"),3,
"")))))))))</f>
        <v>0</v>
      </c>
      <c r="Q16" s="423"/>
    </row>
    <row r="17" spans="1:17" ht="9.6" customHeight="1" thickTop="1" x14ac:dyDescent="0.3">
      <c r="A17" s="927"/>
      <c r="C17" s="92"/>
      <c r="D17" s="92"/>
      <c r="E17" s="92"/>
      <c r="F17" s="92"/>
      <c r="G17" s="92"/>
      <c r="H17" s="92"/>
      <c r="I17" s="2"/>
      <c r="J17" s="710"/>
      <c r="K17" s="710"/>
      <c r="L17" s="423"/>
      <c r="M17" s="423"/>
      <c r="N17" s="423"/>
      <c r="O17" s="423"/>
      <c r="P17" s="423"/>
      <c r="Q17" s="423"/>
    </row>
    <row r="18" spans="1:17" ht="10.8" customHeight="1" x14ac:dyDescent="0.3">
      <c r="A18" s="1984" t="str">
        <f>IF(Q75=TRUE,"Total Adjusted Annual Rental Income Amount from Vendor wkst", "Schedule E: Page 1")</f>
        <v>Schedule E: Page 1</v>
      </c>
      <c r="B18" s="1984"/>
      <c r="C18" s="1984"/>
      <c r="D18" s="1984"/>
      <c r="E18" s="1984"/>
      <c r="F18" s="1984"/>
      <c r="G18" s="1984"/>
      <c r="H18" s="1984"/>
      <c r="I18" s="1984"/>
      <c r="J18" s="1916">
        <v>2025</v>
      </c>
      <c r="K18" s="1916"/>
      <c r="L18" s="1916"/>
      <c r="M18" s="363"/>
      <c r="N18" s="1986">
        <f>J18-1</f>
        <v>2024</v>
      </c>
      <c r="O18" s="1986"/>
      <c r="P18" s="1986"/>
      <c r="Q18" s="363"/>
    </row>
    <row r="19" spans="1:17" ht="10.199999999999999" customHeight="1" x14ac:dyDescent="0.3">
      <c r="A19" s="1984"/>
      <c r="B19" s="1984"/>
      <c r="C19" s="1984"/>
      <c r="D19" s="1984"/>
      <c r="E19" s="1984"/>
      <c r="F19" s="1984"/>
      <c r="G19" s="1984"/>
      <c r="H19" s="1984"/>
      <c r="I19" s="1984"/>
      <c r="J19" s="1988"/>
      <c r="K19" s="1988"/>
      <c r="L19" s="1988"/>
      <c r="M19" s="2"/>
      <c r="N19" s="1987"/>
      <c r="O19" s="1987"/>
      <c r="P19" s="1987"/>
    </row>
    <row r="20" spans="1:17" ht="15.6" x14ac:dyDescent="0.3">
      <c r="A20" s="4" t="s">
        <v>1</v>
      </c>
      <c r="B20" s="1701" t="s">
        <v>1428</v>
      </c>
      <c r="C20" s="1701"/>
      <c r="D20" s="1701"/>
      <c r="E20" s="1701"/>
      <c r="F20" s="1701"/>
      <c r="G20" s="1701"/>
      <c r="H20" s="1701"/>
      <c r="I20" s="2"/>
      <c r="J20" s="1957"/>
      <c r="K20" s="1957"/>
      <c r="L20" s="1957"/>
      <c r="M20" s="2"/>
      <c r="N20" s="1957"/>
      <c r="O20" s="1957"/>
      <c r="P20" s="1957"/>
    </row>
    <row r="21" spans="1:17" ht="15.6" x14ac:dyDescent="0.3">
      <c r="A21" s="4" t="s">
        <v>2</v>
      </c>
      <c r="B21" s="1701" t="s">
        <v>1429</v>
      </c>
      <c r="C21" s="1701"/>
      <c r="D21" s="1701"/>
      <c r="E21" s="1701"/>
      <c r="F21" s="1701"/>
      <c r="G21" s="1701"/>
      <c r="H21" s="1701"/>
      <c r="I21" s="58" t="s">
        <v>14</v>
      </c>
      <c r="J21" s="1957"/>
      <c r="K21" s="1957"/>
      <c r="L21" s="1957"/>
      <c r="M21" s="3" t="s">
        <v>1435</v>
      </c>
      <c r="N21" s="1957"/>
      <c r="O21" s="1957"/>
      <c r="P21" s="1957"/>
      <c r="Q21" s="56" t="s">
        <v>13</v>
      </c>
    </row>
    <row r="22" spans="1:17" ht="15.6" x14ac:dyDescent="0.3">
      <c r="A22" s="4" t="s">
        <v>3</v>
      </c>
      <c r="B22" s="1701" t="s">
        <v>1431</v>
      </c>
      <c r="C22" s="1701"/>
      <c r="D22" s="1701"/>
      <c r="E22" s="1701"/>
      <c r="F22" s="1701"/>
      <c r="G22" s="1701"/>
      <c r="H22" s="1701"/>
      <c r="I22" s="2"/>
      <c r="J22" s="1985"/>
      <c r="K22" s="1985"/>
      <c r="L22" s="1985"/>
      <c r="M22" s="215" t="s">
        <v>255</v>
      </c>
      <c r="N22" s="1957"/>
      <c r="O22" s="1957"/>
      <c r="P22" s="1957"/>
      <c r="Q22" s="215" t="s">
        <v>255</v>
      </c>
    </row>
    <row r="23" spans="1:17" ht="15.6" x14ac:dyDescent="0.3">
      <c r="A23" s="4" t="s">
        <v>4</v>
      </c>
      <c r="B23" s="1701" t="s">
        <v>1430</v>
      </c>
      <c r="C23" s="1701"/>
      <c r="D23" s="1701"/>
      <c r="E23" s="1701"/>
      <c r="F23" s="1701"/>
      <c r="G23" s="1701"/>
      <c r="H23" s="1701"/>
      <c r="I23" s="2"/>
      <c r="J23" s="1957"/>
      <c r="K23" s="1957"/>
      <c r="L23" s="1957"/>
      <c r="M23" s="2"/>
      <c r="N23" s="1957"/>
      <c r="O23" s="1957"/>
      <c r="P23" s="1957"/>
    </row>
    <row r="24" spans="1:17" ht="15.6" x14ac:dyDescent="0.3">
      <c r="A24" s="4" t="s">
        <v>5</v>
      </c>
      <c r="B24" s="1701" t="s">
        <v>1427</v>
      </c>
      <c r="C24" s="1701"/>
      <c r="D24" s="1701"/>
      <c r="E24" s="1701"/>
      <c r="F24" s="1701"/>
      <c r="G24" s="1701"/>
      <c r="H24" s="1701"/>
      <c r="I24" s="2"/>
      <c r="J24" s="1957"/>
      <c r="K24" s="1957"/>
      <c r="L24" s="1957"/>
      <c r="M24" s="2"/>
      <c r="N24" s="1957"/>
      <c r="O24" s="1957"/>
      <c r="P24" s="1957"/>
    </row>
    <row r="25" spans="1:17" ht="15.6" x14ac:dyDescent="0.3">
      <c r="A25" s="4" t="s">
        <v>6</v>
      </c>
      <c r="B25" s="1701" t="s">
        <v>1414</v>
      </c>
      <c r="C25" s="1701"/>
      <c r="D25" s="1701"/>
      <c r="E25" s="1701"/>
      <c r="F25" s="1701"/>
      <c r="G25" s="1701"/>
      <c r="H25" s="1701"/>
      <c r="I25" s="2"/>
      <c r="J25" s="1957"/>
      <c r="K25" s="1957"/>
      <c r="L25" s="1957"/>
      <c r="M25" s="2"/>
      <c r="N25" s="1957"/>
      <c r="O25" s="1957"/>
      <c r="P25" s="1957"/>
    </row>
    <row r="26" spans="1:17" ht="15.6" x14ac:dyDescent="0.3">
      <c r="A26" s="4" t="s">
        <v>7</v>
      </c>
      <c r="B26" s="1701" t="s">
        <v>1432</v>
      </c>
      <c r="C26" s="1701"/>
      <c r="D26" s="1701"/>
      <c r="E26" s="1701"/>
      <c r="F26" s="1701"/>
      <c r="G26" s="1701"/>
      <c r="H26" s="1701"/>
      <c r="I26" s="2"/>
      <c r="J26" s="1957"/>
      <c r="K26" s="1957"/>
      <c r="L26" s="1957"/>
      <c r="M26" s="2"/>
      <c r="N26" s="1957"/>
      <c r="O26" s="1957"/>
      <c r="P26" s="1957"/>
    </row>
    <row r="27" spans="1:17" ht="15.6" x14ac:dyDescent="0.3">
      <c r="A27" s="4" t="s">
        <v>8</v>
      </c>
      <c r="B27" s="1701" t="s">
        <v>1434</v>
      </c>
      <c r="C27" s="1701"/>
      <c r="D27" s="1701"/>
      <c r="E27" s="1766"/>
      <c r="F27" s="1766"/>
      <c r="G27" s="1766"/>
      <c r="H27" s="1766"/>
      <c r="I27" s="2"/>
      <c r="J27" s="1957"/>
      <c r="K27" s="1957"/>
      <c r="L27" s="1957"/>
      <c r="M27" s="2"/>
      <c r="N27" s="1957"/>
      <c r="O27" s="1957"/>
      <c r="P27" s="1957"/>
    </row>
    <row r="28" spans="1:17" ht="16.2" thickBot="1" x14ac:dyDescent="0.35">
      <c r="A28" s="4" t="s">
        <v>9</v>
      </c>
      <c r="B28" s="1427" t="s">
        <v>209</v>
      </c>
      <c r="C28" s="1427"/>
      <c r="D28" s="1427"/>
      <c r="E28" s="1427"/>
      <c r="F28" s="1427"/>
      <c r="G28" s="1427"/>
      <c r="H28" s="1427"/>
      <c r="I28" s="2"/>
      <c r="J28" s="1959">
        <f>IF(Q75=TRUE,J20,J20-J21+J22+J23+J24+J25+J26+J27)</f>
        <v>0</v>
      </c>
      <c r="K28" s="1959"/>
      <c r="L28" s="1959"/>
      <c r="M28" s="2"/>
      <c r="N28" s="1959" cm="1">
        <f t="array" ref="N28">IF(Q74=TRUE,0,IF(OR($M$9="Fannie",$M$9="Freddie",'I&amp;D Worksheet'!$J$8:$N$8="Conventional"),0,IF(Q75=TRUE,N20,N20-N21+N22+N23+N24+N25+N26+N27)))</f>
        <v>0</v>
      </c>
      <c r="O28" s="1959"/>
      <c r="P28" s="1959"/>
    </row>
    <row r="29" spans="1:17" ht="9" customHeight="1" thickTop="1" x14ac:dyDescent="0.3">
      <c r="A29" s="4"/>
      <c r="B29" s="3"/>
      <c r="C29" s="3"/>
      <c r="D29" s="3"/>
      <c r="E29" s="3"/>
      <c r="F29" s="3"/>
      <c r="G29" s="1958" t="s">
        <v>814</v>
      </c>
      <c r="H29" s="1958"/>
      <c r="I29" s="1958"/>
      <c r="J29" s="1989">
        <f>IF(AND(F38&lt;12,F38&lt;&gt;""),(J28/F38)*12,J28)</f>
        <v>0</v>
      </c>
      <c r="K29" s="1989"/>
      <c r="L29" s="1989"/>
      <c r="M29" s="3"/>
      <c r="N29" s="1989">
        <f>IF(AND(D38&lt;12,D38&lt;&gt;""),(N28/D38)*12,N28)</f>
        <v>0</v>
      </c>
      <c r="O29" s="1989"/>
      <c r="P29" s="1989"/>
    </row>
    <row r="30" spans="1:17" ht="15.6" x14ac:dyDescent="0.3">
      <c r="A30" s="4"/>
      <c r="B30" s="3"/>
      <c r="C30" s="30"/>
      <c r="D30" s="1960" t="str">
        <f>CONCATENATE("Exclude ", N18, " from Total Adjusted Net Rental Income Below")</f>
        <v>Exclude 2024 from Total Adjusted Net Rental Income Below</v>
      </c>
      <c r="E30" s="1960"/>
      <c r="F30" s="1960"/>
      <c r="G30" s="1960"/>
      <c r="H30" s="1960"/>
      <c r="I30" s="1960"/>
      <c r="J30" s="1960"/>
      <c r="K30" s="186"/>
      <c r="L30" s="1991" t="str">
        <f>IF(AND(J29&lt;N29,OR(G37="",G37=12,G37=24)),CONCATENATE(ROUND(((N29-J29)/N29)*100,2),"%"," Decline from ",N18," to ",J18,),
IF(AND(G37&gt;12,G37&lt;24,J29&lt;N29),CONCATENATE(ROUND(((N29-J29)/N29)*100,2),"%"," Decline from ",N18," to ",J18,),
IF(J29&lt;N29,(CONCATENATE("Decline from ",N18," to ",J18,)),
IF(AND(J29&gt;N29,OR(G37="",G37=12,G37=24)),CONCATENATE(ROUND(((J29-N29)/N29)*100,2),"%"," Increase from ",N18," to ",J18,),
IF(AND(G37&gt;12,G37&lt;24,J29&gt;N29),CONCATENATE(ROUND(((J29-N29)/N29)*100,2),"%"," Increase from ",N18," to ",J18,),"")))))</f>
        <v/>
      </c>
      <c r="M30" s="1991"/>
      <c r="N30" s="1991"/>
      <c r="O30" s="1991"/>
      <c r="P30" s="25"/>
    </row>
    <row r="31" spans="1:17" ht="9" customHeight="1" x14ac:dyDescent="0.3">
      <c r="A31" s="4"/>
      <c r="B31" s="2"/>
      <c r="C31" s="2"/>
      <c r="D31" s="2"/>
      <c r="E31" s="2"/>
      <c r="F31" s="2"/>
      <c r="G31" s="2"/>
      <c r="H31" s="2"/>
      <c r="I31" s="2"/>
      <c r="J31" s="2"/>
      <c r="K31" s="2"/>
      <c r="L31" s="2"/>
      <c r="M31" s="2"/>
      <c r="N31" s="2"/>
      <c r="O31" s="2"/>
      <c r="P31" s="2"/>
    </row>
    <row r="32" spans="1:17" ht="15.6" x14ac:dyDescent="0.3">
      <c r="A32" s="4" t="s">
        <v>10</v>
      </c>
      <c r="B32" s="1701" t="s">
        <v>208</v>
      </c>
      <c r="C32" s="1701"/>
      <c r="D32" s="1701"/>
      <c r="E32" s="1701"/>
      <c r="F32" s="1701"/>
      <c r="G32" s="1859"/>
      <c r="H32" s="1859"/>
      <c r="I32" s="1859"/>
      <c r="J32" s="1859"/>
      <c r="K32" s="1859"/>
      <c r="L32" s="5"/>
      <c r="M32" s="1990">
        <f>IF(P75=TRUE,J28,J28+N28)</f>
        <v>0</v>
      </c>
      <c r="N32" s="1990"/>
      <c r="O32" s="1990"/>
    </row>
    <row r="33" spans="1:17" ht="15.6" x14ac:dyDescent="0.3">
      <c r="A33" s="4" t="s">
        <v>11</v>
      </c>
      <c r="B33" s="1961" t="s">
        <v>12</v>
      </c>
      <c r="C33" s="1961"/>
      <c r="D33" s="1961"/>
      <c r="E33" s="1961"/>
      <c r="F33" s="420"/>
      <c r="G33" s="1992" t="str">
        <f>IF(AND(Q74&lt;&gt;TRUE,Q75=TRUE),"*Add # of months from both Years together*","")</f>
        <v/>
      </c>
      <c r="H33" s="1992"/>
      <c r="I33" s="1992"/>
      <c r="J33" s="1992"/>
      <c r="K33" s="1992"/>
      <c r="L33" s="1992"/>
      <c r="P33" s="2"/>
    </row>
    <row r="34" spans="1:17" ht="4.2" customHeight="1" thickBot="1" x14ac:dyDescent="0.35">
      <c r="A34" s="4"/>
      <c r="B34" s="2"/>
      <c r="C34" s="2"/>
      <c r="D34" s="2"/>
      <c r="E34" s="2"/>
      <c r="F34" s="12"/>
      <c r="G34" s="2"/>
      <c r="H34" s="2000" t="str">
        <f>IF(AND(M32&lt;&gt;0,F33="",L50&lt;&gt;0),"Number of Months Reviewed Needed",IF(OR(AND(F33&gt;12,Q74=TRUE),AND(D38&lt;&gt;"",D38&gt;12),AND(F38&lt;&gt;"",F38&gt;12)),"Error: Greater than 12 months in one year entered",""))</f>
        <v/>
      </c>
      <c r="I34" s="2000"/>
      <c r="J34" s="2000"/>
      <c r="K34" s="2000"/>
      <c r="L34" s="2000"/>
      <c r="M34" s="14"/>
      <c r="N34" s="14"/>
      <c r="O34" s="14"/>
      <c r="P34" s="2"/>
    </row>
    <row r="35" spans="1:17" ht="10.199999999999999" customHeight="1" thickBot="1" x14ac:dyDescent="0.35">
      <c r="A35" s="4"/>
      <c r="B35" s="1993" t="s">
        <v>299</v>
      </c>
      <c r="C35" s="1994"/>
      <c r="D35" s="1994"/>
      <c r="E35" s="1994"/>
      <c r="F35" s="1994"/>
      <c r="G35" s="1995"/>
      <c r="H35" s="2000"/>
      <c r="I35" s="2000"/>
      <c r="J35" s="2000"/>
      <c r="K35" s="2000"/>
      <c r="L35" s="2000"/>
      <c r="M35" s="14"/>
      <c r="N35" s="14"/>
      <c r="O35" s="14"/>
      <c r="P35" s="2"/>
    </row>
    <row r="36" spans="1:17" ht="9.6" customHeight="1" x14ac:dyDescent="0.3">
      <c r="A36" s="4"/>
      <c r="B36" s="1996" t="str">
        <f>CONCATENATE(N18," Start:")</f>
        <v>2024 Start:</v>
      </c>
      <c r="C36" s="1997"/>
      <c r="D36" s="405" t="str">
        <f>CONCATENATE(N18," End:")</f>
        <v>2024 End:</v>
      </c>
      <c r="E36" s="406" t="str">
        <f>CONCATENATE(J18," Start:")</f>
        <v>2025 Start:</v>
      </c>
      <c r="F36" s="405" t="str">
        <f>CONCATENATE(J18," End:")</f>
        <v>2025 End:</v>
      </c>
      <c r="G36" s="407" t="s">
        <v>178</v>
      </c>
      <c r="H36" s="2000"/>
      <c r="I36" s="2000"/>
      <c r="J36" s="2000"/>
      <c r="K36" s="2000"/>
      <c r="L36" s="2000"/>
      <c r="M36" s="14"/>
      <c r="N36" s="14"/>
      <c r="O36" s="14"/>
      <c r="P36" s="2"/>
    </row>
    <row r="37" spans="1:17" ht="12" customHeight="1" thickBot="1" x14ac:dyDescent="0.35">
      <c r="A37" s="4"/>
      <c r="B37" s="1998"/>
      <c r="C37" s="1999"/>
      <c r="D37" s="408"/>
      <c r="E37" s="409"/>
      <c r="F37" s="408"/>
      <c r="G37" s="410" t="str">
        <f>G38</f>
        <v/>
      </c>
      <c r="H37" s="2000"/>
      <c r="I37" s="2000"/>
      <c r="J37" s="2000"/>
      <c r="K37" s="2000"/>
      <c r="L37" s="2000"/>
      <c r="M37" s="14"/>
      <c r="N37" s="14"/>
      <c r="O37" s="14"/>
      <c r="P37" s="2"/>
    </row>
    <row r="38" spans="1:17" ht="3.6" customHeight="1" x14ac:dyDescent="0.3">
      <c r="A38" s="4"/>
      <c r="B38" s="1981" t="str">
        <f>IF(AND(B37="",D37="",N28&lt;&gt;0),1,IF(AND(B37="",D37="",N28=0),"",IF(AND(B37="",D37&lt;&gt;""),"",IF(AND(B37&lt;&gt;"",D37=""),"",YEARFRAC(B37,D37+1,4)))))</f>
        <v/>
      </c>
      <c r="C38" s="1981"/>
      <c r="D38" s="412" t="str">
        <f>IF(Q74=TRUE,"",IF(B38="","",ROUND(B38*12,2)))</f>
        <v/>
      </c>
      <c r="E38" s="413" t="str">
        <f>IF(AND(E37="",F37="",J28&lt;&gt;0),1,IF(AND(E37="",F37="",J28=0),"",IF(AND(E37="",F37&lt;&gt;""),"",IF(AND(E37&lt;&gt;"",F37=""),"",YEARFRAC(E37,F37+1,4)))))</f>
        <v/>
      </c>
      <c r="F38" s="412" t="str">
        <f>IF(E38="","",ROUND(E38*12,2))</f>
        <v/>
      </c>
      <c r="G38" s="414" t="str">
        <f>IF(AND(D38&lt;&gt;"",F38&lt;&gt;""),F38+D38,IF(AND(D38&lt;&gt;"",F38=""),D38,IF(AND(D38="",F38&lt;&gt;""),F38,"")))</f>
        <v/>
      </c>
      <c r="H38" s="2000"/>
      <c r="I38" s="2000"/>
      <c r="J38" s="2000"/>
      <c r="K38" s="2000"/>
      <c r="L38" s="2000"/>
      <c r="M38" s="928"/>
      <c r="N38" s="928"/>
      <c r="O38" s="928"/>
      <c r="P38" s="2"/>
    </row>
    <row r="39" spans="1:17" ht="16.2" thickBot="1" x14ac:dyDescent="0.35">
      <c r="A39" s="4" t="s">
        <v>29</v>
      </c>
      <c r="B39" s="1701" t="s">
        <v>885</v>
      </c>
      <c r="C39" s="1701"/>
      <c r="D39" s="1701"/>
      <c r="E39" s="1701"/>
      <c r="F39" s="1701"/>
      <c r="G39" s="1701"/>
      <c r="H39" s="2000"/>
      <c r="I39" s="2000"/>
      <c r="J39" s="2000"/>
      <c r="K39" s="2000"/>
      <c r="L39" s="2000"/>
      <c r="M39" s="1963">
        <f>IF(F33&gt;0,M32/F33,)</f>
        <v>0</v>
      </c>
      <c r="N39" s="1963"/>
      <c r="O39" s="1963"/>
      <c r="P39" s="2"/>
    </row>
    <row r="40" spans="1:17" ht="16.2" thickTop="1" x14ac:dyDescent="0.3">
      <c r="A40" s="4"/>
      <c r="B40" s="2"/>
      <c r="C40" s="2"/>
      <c r="D40" s="2"/>
      <c r="E40" s="2"/>
      <c r="F40" s="2"/>
      <c r="G40" s="2"/>
      <c r="H40" s="2000"/>
      <c r="I40" s="2000"/>
      <c r="J40" s="2000"/>
      <c r="K40" s="2000"/>
      <c r="L40" s="2000"/>
      <c r="M40" s="928"/>
      <c r="N40" s="928"/>
      <c r="O40" s="928"/>
      <c r="P40" s="2"/>
    </row>
    <row r="41" spans="1:17" ht="16.2" thickBot="1" x14ac:dyDescent="0.35">
      <c r="A41" s="4" t="s">
        <v>39</v>
      </c>
      <c r="B41" s="1701" t="s">
        <v>1241</v>
      </c>
      <c r="C41" s="1701"/>
      <c r="D41" s="1701"/>
      <c r="E41" s="1701"/>
      <c r="F41" s="1701"/>
      <c r="G41" s="1701"/>
      <c r="H41" s="1701"/>
      <c r="I41" s="1701"/>
      <c r="J41" s="1701"/>
      <c r="K41" s="1701"/>
      <c r="L41" s="1701"/>
      <c r="M41" s="1963">
        <f>IF(P16=0,0,
IF(P16=1,M39,
IF(AND(P16=2,M39&gt;=L50),L50,
IF(AND(P16=2,M39&lt;L50),M39,
IF(AND(P16=3,M39&gt;=0),0,
IF(AND(P16=3,M39&lt;0),M39,
0))))))</f>
        <v>0</v>
      </c>
      <c r="N41" s="1963"/>
      <c r="O41" s="1963"/>
      <c r="P41" s="2"/>
    </row>
    <row r="42" spans="1:17" ht="29.4" customHeight="1" thickTop="1" x14ac:dyDescent="0.3">
      <c r="A42" s="4"/>
      <c r="B42" s="1947" t="str">
        <f>B16</f>
        <v/>
      </c>
      <c r="C42" s="1947"/>
      <c r="D42" s="1947"/>
      <c r="E42" s="1947"/>
      <c r="F42" s="1947"/>
      <c r="G42" s="1947"/>
      <c r="H42" s="1947"/>
      <c r="I42" s="1947"/>
      <c r="J42" s="1947"/>
      <c r="K42" s="1947"/>
      <c r="L42" s="1947"/>
      <c r="M42" s="928"/>
      <c r="N42" s="928"/>
      <c r="O42" s="928"/>
      <c r="P42" s="2"/>
    </row>
    <row r="43" spans="1:17" ht="15" customHeight="1" x14ac:dyDescent="0.3">
      <c r="A43" s="4" t="s">
        <v>40</v>
      </c>
      <c r="B43" s="1701" t="str">
        <f>IF(Q75=TRUE,"Minus Existing PITIA indicated on Vendor wkst","Minus current mortgage payment (from credit or mtg stmt)****")</f>
        <v>Minus current mortgage payment (from credit or mtg stmt)****</v>
      </c>
      <c r="C43" s="1701"/>
      <c r="D43" s="1701"/>
      <c r="E43" s="1701"/>
      <c r="F43" s="1701"/>
      <c r="G43" s="1701"/>
      <c r="H43" s="1701"/>
      <c r="I43" s="1701"/>
      <c r="J43" s="1701"/>
      <c r="K43" s="2"/>
      <c r="L43" s="900" t="s">
        <v>14</v>
      </c>
      <c r="M43" s="1946"/>
      <c r="N43" s="1946"/>
      <c r="O43" s="1946"/>
      <c r="P43" s="92" t="s">
        <v>899</v>
      </c>
    </row>
    <row r="44" spans="1:17" ht="15.75" customHeight="1" x14ac:dyDescent="0.3">
      <c r="A44" s="4"/>
      <c r="B44" s="9" t="s">
        <v>240</v>
      </c>
      <c r="C44" s="1701" t="s">
        <v>1133</v>
      </c>
      <c r="D44" s="1701"/>
      <c r="E44" s="1701"/>
      <c r="F44" s="1701"/>
      <c r="G44" s="1701"/>
      <c r="H44" s="1701"/>
      <c r="I44" s="1701"/>
      <c r="J44" s="1701"/>
      <c r="K44" s="2"/>
      <c r="L44" s="900" t="s">
        <v>14</v>
      </c>
      <c r="M44" s="1837"/>
      <c r="N44" s="1837"/>
      <c r="O44" s="1837"/>
      <c r="P44" s="92" t="s">
        <v>13</v>
      </c>
      <c r="Q44" s="56"/>
    </row>
    <row r="45" spans="1:17" ht="15.75" customHeight="1" x14ac:dyDescent="0.3">
      <c r="A45" s="4"/>
      <c r="B45" s="9" t="s">
        <v>240</v>
      </c>
      <c r="C45" s="1701" t="s">
        <v>1134</v>
      </c>
      <c r="D45" s="1701"/>
      <c r="E45" s="1701"/>
      <c r="F45" s="1701"/>
      <c r="G45" s="1701"/>
      <c r="H45" s="1701"/>
      <c r="I45" s="1701"/>
      <c r="J45" s="1701"/>
      <c r="K45" s="2"/>
      <c r="L45" s="900" t="s">
        <v>14</v>
      </c>
      <c r="M45" s="1837"/>
      <c r="N45" s="1837"/>
      <c r="O45" s="1837"/>
      <c r="P45" s="92" t="s">
        <v>13</v>
      </c>
      <c r="Q45" s="56"/>
    </row>
    <row r="46" spans="1:17" ht="15.75" customHeight="1" x14ac:dyDescent="0.3">
      <c r="A46" s="4"/>
      <c r="B46" s="9" t="s">
        <v>240</v>
      </c>
      <c r="C46" s="2" t="s">
        <v>551</v>
      </c>
      <c r="D46" s="2"/>
      <c r="E46" s="2"/>
      <c r="F46" s="2"/>
      <c r="G46" s="2"/>
      <c r="H46" s="2"/>
      <c r="I46" s="2"/>
      <c r="J46" s="2"/>
      <c r="K46" s="2"/>
      <c r="L46" s="900" t="s">
        <v>14</v>
      </c>
      <c r="M46" s="1837"/>
      <c r="N46" s="1837"/>
      <c r="O46" s="1837"/>
      <c r="P46" s="92" t="s">
        <v>13</v>
      </c>
      <c r="Q46" s="56"/>
    </row>
    <row r="47" spans="1:17" ht="15.75" customHeight="1" x14ac:dyDescent="0.3">
      <c r="A47" s="4"/>
      <c r="B47" s="528" t="s">
        <v>240</v>
      </c>
      <c r="C47" s="1955" t="s">
        <v>239</v>
      </c>
      <c r="D47" s="1955"/>
      <c r="E47" s="1955"/>
      <c r="F47" s="1955"/>
      <c r="G47" s="1955"/>
      <c r="H47" s="529"/>
      <c r="I47" s="2"/>
      <c r="J47" s="2"/>
      <c r="K47" s="2"/>
      <c r="L47" s="900" t="s">
        <v>14</v>
      </c>
      <c r="M47" s="1837"/>
      <c r="N47" s="1837"/>
      <c r="O47" s="1837"/>
      <c r="P47" s="92" t="s">
        <v>13</v>
      </c>
      <c r="Q47" s="56"/>
    </row>
    <row r="48" spans="1:17" ht="16.2" thickBot="1" x14ac:dyDescent="0.35">
      <c r="A48" s="4" t="s">
        <v>42</v>
      </c>
      <c r="B48" s="1427" t="s">
        <v>884</v>
      </c>
      <c r="C48" s="1427"/>
      <c r="D48" s="1427"/>
      <c r="E48" s="1427"/>
      <c r="F48" s="1427"/>
      <c r="G48" s="1427"/>
      <c r="H48" s="1427"/>
      <c r="I48" s="208">
        <f>IF(N73=TRUE,0,M44)</f>
        <v>0</v>
      </c>
      <c r="J48" s="208">
        <f>IF(N74=TRUE,0,M45)</f>
        <v>0</v>
      </c>
      <c r="K48" s="208"/>
      <c r="L48" s="208">
        <f>IF(N75=TRUE,0,M46)</f>
        <v>0</v>
      </c>
      <c r="M48" s="1854">
        <f>IF(F33="",0,
IF(P16=0,0,
IF(AND(Q75=FALSE,M43="",M44="",M45="",M46="",M47=""),0,
IF(AND(Q75=TRUE,M43&gt;=0),M41-M43,
IF(AND(N1="VA",P1="No",L50&lt;&gt;0,M41&gt;L50),0,
IF(M43&gt;=0,M41-M43-I48-J48-L48-L49,0))))))</f>
        <v>0</v>
      </c>
      <c r="N48" s="1854"/>
      <c r="O48" s="1854"/>
      <c r="P48" s="871">
        <f>IF(OR(P1="Yes",P74=TRUE),0,M48)</f>
        <v>0</v>
      </c>
      <c r="Q48" s="56"/>
    </row>
    <row r="49" spans="1:21" ht="9" customHeight="1" thickTop="1" x14ac:dyDescent="0.3">
      <c r="A49" s="4"/>
      <c r="B49" s="3"/>
      <c r="C49" s="3"/>
      <c r="D49" s="1956" t="str">
        <f>IF(AND(N1="VA",P1="No",L50&lt;&gt;0,M39&gt;L50),"VA loan indicated - Rent Income from this property is Limited to PITIA due
to not meeting 24 month history requirement.",
IF(AND(N1="VA",P1="No",L50&lt;&gt;0,P48&lt;0),"VA loan indicated - Rent loss from this property is counted as a debt due
to not meeting 24 month history requirement.",
IF(AND(N1="VA",P1="Yes",L50&lt;&gt;0,P49&lt;0),"VA loan indicated - Rent loss from this property is counted as an income reduction due
to meeting 24 month history requirement.  (Confirm 24 month history on taxes)",
IF(AND(N1="VA",P1="Yes",L50&lt;&gt;0,P49&gt;0),"VA loan indicated - Rent gain from this property is counted as income due
to meeting 24 month history requirement.  (Confirm 24 month history on taxes)",""))))</f>
        <v/>
      </c>
      <c r="E49" s="1956"/>
      <c r="F49" s="1956"/>
      <c r="G49" s="1956"/>
      <c r="H49" s="1956"/>
      <c r="I49" s="1956"/>
      <c r="J49" s="1956"/>
      <c r="K49" s="1956"/>
      <c r="L49" s="253">
        <f>IF(M75=TRUE,0,M47)</f>
        <v>0</v>
      </c>
      <c r="M49" s="218"/>
      <c r="N49" s="218"/>
      <c r="O49" s="218"/>
      <c r="P49" s="871">
        <f>IF(OR(P1="No",P74=TRUE),0,M48)</f>
        <v>0</v>
      </c>
      <c r="Q49" s="56"/>
    </row>
    <row r="50" spans="1:21" ht="9" customHeight="1" x14ac:dyDescent="0.3">
      <c r="A50" s="4"/>
      <c r="B50" s="3"/>
      <c r="C50" s="3"/>
      <c r="D50" s="1956"/>
      <c r="E50" s="1956"/>
      <c r="F50" s="1956"/>
      <c r="G50" s="1956"/>
      <c r="H50" s="1956"/>
      <c r="I50" s="1956"/>
      <c r="J50" s="1956"/>
      <c r="K50" s="1956"/>
      <c r="L50" s="870">
        <f>IF(Q75=TRUE,M43,M43+I48+J48+L48+L49)</f>
        <v>0</v>
      </c>
      <c r="M50" s="218"/>
      <c r="N50" s="218"/>
      <c r="O50" s="218"/>
      <c r="P50" s="873"/>
      <c r="Q50" s="56"/>
    </row>
    <row r="51" spans="1:21" ht="7.2" customHeight="1" x14ac:dyDescent="0.3">
      <c r="A51" s="4"/>
      <c r="B51" s="3"/>
      <c r="C51" s="3"/>
      <c r="D51" s="1956"/>
      <c r="E51" s="1956"/>
      <c r="F51" s="1956"/>
      <c r="G51" s="1956"/>
      <c r="H51" s="1956"/>
      <c r="I51" s="1956"/>
      <c r="J51" s="1956"/>
      <c r="K51" s="1956"/>
      <c r="L51" s="5"/>
      <c r="M51" s="218"/>
      <c r="N51" s="218"/>
      <c r="O51" s="218"/>
      <c r="P51" s="252"/>
      <c r="Q51" s="56"/>
    </row>
    <row r="52" spans="1:21" ht="57" customHeight="1" x14ac:dyDescent="0.3">
      <c r="A52" s="9"/>
      <c r="B52" s="361"/>
      <c r="C52" s="1948" t="str">
        <f>IF(J29&lt;N29,A53,IF(J29=N29,A55,A54))</f>
        <v>Caution: Rental income stable but 2024 is being excluded and/or the number of months reviewed is less than .  Generally when income is stable 2024 should be included and a  month average of this income should be used, or you must omit the prior year to average over 12 months.  Review above and correct to clear the alert or explain in your notes.</v>
      </c>
      <c r="D52" s="1948"/>
      <c r="E52" s="1948"/>
      <c r="F52" s="1948"/>
      <c r="G52" s="1948"/>
      <c r="H52" s="1948"/>
      <c r="I52" s="1948"/>
      <c r="J52" s="1948"/>
      <c r="K52" s="1948"/>
      <c r="L52" s="1948"/>
      <c r="M52" s="1948"/>
      <c r="N52" s="1948"/>
      <c r="O52" s="1948"/>
    </row>
    <row r="53" spans="1:21" ht="6.6" customHeight="1" x14ac:dyDescent="0.3">
      <c r="A53" s="217" t="str">
        <f>CONCATENATE("Caution: Declining Rental income is detected and ",N18, " is not being excluded and/or the number of months reviewed is greater than 12.  Generally with declining income ",N18, " should be excluded and the number of months reviewed should be 12.  Review above and correct to clear the alert or explain the justification in your notes below for not excluding ",N18, " and/or using more than 12 months reviewed.")</f>
        <v>Caution: Declining Rental income is detected and 2024 is not being excluded and/or the number of months reviewed is greater than 12.  Generally with declining income 2024 should be excluded and the number of months reviewed should be 12.  Review above and correct to clear the alert or explain the justification in your notes below for not excluding 2024 and/or using more than 12 months reviewed.</v>
      </c>
      <c r="F53" s="19"/>
      <c r="G53" s="19"/>
      <c r="H53" s="19"/>
      <c r="I53" s="19"/>
      <c r="J53" s="19"/>
      <c r="K53" s="19"/>
      <c r="L53" s="19"/>
    </row>
    <row r="54" spans="1:21" ht="28.2" customHeight="1" x14ac:dyDescent="0.3">
      <c r="A54" s="217" t="str">
        <f>CONCATENATE("Caution: Rental income increased but ",N18, " is being excluded and/or the number of months reviewed is other than ",G37,".  Generally when income increases ",N18, " should be included and a ",G37," month average of this income should be used.  Review above and correct to clear the alert or explain the justification in your notes below for not including ",N18, " and/or using other than ",G37," month reviewed.")</f>
        <v>Caution: Rental income increased but 2024 is being excluded and/or the number of months reviewed is other than .  Generally when income increases 2024 should be included and a  month average of this income should be used.  Review above and correct to clear the alert or explain the justification in your notes below for not including 2024 and/or using other than  month reviewed.</v>
      </c>
      <c r="B54" s="1949" t="s">
        <v>1422</v>
      </c>
      <c r="C54" s="1950"/>
      <c r="D54" s="1950"/>
      <c r="E54" s="1950"/>
      <c r="F54" s="1950"/>
      <c r="G54" s="1950"/>
      <c r="H54" s="1950"/>
      <c r="I54" s="1950"/>
      <c r="J54" s="1950"/>
      <c r="K54" s="1950"/>
      <c r="L54" s="1950"/>
      <c r="M54" s="1950"/>
      <c r="N54" s="1950"/>
      <c r="O54" s="1951"/>
      <c r="P54" s="503"/>
    </row>
    <row r="55" spans="1:21" ht="16.2" customHeight="1" x14ac:dyDescent="0.3">
      <c r="A55" s="411" t="str">
        <f>CONCATENATE("Caution: Rental income stable but ",N18, " is being excluded and/or the number of months reviewed is less than ",G37,".  Generally when income is stable ",N18, " should be included and a ",G37," month average of this income should be used, or you must omit the prior year to average over 12 months.  Review above and correct to clear the alert or explain in your notes.")</f>
        <v>Caution: Rental income stable but 2024 is being excluded and/or the number of months reviewed is less than .  Generally when income is stable 2024 should be included and a  month average of this income should be used, or you must omit the prior year to average over 12 months.  Review above and correct to clear the alert or explain in your notes.</v>
      </c>
      <c r="B55" s="1965" t="s">
        <v>1421</v>
      </c>
      <c r="C55" s="1392"/>
      <c r="D55" s="1392"/>
      <c r="E55" s="1392"/>
      <c r="F55" s="929"/>
      <c r="G55" s="929"/>
      <c r="H55" s="929"/>
      <c r="I55" s="929"/>
      <c r="J55" s="929"/>
      <c r="K55" s="929"/>
      <c r="L55" s="503"/>
      <c r="M55" s="503"/>
      <c r="N55" s="503"/>
      <c r="O55" s="930"/>
      <c r="P55" s="503"/>
      <c r="Q55" s="503"/>
    </row>
    <row r="56" spans="1:21" ht="44.4" customHeight="1" x14ac:dyDescent="0.3">
      <c r="B56" s="1952" t="str">
        <f>IF(F33="",CONCATENATE("In MORE LOS, first click on 'REO Information' under the appropriate borrowers name,"," then click on the 'property status' next to the correct property address. Select the 'Use Tax Returns' option, then enter/match up the amounts in both More LOS and on this worksheet."," Check that line 15 total above matches 'Net Rental Income' amount in LOS.",),
IF(P48&gt;=0,CONCATENATE("In MORE LOS, first click on 'REO Information' under the appropriate borrowers name,"," then click on the 'property status' next to the correct property address. Select the 'Use Tax Returns' option, then enter/match up the amounts in both More LOS and on this worksheet."," Check that line 15 total above matches 'Net Rental Income' amount in LOS.",),
IF(P48&lt;0,CONCATENATE("In MORE LOS, first click on 'REO Information' under the appropriate borrowers name,"," then click on the 'property status' next to the correct property address. Select the 'Use Tax Returns' option, then enter/match up the amounts in both More LOS and on this worksheet."," Check that line 15 total above matches 'Net Rental Income' amount in LOS.",""))))</f>
        <v>In MORE LOS, first click on 'REO Information' under the appropriate borrowers name, then click on the 'property status' next to the correct property address. Select the 'Use Tax Returns' option, then enter/match up the amounts in both More LOS and on this worksheet. Check that line 15 total above matches 'Net Rental Income' amount in LOS.</v>
      </c>
      <c r="C56" s="1953"/>
      <c r="D56" s="1953"/>
      <c r="E56" s="1953"/>
      <c r="F56" s="1953"/>
      <c r="G56" s="1953"/>
      <c r="H56" s="1953"/>
      <c r="I56" s="1953"/>
      <c r="J56" s="1953"/>
      <c r="K56" s="1953"/>
      <c r="L56" s="1953"/>
      <c r="M56" s="1953"/>
      <c r="N56" s="1953"/>
      <c r="O56" s="1954"/>
      <c r="P56" s="527"/>
      <c r="Q56" s="503"/>
    </row>
    <row r="57" spans="1:21" ht="16.8" customHeight="1" x14ac:dyDescent="0.3">
      <c r="B57" s="1966" t="str">
        <f>IF(OR(M9="Freddie",N1="FHA",N1="Other"),"For ADU's, the ADU portion of this income should be entered separately as 'Accessory unit income' under 'Other Income' in MORE LOS","")</f>
        <v/>
      </c>
      <c r="C57" s="1967"/>
      <c r="D57" s="1967"/>
      <c r="E57" s="1967"/>
      <c r="F57" s="1967"/>
      <c r="G57" s="1967"/>
      <c r="H57" s="1967"/>
      <c r="I57" s="1967"/>
      <c r="J57" s="1967"/>
      <c r="K57" s="1967"/>
      <c r="L57" s="1967"/>
      <c r="M57" s="1967"/>
      <c r="N57" s="1967"/>
      <c r="O57" s="1968"/>
      <c r="P57" s="527"/>
      <c r="Q57" s="503"/>
    </row>
    <row r="58" spans="1:21" ht="37.200000000000003" customHeight="1" x14ac:dyDescent="0.3">
      <c r="A58" s="1475" t="s">
        <v>1079</v>
      </c>
      <c r="B58" s="1475"/>
      <c r="C58" s="1475"/>
      <c r="D58" s="1475"/>
      <c r="E58" s="1475"/>
      <c r="F58" s="19"/>
      <c r="G58" s="19"/>
      <c r="H58" s="19"/>
      <c r="I58" s="19"/>
      <c r="J58" s="19"/>
      <c r="K58" s="19"/>
      <c r="L58" s="1737" t="s">
        <v>414</v>
      </c>
      <c r="M58" s="1737"/>
      <c r="N58" s="1737"/>
      <c r="O58" s="1737"/>
      <c r="P58" s="1737"/>
      <c r="Q58" s="503"/>
    </row>
    <row r="59" spans="1:21" ht="14.25" customHeight="1" x14ac:dyDescent="0.3">
      <c r="A59" s="1325"/>
      <c r="B59" s="1325"/>
      <c r="C59" s="1325"/>
      <c r="D59" s="1325"/>
      <c r="E59" s="1325"/>
      <c r="F59" s="1325"/>
      <c r="G59" s="1325"/>
      <c r="H59" s="1325"/>
      <c r="I59" s="1325"/>
      <c r="J59" s="1325"/>
      <c r="K59" s="1325"/>
      <c r="L59" s="1325"/>
      <c r="M59" s="1325"/>
      <c r="N59" s="1325"/>
      <c r="O59" s="1325"/>
      <c r="P59" s="1325"/>
      <c r="Q59" s="1325"/>
    </row>
    <row r="60" spans="1:21" ht="14.25" customHeight="1" x14ac:dyDescent="0.3">
      <c r="A60" s="1325"/>
      <c r="B60" s="1325"/>
      <c r="C60" s="1325"/>
      <c r="D60" s="1325"/>
      <c r="E60" s="1325"/>
      <c r="F60" s="1325"/>
      <c r="G60" s="1325"/>
      <c r="H60" s="1325"/>
      <c r="I60" s="1325"/>
      <c r="J60" s="1325"/>
      <c r="K60" s="1325"/>
      <c r="L60" s="1325"/>
      <c r="M60" s="1325"/>
      <c r="N60" s="1325"/>
      <c r="O60" s="1325"/>
      <c r="P60" s="1325"/>
      <c r="Q60" s="1325"/>
    </row>
    <row r="61" spans="1:21" ht="14.25" customHeight="1" x14ac:dyDescent="0.3">
      <c r="A61" s="1325"/>
      <c r="B61" s="1325"/>
      <c r="C61" s="1325"/>
      <c r="D61" s="1325"/>
      <c r="E61" s="1325"/>
      <c r="F61" s="1325"/>
      <c r="G61" s="1325"/>
      <c r="H61" s="1325"/>
      <c r="I61" s="1325"/>
      <c r="J61" s="1325"/>
      <c r="K61" s="1325"/>
      <c r="L61" s="1325"/>
      <c r="M61" s="1325"/>
      <c r="N61" s="1325"/>
      <c r="O61" s="1325"/>
      <c r="P61" s="1325"/>
      <c r="Q61" s="1325"/>
    </row>
    <row r="62" spans="1:21" ht="13.2" customHeight="1" x14ac:dyDescent="0.3">
      <c r="A62" s="47"/>
    </row>
    <row r="63" spans="1:21" ht="15.6" customHeight="1" x14ac:dyDescent="0.3">
      <c r="A63" s="1964" t="s">
        <v>223</v>
      </c>
      <c r="B63" s="1964"/>
      <c r="C63" s="1964"/>
      <c r="D63" s="1964"/>
      <c r="E63" s="74"/>
      <c r="F63" s="74"/>
      <c r="G63" s="74"/>
      <c r="H63" s="74"/>
      <c r="I63" s="74"/>
      <c r="J63" s="74"/>
      <c r="K63" s="74"/>
      <c r="L63" s="74"/>
      <c r="M63" s="74"/>
      <c r="N63" s="74"/>
      <c r="O63" s="74"/>
      <c r="P63" s="74"/>
      <c r="Q63" s="74"/>
      <c r="R63" s="74"/>
      <c r="S63" s="74"/>
      <c r="T63" s="74"/>
      <c r="U63" s="74"/>
    </row>
    <row r="64" spans="1:21" ht="15.6" customHeight="1" x14ac:dyDescent="0.3">
      <c r="A64" s="1962" t="s">
        <v>1411</v>
      </c>
      <c r="B64" s="1962"/>
      <c r="C64" s="1962"/>
      <c r="D64" s="1962"/>
      <c r="E64" s="1962"/>
      <c r="F64" s="1962"/>
      <c r="G64" s="1962"/>
      <c r="H64" s="1962"/>
      <c r="I64" s="1962"/>
      <c r="J64" s="1962"/>
      <c r="K64" s="1962"/>
      <c r="L64" s="1962"/>
      <c r="M64" s="1962"/>
      <c r="N64" s="1962"/>
      <c r="O64" s="1962"/>
      <c r="P64" s="1962"/>
      <c r="Q64" s="1962"/>
    </row>
    <row r="65" spans="1:17" ht="15.6" customHeight="1" x14ac:dyDescent="0.3">
      <c r="A65" s="1962" t="s">
        <v>1412</v>
      </c>
      <c r="B65" s="1962"/>
      <c r="C65" s="1962"/>
      <c r="D65" s="1962"/>
      <c r="E65" s="1962"/>
      <c r="F65" s="1962"/>
      <c r="G65" s="1962"/>
      <c r="H65" s="1962"/>
      <c r="I65" s="1962"/>
      <c r="J65" s="1962"/>
      <c r="K65" s="1962"/>
      <c r="L65" s="1962"/>
      <c r="M65" s="1962"/>
      <c r="N65" s="1962"/>
      <c r="O65" s="1962"/>
      <c r="P65" s="1962"/>
      <c r="Q65" s="1962"/>
    </row>
    <row r="66" spans="1:17" ht="15.6" customHeight="1" x14ac:dyDescent="0.3">
      <c r="A66" s="1962" t="s">
        <v>1240</v>
      </c>
      <c r="B66" s="1962"/>
      <c r="C66" s="1962"/>
      <c r="D66" s="1962"/>
      <c r="E66" s="1962"/>
      <c r="F66" s="1962"/>
      <c r="G66" s="1962"/>
      <c r="H66" s="1962"/>
      <c r="I66" s="1962"/>
      <c r="J66" s="1962"/>
      <c r="K66" s="1962"/>
      <c r="L66" s="1962"/>
      <c r="M66" s="1962"/>
      <c r="N66" s="1962"/>
      <c r="O66" s="1962"/>
      <c r="P66" s="1962"/>
      <c r="Q66" s="1962"/>
    </row>
    <row r="67" spans="1:17" ht="15.6" customHeight="1" x14ac:dyDescent="0.3">
      <c r="A67" s="1962" t="s">
        <v>1239</v>
      </c>
      <c r="B67" s="1962"/>
      <c r="C67" s="1962"/>
      <c r="D67" s="1962"/>
      <c r="E67" s="1962"/>
      <c r="F67" s="1962"/>
      <c r="G67" s="1962"/>
      <c r="H67" s="1962"/>
      <c r="I67" s="1962"/>
      <c r="J67" s="1962"/>
      <c r="K67" s="1962"/>
      <c r="L67" s="1962"/>
      <c r="M67" s="1962"/>
      <c r="N67" s="1962"/>
      <c r="O67" s="1962"/>
      <c r="P67" s="1962"/>
      <c r="Q67" s="1962"/>
    </row>
    <row r="68" spans="1:17" ht="15.6" customHeight="1" x14ac:dyDescent="0.3">
      <c r="A68" s="1962" t="s">
        <v>1413</v>
      </c>
      <c r="B68" s="1962"/>
      <c r="C68" s="1962"/>
      <c r="D68" s="1962"/>
      <c r="E68" s="1962"/>
      <c r="F68" s="1962"/>
      <c r="G68" s="1962"/>
      <c r="H68" s="1962"/>
      <c r="I68" s="1962"/>
      <c r="J68" s="1962"/>
      <c r="K68" s="1962"/>
      <c r="L68" s="1962"/>
      <c r="M68" s="1962"/>
      <c r="N68" s="1962"/>
      <c r="O68" s="1962"/>
      <c r="P68" s="1962"/>
      <c r="Q68" s="1962"/>
    </row>
    <row r="69" spans="1:17" ht="15.6" hidden="1" customHeight="1" x14ac:dyDescent="0.3">
      <c r="A69" s="1962"/>
      <c r="B69" s="1962"/>
      <c r="C69" s="1962"/>
      <c r="D69" s="1962"/>
      <c r="E69" s="1962"/>
      <c r="F69" s="1962"/>
      <c r="G69" s="1962"/>
      <c r="H69" s="1962"/>
      <c r="I69" s="1962"/>
      <c r="J69" s="1962"/>
      <c r="K69" s="1962"/>
      <c r="L69" s="1962"/>
      <c r="M69" s="1962"/>
      <c r="N69" s="1962"/>
      <c r="O69" s="1962"/>
      <c r="P69" s="1962"/>
      <c r="Q69" s="1962"/>
    </row>
    <row r="70" spans="1:17" ht="15" customHeight="1" x14ac:dyDescent="0.3">
      <c r="A70" s="1962" t="s">
        <v>889</v>
      </c>
      <c r="B70" s="1962"/>
      <c r="C70" s="1962"/>
      <c r="D70" s="1962"/>
      <c r="E70" s="1962"/>
      <c r="F70" s="1962"/>
      <c r="G70" s="1962"/>
      <c r="H70" s="1962"/>
      <c r="I70" s="1962"/>
      <c r="J70" s="1962"/>
      <c r="K70" s="1962"/>
      <c r="L70" s="1962"/>
      <c r="M70" s="1962"/>
      <c r="N70" s="1962"/>
      <c r="O70" s="1962"/>
      <c r="P70" s="1962"/>
      <c r="Q70" s="1962"/>
    </row>
    <row r="71" spans="1:17" ht="15.6" customHeight="1" x14ac:dyDescent="0.3">
      <c r="A71" s="1791" t="s">
        <v>892</v>
      </c>
      <c r="B71" s="1791"/>
      <c r="C71" s="1791"/>
      <c r="D71" s="1791"/>
      <c r="E71" s="1791"/>
      <c r="F71" s="1791"/>
    </row>
    <row r="72" spans="1:17" ht="4.2" customHeight="1" x14ac:dyDescent="0.3">
      <c r="N72" s="47"/>
      <c r="O72" s="47"/>
      <c r="P72" s="47" t="b">
        <v>1</v>
      </c>
    </row>
    <row r="73" spans="1:17" ht="14.4" hidden="1" customHeight="1" x14ac:dyDescent="0.3">
      <c r="A73" s="1482" t="str">
        <f ca="1">REPLACE(CELL("filename",A73),1,FIND("]",CELL("filename",A73)),"")</f>
        <v>Rent Inc. (sch E)</v>
      </c>
      <c r="B73" s="1482"/>
      <c r="C73" s="1482"/>
      <c r="D73" s="1482"/>
      <c r="F73" s="608"/>
      <c r="G73" s="608"/>
      <c r="H73" s="608"/>
      <c r="I73" s="608"/>
      <c r="N73" s="1046" t="b">
        <v>0</v>
      </c>
      <c r="O73" s="1046"/>
    </row>
    <row r="74" spans="1:17" ht="14.4" hidden="1" customHeight="1" x14ac:dyDescent="0.3">
      <c r="E74" s="608"/>
      <c r="F74" s="608"/>
      <c r="G74" s="608"/>
      <c r="H74" s="608"/>
      <c r="I74" s="608"/>
      <c r="K74" s="1065">
        <f>IF(B16="Error: Loan type indicated as Conventional, Fannie or Freddie should be selected","E",0)</f>
        <v>0</v>
      </c>
      <c r="N74" s="1046" t="b">
        <v>0</v>
      </c>
      <c r="O74" s="1046"/>
      <c r="P74" s="1046" t="b">
        <v>0</v>
      </c>
      <c r="Q74" s="1046" t="b">
        <v>0</v>
      </c>
    </row>
    <row r="75" spans="1:17" hidden="1" x14ac:dyDescent="0.3">
      <c r="M75" s="1046" t="b">
        <v>0</v>
      </c>
      <c r="N75" s="1046" t="b">
        <v>0</v>
      </c>
      <c r="O75" s="1046"/>
      <c r="P75" s="1046" t="b">
        <v>0</v>
      </c>
      <c r="Q75" s="1046" t="b">
        <v>0</v>
      </c>
    </row>
    <row r="76" spans="1:17" hidden="1" x14ac:dyDescent="0.3"/>
    <row r="77" spans="1:17" hidden="1" x14ac:dyDescent="0.3"/>
    <row r="81" spans="14:17" x14ac:dyDescent="0.3">
      <c r="N81" s="1419" t="str">
        <f>Version</f>
        <v>Version 2026.1</v>
      </c>
      <c r="O81" s="1419"/>
      <c r="P81" s="1419"/>
      <c r="Q81" s="1419"/>
    </row>
  </sheetData>
  <sheetProtection algorithmName="SHA-512" hashValue="8hgAfO1YMVyanZFiNo29v5HLRF2+6dgqoByhpecMxzbP0YWLzGHtCITlxKk9Az6Ny2nAOL1eytI7B0NixeTABQ==" saltValue="DMlBsB24eZsgCxzDIZScRQ==" spinCount="100000" sheet="1" objects="1" scenarios="1" selectLockedCells="1"/>
  <customSheetViews>
    <customSheetView guid="{F6F8AA9B-E24B-473E-B61F-666F74B21956}" scale="90" showPageBreaks="1" showGridLines="0" view="pageLayout" showRuler="0">
      <selection activeCell="H27" sqref="H27:I27"/>
      <pageMargins left="0.25" right="0.25" top="0.25" bottom="0.25" header="0.3" footer="0.3"/>
      <pageSetup orientation="portrait" r:id="rId1"/>
    </customSheetView>
  </customSheetViews>
  <mergeCells count="99">
    <mergeCell ref="E27:H27"/>
    <mergeCell ref="B27:D27"/>
    <mergeCell ref="B22:H22"/>
    <mergeCell ref="B41:L41"/>
    <mergeCell ref="C44:J44"/>
    <mergeCell ref="J24:L24"/>
    <mergeCell ref="B39:G39"/>
    <mergeCell ref="G33:L33"/>
    <mergeCell ref="B35:G35"/>
    <mergeCell ref="B36:C36"/>
    <mergeCell ref="B37:C37"/>
    <mergeCell ref="H34:L40"/>
    <mergeCell ref="M39:O39"/>
    <mergeCell ref="B38:C38"/>
    <mergeCell ref="B9:F9"/>
    <mergeCell ref="A18:I19"/>
    <mergeCell ref="J22:L22"/>
    <mergeCell ref="N18:P19"/>
    <mergeCell ref="J18:L19"/>
    <mergeCell ref="J29:L29"/>
    <mergeCell ref="N29:P29"/>
    <mergeCell ref="M32:O32"/>
    <mergeCell ref="N28:P28"/>
    <mergeCell ref="N27:P27"/>
    <mergeCell ref="B32:F32"/>
    <mergeCell ref="G32:K32"/>
    <mergeCell ref="L30:O30"/>
    <mergeCell ref="N24:P24"/>
    <mergeCell ref="F2:J2"/>
    <mergeCell ref="L2:Q2"/>
    <mergeCell ref="F3:J3"/>
    <mergeCell ref="B16:O16"/>
    <mergeCell ref="B13:I13"/>
    <mergeCell ref="B11:G11"/>
    <mergeCell ref="B15:K15"/>
    <mergeCell ref="M9:N9"/>
    <mergeCell ref="G9:L9"/>
    <mergeCell ref="L15:M15"/>
    <mergeCell ref="J13:K13"/>
    <mergeCell ref="L3:Q3"/>
    <mergeCell ref="B5:H5"/>
    <mergeCell ref="J5:Q6"/>
    <mergeCell ref="J4:Q4"/>
    <mergeCell ref="H11:J11"/>
    <mergeCell ref="N25:P25"/>
    <mergeCell ref="J26:L26"/>
    <mergeCell ref="B20:H20"/>
    <mergeCell ref="B21:H21"/>
    <mergeCell ref="N23:P23"/>
    <mergeCell ref="N22:P22"/>
    <mergeCell ref="N20:P20"/>
    <mergeCell ref="J21:L21"/>
    <mergeCell ref="N21:P21"/>
    <mergeCell ref="J20:L20"/>
    <mergeCell ref="N26:P26"/>
    <mergeCell ref="A71:F71"/>
    <mergeCell ref="A73:D73"/>
    <mergeCell ref="A68:Q68"/>
    <mergeCell ref="A65:Q65"/>
    <mergeCell ref="A66:Q66"/>
    <mergeCell ref="A67:Q67"/>
    <mergeCell ref="A70:Q70"/>
    <mergeCell ref="A69:Q69"/>
    <mergeCell ref="A63:D63"/>
    <mergeCell ref="L58:P58"/>
    <mergeCell ref="B55:E55"/>
    <mergeCell ref="A59:Q61"/>
    <mergeCell ref="A58:E58"/>
    <mergeCell ref="B57:O57"/>
    <mergeCell ref="N81:Q81"/>
    <mergeCell ref="B23:H23"/>
    <mergeCell ref="B24:H24"/>
    <mergeCell ref="J23:L23"/>
    <mergeCell ref="J27:L27"/>
    <mergeCell ref="G29:I29"/>
    <mergeCell ref="J25:L25"/>
    <mergeCell ref="J28:L28"/>
    <mergeCell ref="B25:H25"/>
    <mergeCell ref="B28:H28"/>
    <mergeCell ref="B26:H26"/>
    <mergeCell ref="D30:J30"/>
    <mergeCell ref="B33:E33"/>
    <mergeCell ref="A64:Q64"/>
    <mergeCell ref="M48:O48"/>
    <mergeCell ref="M41:O41"/>
    <mergeCell ref="B54:O54"/>
    <mergeCell ref="B56:O56"/>
    <mergeCell ref="C47:G47"/>
    <mergeCell ref="M46:O46"/>
    <mergeCell ref="M47:O47"/>
    <mergeCell ref="D49:K51"/>
    <mergeCell ref="B48:H48"/>
    <mergeCell ref="M43:O43"/>
    <mergeCell ref="M44:O44"/>
    <mergeCell ref="M45:O45"/>
    <mergeCell ref="B42:L42"/>
    <mergeCell ref="C52:O52"/>
    <mergeCell ref="C45:J45"/>
    <mergeCell ref="B43:J43"/>
  </mergeCells>
  <conditionalFormatting sqref="A65:A67">
    <cfRule type="expression" dxfId="948" priority="86">
      <formula>OR(#REF!&lt;&gt;0,#REF!&lt;&gt;0,$J$22&lt;&gt;0,$N$22&lt;&gt;0)</formula>
    </cfRule>
  </conditionalFormatting>
  <conditionalFormatting sqref="J22:L22">
    <cfRule type="expression" dxfId="947" priority="85">
      <formula>$J$22&lt;&gt;0</formula>
    </cfRule>
  </conditionalFormatting>
  <conditionalFormatting sqref="N22:P22">
    <cfRule type="expression" dxfId="946" priority="84">
      <formula>$N$22&lt;&gt;0</formula>
    </cfRule>
  </conditionalFormatting>
  <conditionalFormatting sqref="M22">
    <cfRule type="expression" dxfId="945" priority="83">
      <formula>$J$22&lt;&gt;0</formula>
    </cfRule>
  </conditionalFormatting>
  <conditionalFormatting sqref="Q22">
    <cfRule type="expression" dxfId="944" priority="82">
      <formula>$N$22&lt;&gt;0</formula>
    </cfRule>
  </conditionalFormatting>
  <conditionalFormatting sqref="B37:C37">
    <cfRule type="expression" dxfId="943" priority="58">
      <formula>AND($B$37="",$D$37&lt;&gt;"")</formula>
    </cfRule>
  </conditionalFormatting>
  <conditionalFormatting sqref="D37">
    <cfRule type="expression" dxfId="942" priority="57">
      <formula>AND($D$37="",$B$37&lt;&gt;"")</formula>
    </cfRule>
  </conditionalFormatting>
  <conditionalFormatting sqref="E37">
    <cfRule type="expression" dxfId="941" priority="56">
      <formula>AND($E$37="",$F$37&lt;&gt;"")</formula>
    </cfRule>
  </conditionalFormatting>
  <conditionalFormatting sqref="F37">
    <cfRule type="expression" dxfId="940" priority="55">
      <formula>AND($F$37="",$E$37&lt;&gt;"")</formula>
    </cfRule>
  </conditionalFormatting>
  <conditionalFormatting sqref="G29:I29">
    <cfRule type="expression" dxfId="939" priority="54">
      <formula>OR($G$37="",$G$37=12,$G$37=24)</formula>
    </cfRule>
  </conditionalFormatting>
  <conditionalFormatting sqref="J29:L29">
    <cfRule type="expression" dxfId="938" priority="53">
      <formula>AND($F$38&lt;12,$F$38&lt;&gt;"")</formula>
    </cfRule>
  </conditionalFormatting>
  <conditionalFormatting sqref="N29:P29">
    <cfRule type="expression" dxfId="937" priority="52">
      <formula>AND($D$38&lt;12,$D$38&lt;&gt;"")</formula>
    </cfRule>
  </conditionalFormatting>
  <conditionalFormatting sqref="L30">
    <cfRule type="expression" dxfId="936" priority="43">
      <formula>$N$29=0</formula>
    </cfRule>
    <cfRule type="expression" dxfId="935" priority="44">
      <formula>AND($J$29&lt;&gt;0,$N$29&lt;&gt;0,$J$29&lt;$N$29)</formula>
    </cfRule>
    <cfRule type="expression" dxfId="934" priority="45">
      <formula>AND(OR($F$33=12,$F$33=24,$F$33=0),$J$29&lt;&gt;0,$N$29&lt;&gt;0,$J$29&lt;$N$29)</formula>
    </cfRule>
  </conditionalFormatting>
  <conditionalFormatting sqref="F55:K55">
    <cfRule type="expression" dxfId="933" priority="868">
      <formula>OR(AND(#REF!&lt;&gt;0,#REF!&lt;&gt;0,#REF!&lt;#REF!,#REF!=FALSE,#REF!&gt;0), AND(#REF!&lt;&gt;0,#REF!&lt;&gt;0,#REF!&lt;#REF!,#REF!=TRUE,#REF!&gt;12), AND(#REF!&lt;&gt;0,#REF!&lt;&gt;0,#REF!&gt;#REF!,#REF!=TRUE), AND(#REF!&lt;&gt;0,#REF!&lt;&gt;0,#REF!&gt;#REF!,#REF!&lt;24,#REF!&gt;0))</formula>
    </cfRule>
  </conditionalFormatting>
  <conditionalFormatting sqref="M48">
    <cfRule type="expression" dxfId="932" priority="871">
      <formula>$P$74=TRUE</formula>
    </cfRule>
  </conditionalFormatting>
  <conditionalFormatting sqref="A69:Q69">
    <cfRule type="expression" dxfId="931" priority="37">
      <formula>AND($D$38&lt;12,$D$38&lt;&gt;"")</formula>
    </cfRule>
    <cfRule type="expression" dxfId="930" priority="38">
      <formula>AND($F$38&lt;12,$F$38&lt;&gt;"")</formula>
    </cfRule>
  </conditionalFormatting>
  <conditionalFormatting sqref="L58:P58">
    <cfRule type="expression" dxfId="929" priority="902">
      <formula>AND(A73&lt;&gt;"Rent Inc. (sch E)",A73&lt;&gt;"Rent Inc. (sch E) (2)",A73&lt;&gt;"Rent Inc. (sch E) (3)",A73&lt;&gt;"Rent Inc. (sch E) (4)",A73&lt;&gt;"Rent Inc. (sch E) (5)",A73&lt;&gt;"Rent Inc. (sch E) (6)",A73&lt;&gt;"Rent Inc. (sch E) (7)",A73&lt;&gt;"Rent Inc. (sch E) (8)",A73&lt;&gt;"Rent Inc. (sch E) (9)",A73&lt;&gt;"Rent Inc. (sch E) (10)",A73&lt;&gt;"Rent Inc. (sch E) (11)",A73&lt;&gt;"Rent Inc. (sch E) (12)",A73&lt;&gt;"Rent Inc. (sch E) (13)",A73&lt;&gt;"Rent Inc. (sch E) (14)",A73&lt;&gt;"Rent Inc. (sch E) (15)",A73&lt;&gt;"Rent Inc. (sch E) (16)",A73&lt;&gt;"Rent Inc. (sch E) (17)",A73&lt;&gt;"Rent Inc. (sch E) (18)",A73&lt;&gt;"Rent Inc. (sch E) (19)",A73&lt;&gt;"Rent Inc. (sch E) (20)")</formula>
    </cfRule>
  </conditionalFormatting>
  <conditionalFormatting sqref="N18:P19">
    <cfRule type="expression" dxfId="928" priority="34">
      <formula>$Q$74=TRUE</formula>
    </cfRule>
  </conditionalFormatting>
  <conditionalFormatting sqref="N20:P27 B37:D37">
    <cfRule type="expression" dxfId="927" priority="26" stopIfTrue="1">
      <formula>$Q$74=TRUE</formula>
    </cfRule>
  </conditionalFormatting>
  <conditionalFormatting sqref="J4:K4">
    <cfRule type="expression" dxfId="926" priority="30">
      <formula>$Q$75=TRUE</formula>
    </cfRule>
  </conditionalFormatting>
  <conditionalFormatting sqref="J5:K5">
    <cfRule type="expression" dxfId="925" priority="29">
      <formula>$Q$75=TRUE</formula>
    </cfRule>
  </conditionalFormatting>
  <conditionalFormatting sqref="N21:P27 J21:L27 E27">
    <cfRule type="expression" dxfId="924" priority="33">
      <formula>$Q$75</formula>
    </cfRule>
  </conditionalFormatting>
  <conditionalFormatting sqref="C47:G47 M44:M47">
    <cfRule type="expression" dxfId="923" priority="27">
      <formula>$Q$75=TRUE</formula>
    </cfRule>
  </conditionalFormatting>
  <conditionalFormatting sqref="M43 F33 B37:F37 N20:P20 J20:L20">
    <cfRule type="expression" dxfId="922" priority="28">
      <formula>$Q$75=TRUE</formula>
    </cfRule>
  </conditionalFormatting>
  <conditionalFormatting sqref="B44:K47 A20:I21 A26:B27 E27 I27 A23:I25 A22:B22 I22">
    <cfRule type="expression" dxfId="921" priority="25">
      <formula>$Q$75=TRUE</formula>
    </cfRule>
  </conditionalFormatting>
  <conditionalFormatting sqref="B33:E33">
    <cfRule type="expression" dxfId="920" priority="24">
      <formula>$Q$75=TRUE</formula>
    </cfRule>
  </conditionalFormatting>
  <conditionalFormatting sqref="B43:K43">
    <cfRule type="expression" dxfId="919" priority="23">
      <formula>$Q$75=TRUE</formula>
    </cfRule>
  </conditionalFormatting>
  <conditionalFormatting sqref="D49">
    <cfRule type="expression" dxfId="918" priority="22">
      <formula>$D$49&lt;&gt;""</formula>
    </cfRule>
  </conditionalFormatting>
  <conditionalFormatting sqref="L15:M15">
    <cfRule type="expression" dxfId="917" priority="20">
      <formula>$B$15=""</formula>
    </cfRule>
  </conditionalFormatting>
  <conditionalFormatting sqref="J13:K13">
    <cfRule type="expression" dxfId="916" priority="19">
      <formula>$B$13=""</formula>
    </cfRule>
  </conditionalFormatting>
  <conditionalFormatting sqref="H11:J11">
    <cfRule type="expression" dxfId="915" priority="18">
      <formula>$B$11=""</formula>
    </cfRule>
  </conditionalFormatting>
  <conditionalFormatting sqref="B8:O16">
    <cfRule type="expression" dxfId="914" priority="15">
      <formula>OR($N$1="FHA",$N$1="VA",$N$1="USDA")</formula>
    </cfRule>
  </conditionalFormatting>
  <conditionalFormatting sqref="B16:O16">
    <cfRule type="expression" dxfId="913" priority="14">
      <formula>$B$16="Rental income is not limited on this property, Proceed below"</formula>
    </cfRule>
    <cfRule type="expression" dxfId="912" priority="17">
      <formula>$B$16="Proceed Below"</formula>
    </cfRule>
  </conditionalFormatting>
  <conditionalFormatting sqref="M9:N9">
    <cfRule type="expression" dxfId="911" priority="16">
      <formula>AND($N$1="Conventional",$M$9="N/A")</formula>
    </cfRule>
  </conditionalFormatting>
  <conditionalFormatting sqref="M41:O41">
    <cfRule type="expression" dxfId="910" priority="13">
      <formula>AND($M$39&lt;&gt;0,$M$41=0)</formula>
    </cfRule>
  </conditionalFormatting>
  <conditionalFormatting sqref="B42:L42">
    <cfRule type="expression" dxfId="909" priority="11">
      <formula>OR($N$1="FHA",$N$1="VA",$N$1="USDA")</formula>
    </cfRule>
  </conditionalFormatting>
  <conditionalFormatting sqref="B42:L42">
    <cfRule type="expression" dxfId="908" priority="10">
      <formula>$B$16="Rental income is not limited on this property, Proceed below"</formula>
    </cfRule>
    <cfRule type="expression" dxfId="907" priority="12">
      <formula>$B$16="Proceed Below"</formula>
    </cfRule>
  </conditionalFormatting>
  <conditionalFormatting sqref="E63:U63">
    <cfRule type="expression" dxfId="906" priority="6">
      <formula>AND($D$38&lt;12,$D$38&lt;&gt;"")</formula>
    </cfRule>
    <cfRule type="expression" dxfId="905" priority="7">
      <formula>AND($F$38&lt;12,$F$38&lt;&gt;"")</formula>
    </cfRule>
  </conditionalFormatting>
  <conditionalFormatting sqref="A64:Q64">
    <cfRule type="expression" dxfId="904" priority="4">
      <formula>AND($D$38&lt;12,$D$38&lt;&gt;"")</formula>
    </cfRule>
    <cfRule type="expression" dxfId="903" priority="5">
      <formula>AND($F$38&lt;12,$F$38&lt;&gt;"")</formula>
    </cfRule>
  </conditionalFormatting>
  <conditionalFormatting sqref="F33">
    <cfRule type="expression" dxfId="902" priority="2412">
      <formula>$H$34="Number of Months Reviewed Needed"</formula>
    </cfRule>
    <cfRule type="expression" dxfId="901" priority="2413">
      <formula>AND($F$33&gt;12,$Q$74=TRUE)</formula>
    </cfRule>
    <cfRule type="expression" dxfId="900" priority="2414">
      <formula>OR(AND($J$29&lt;&gt;0,$N$29&lt;&gt;0,$J$29&lt;$N$29,$F$33&gt;12),AND($J$29&lt;&gt;0,$N$29&lt;&gt;0,$J$29&gt;$N$29,$F$33&lt;&gt;$G$37,$F$33&lt;&gt;""),AND($J$29&lt;&gt;0,$N$29&lt;&gt;0,$N$29=$J$29,$F$33&gt;12,$F$33&lt;&gt;"",$P$75=TRUE),AND($J$29&lt;&gt;0,$N$29&lt;&gt;0,$N$29=$J$29,$F$33&lt;&gt;$G$37,$F$33&lt;&gt;"",$P$75=FALSE))</formula>
    </cfRule>
  </conditionalFormatting>
  <conditionalFormatting sqref="C52:O52">
    <cfRule type="expression" dxfId="899" priority="2415">
      <formula>OR(AND($J$29&lt;&gt;0,$N$29&lt;&gt;0,$J$29&lt;$N$29,$P$75=FALSE,$F$33&gt;0), AND($J$29&lt;&gt;0,$N$29&lt;&gt;0,$J$29&lt;$N$29,$P$75=TRUE,$F$33&gt;12),AND($J$29&lt;&gt;0,$N$29&lt;&gt;0,$J$29&lt;$N$29,$F$33&gt;12),AND($J$29&lt;&gt;0,$N$29&lt;&gt;0,$J$29&gt;$N$29,$F$33&lt;&gt;$G$37,$F$33&lt;&gt;""),AND($J$29&lt;&gt;0,$N$29&lt;&gt;0,$N$29=$J$29,$F$33&gt;12,$F$33&lt;&gt;"",$P$75=TRUE),AND($J$29&lt;&gt;0,$N$29&lt;&gt;0,$N$29=$J$29,$F$33&lt;&gt;$G$37,$F$33&lt;&gt;"",$P$75=FALSE),AND($J$29&lt;&gt;0,$N$29&lt;&gt;0,$J$29&gt;$N$29,$P$75=TRUE),AND($J$29&lt;&gt;0,$N$29&lt;&gt;$J$29&lt;$N$29,$F$33&lt;&gt;"",$P$75=FALSE),AND($J$29&lt;&gt;0,$N$29&lt;&gt;0,$J$29=$N$29,$F$33=12,$F$33&lt;&gt;"",$P$75=FALSE),AND($J$29&lt;&gt;0,$N$29&lt;&gt;0,$J$29=$N$29,$F$33=$G$37,$F$33&lt;&gt;"",$F$33&lt;&gt;12,$P$75=TRUE),AND($J$29&lt;&gt;0,$N$29&lt;&gt;0,$J$29&lt;$N$29,$F$33&lt;&gt;"",$P$75&lt;&gt;TRUE))</formula>
    </cfRule>
  </conditionalFormatting>
  <conditionalFormatting sqref="C30">
    <cfRule type="expression" dxfId="898" priority="2416" stopIfTrue="1">
      <formula>$Q$74=TRUE</formula>
    </cfRule>
    <cfRule type="expression" dxfId="897" priority="2417">
      <formula>AND($J$29&lt;&gt;0,$N$29&lt;&gt;0,$J$29=$N$29,$F$33=$G$37,$F$33&lt;&gt;"",$F$33&lt;&gt;12,$P$75=TRUE)</formula>
    </cfRule>
    <cfRule type="expression" dxfId="896" priority="2418">
      <formula>OR(AND($J$29&lt;&gt;0,$N$29&lt;&gt;0,$J$29&gt;$N$29,$P$75=TRUE),AND($J$29&lt;&gt;0,$N$29&lt;&gt;$J$29&lt;$N$29,$F$33&lt;&gt;"",$P$75=FALSE),AND($J$29&lt;&gt;0,$N$29&lt;&gt;0,$J$29=$N$29,$F$33=12,$F$33&lt;&gt;"",$P$75=FALSE),AND($J$29&lt;&gt;0,$N$29&lt;&gt;0,$J$29&lt;$N$29,$F$33&lt;&gt;"",$P$75&lt;&gt;TRUE))</formula>
    </cfRule>
    <cfRule type="expression" dxfId="895" priority="2419">
      <formula>AND($J$29&lt;&gt;0,$N$29&lt;&gt;0,$J$29&lt;$N$29)</formula>
    </cfRule>
  </conditionalFormatting>
  <conditionalFormatting sqref="L30:O30">
    <cfRule type="expression" dxfId="894" priority="2429">
      <formula>OR(AND($J$29&lt;&gt;0,$N$29&lt;&gt;0,$J$29&lt;$N$29,$P$75=FALSE,$F$33&gt;0), AND($J$29&lt;&gt;0,$N$29&lt;&gt;0,$J$29&lt;$N$29,$P$75=TRUE,$F$33&gt;12))</formula>
    </cfRule>
  </conditionalFormatting>
  <conditionalFormatting sqref="B57:O57">
    <cfRule type="expression" dxfId="893" priority="1">
      <formula>$B$57&lt;&gt;""</formula>
    </cfRule>
  </conditionalFormatting>
  <dataValidations disablePrompts="1" count="3">
    <dataValidation type="list" allowBlank="1" showInputMessage="1" showErrorMessage="1" sqref="H11" xr:uid="{2BFDD1FF-38DE-4622-A20C-5F2B47154A15}">
      <formula1>"Owns,Rents (with payment),Rent Free"</formula1>
    </dataValidation>
    <dataValidation type="list" allowBlank="1" showInputMessage="1" showErrorMessage="1" sqref="M9:N9" xr:uid="{B556198D-D58D-4FFE-845C-E67DB6456A6F}">
      <formula1>"Fannie,Freddie,N/A"</formula1>
    </dataValidation>
    <dataValidation type="list" allowBlank="1" showInputMessage="1" showErrorMessage="1" sqref="J13:K13 L15:M15" xr:uid="{B2ED7A7E-8426-4A3E-AE3C-435C752C7D2A}">
      <formula1>"Yes,No"</formula1>
    </dataValidation>
  </dataValidations>
  <printOptions horizontalCentered="1"/>
  <pageMargins left="0.25" right="0.25" top="0.25" bottom="0.25" header="0.3" footer="0.3"/>
  <pageSetup paperSize="5" scale="82"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nchor moveWithCells="1">
                  <from>
                    <xdr:col>2</xdr:col>
                    <xdr:colOff>22860</xdr:colOff>
                    <xdr:row>28</xdr:row>
                    <xdr:rowOff>60960</xdr:rowOff>
                  </from>
                  <to>
                    <xdr:col>7</xdr:col>
                    <xdr:colOff>388620</xdr:colOff>
                    <xdr:row>30</xdr:row>
                    <xdr:rowOff>76200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12</xdr:col>
                    <xdr:colOff>0</xdr:colOff>
                    <xdr:row>48</xdr:row>
                    <xdr:rowOff>53340</xdr:rowOff>
                  </from>
                  <to>
                    <xdr:col>14</xdr:col>
                    <xdr:colOff>83820</xdr:colOff>
                    <xdr:row>50</xdr:row>
                    <xdr:rowOff>30480</xdr:rowOff>
                  </to>
                </anchor>
              </controlPr>
            </control>
          </mc:Choice>
        </mc:AlternateContent>
        <mc:AlternateContent xmlns:mc="http://schemas.openxmlformats.org/markup-compatibility/2006">
          <mc:Choice Requires="x14">
            <control shapeId="5137" r:id="rId7" name="Check Box 17">
              <controlPr defaultSize="0" autoFill="0" autoLine="0" autoPict="0">
                <anchor moveWithCells="1">
                  <from>
                    <xdr:col>15</xdr:col>
                    <xdr:colOff>289560</xdr:colOff>
                    <xdr:row>43</xdr:row>
                    <xdr:rowOff>22860</xdr:rowOff>
                  </from>
                  <to>
                    <xdr:col>15</xdr:col>
                    <xdr:colOff>464820</xdr:colOff>
                    <xdr:row>44</xdr:row>
                    <xdr:rowOff>0</xdr:rowOff>
                  </to>
                </anchor>
              </controlPr>
            </control>
          </mc:Choice>
        </mc:AlternateContent>
        <mc:AlternateContent xmlns:mc="http://schemas.openxmlformats.org/markup-compatibility/2006">
          <mc:Choice Requires="x14">
            <control shapeId="5138" r:id="rId8" name="Check Box 18">
              <controlPr defaultSize="0" autoFill="0" autoLine="0" autoPict="0">
                <anchor moveWithCells="1">
                  <from>
                    <xdr:col>15</xdr:col>
                    <xdr:colOff>289560</xdr:colOff>
                    <xdr:row>44</xdr:row>
                    <xdr:rowOff>22860</xdr:rowOff>
                  </from>
                  <to>
                    <xdr:col>15</xdr:col>
                    <xdr:colOff>464820</xdr:colOff>
                    <xdr:row>45</xdr:row>
                    <xdr:rowOff>0</xdr:rowOff>
                  </to>
                </anchor>
              </controlPr>
            </control>
          </mc:Choice>
        </mc:AlternateContent>
        <mc:AlternateContent xmlns:mc="http://schemas.openxmlformats.org/markup-compatibility/2006">
          <mc:Choice Requires="x14">
            <control shapeId="5139" r:id="rId9" name="Check Box 19">
              <controlPr defaultSize="0" autoFill="0" autoLine="0" autoPict="0">
                <anchor moveWithCells="1">
                  <from>
                    <xdr:col>15</xdr:col>
                    <xdr:colOff>289560</xdr:colOff>
                    <xdr:row>45</xdr:row>
                    <xdr:rowOff>22860</xdr:rowOff>
                  </from>
                  <to>
                    <xdr:col>15</xdr:col>
                    <xdr:colOff>464820</xdr:colOff>
                    <xdr:row>46</xdr:row>
                    <xdr:rowOff>0</xdr:rowOff>
                  </to>
                </anchor>
              </controlPr>
            </control>
          </mc:Choice>
        </mc:AlternateContent>
        <mc:AlternateContent xmlns:mc="http://schemas.openxmlformats.org/markup-compatibility/2006">
          <mc:Choice Requires="x14">
            <control shapeId="5140" r:id="rId10" name="Check Box 20">
              <controlPr defaultSize="0" autoFill="0" autoLine="0" autoPict="0">
                <anchor moveWithCells="1">
                  <from>
                    <xdr:col>15</xdr:col>
                    <xdr:colOff>289560</xdr:colOff>
                    <xdr:row>46</xdr:row>
                    <xdr:rowOff>22860</xdr:rowOff>
                  </from>
                  <to>
                    <xdr:col>15</xdr:col>
                    <xdr:colOff>464820</xdr:colOff>
                    <xdr:row>47</xdr:row>
                    <xdr:rowOff>0</xdr:rowOff>
                  </to>
                </anchor>
              </controlPr>
            </control>
          </mc:Choice>
        </mc:AlternateContent>
        <mc:AlternateContent xmlns:mc="http://schemas.openxmlformats.org/markup-compatibility/2006">
          <mc:Choice Requires="x14">
            <control shapeId="5141" r:id="rId11" name="Button 21">
              <controlPr defaultSize="0" print="0" autoFill="0" autoPict="0" macro="[0]!IW_Copy">
                <anchor moveWithCells="1" sizeWithCells="1">
                  <from>
                    <xdr:col>0</xdr:col>
                    <xdr:colOff>487680</xdr:colOff>
                    <xdr:row>0</xdr:row>
                    <xdr:rowOff>7620</xdr:rowOff>
                  </from>
                  <to>
                    <xdr:col>1</xdr:col>
                    <xdr:colOff>228600</xdr:colOff>
                    <xdr:row>1</xdr:row>
                    <xdr:rowOff>114300</xdr:rowOff>
                  </to>
                </anchor>
              </controlPr>
            </control>
          </mc:Choice>
        </mc:AlternateContent>
        <mc:AlternateContent xmlns:mc="http://schemas.openxmlformats.org/markup-compatibility/2006">
          <mc:Choice Requires="x14">
            <control shapeId="5142" r:id="rId12" name="Button 22">
              <controlPr defaultSize="0" print="0" autoFill="0" autoPict="0" macro="[0]!IW_Home">
                <anchor moveWithCells="1" sizeWithCells="1">
                  <from>
                    <xdr:col>0</xdr:col>
                    <xdr:colOff>0</xdr:colOff>
                    <xdr:row>0</xdr:row>
                    <xdr:rowOff>7620</xdr:rowOff>
                  </from>
                  <to>
                    <xdr:col>0</xdr:col>
                    <xdr:colOff>434340</xdr:colOff>
                    <xdr:row>1</xdr:row>
                    <xdr:rowOff>114300</xdr:rowOff>
                  </to>
                </anchor>
              </controlPr>
            </control>
          </mc:Choice>
        </mc:AlternateContent>
        <mc:AlternateContent xmlns:mc="http://schemas.openxmlformats.org/markup-compatibility/2006">
          <mc:Choice Requires="x14">
            <control shapeId="5143" r:id="rId13" name="Button 23">
              <controlPr defaultSize="0" print="0" autoFill="0" autoPict="0" macro="[0]!Rental_Clear">
                <anchor moveWithCells="1" sizeWithCells="1">
                  <from>
                    <xdr:col>1</xdr:col>
                    <xdr:colOff>289560</xdr:colOff>
                    <xdr:row>0</xdr:row>
                    <xdr:rowOff>7620</xdr:rowOff>
                  </from>
                  <to>
                    <xdr:col>3</xdr:col>
                    <xdr:colOff>38100</xdr:colOff>
                    <xdr:row>1</xdr:row>
                    <xdr:rowOff>114300</xdr:rowOff>
                  </to>
                </anchor>
              </controlPr>
            </control>
          </mc:Choice>
        </mc:AlternateContent>
        <mc:AlternateContent xmlns:mc="http://schemas.openxmlformats.org/markup-compatibility/2006">
          <mc:Choice Requires="x14">
            <control shapeId="5144" r:id="rId14" name="Button 24">
              <controlPr defaultSize="0" print="0" autoFill="0" autoPict="0" macro="[0]!Rental_OmitHide">
                <anchor moveWithCells="1" sizeWithCells="1">
                  <from>
                    <xdr:col>0</xdr:col>
                    <xdr:colOff>7620</xdr:colOff>
                    <xdr:row>1</xdr:row>
                    <xdr:rowOff>167640</xdr:rowOff>
                  </from>
                  <to>
                    <xdr:col>1</xdr:col>
                    <xdr:colOff>137160</xdr:colOff>
                    <xdr:row>1</xdr:row>
                    <xdr:rowOff>457200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6D09F82-062F-4A9A-94C2-19E1486416D1}">
            <xm:f>AND($F$33&gt;12,OR($M$9="Fannie",$M$9="Freddie",'I&amp;D Worksheet'!$J$8:$N$8="Conventional"))</xm:f>
            <x14:dxf>
              <font>
                <color rgb="FFFF0000"/>
              </font>
              <fill>
                <patternFill>
                  <bgColor rgb="FFFFFF00"/>
                </patternFill>
              </fill>
            </x14:dxf>
          </x14:cfRule>
          <xm:sqref>F33</xm:sqref>
        </x14:conditionalFormatting>
        <x14:conditionalFormatting xmlns:xm="http://schemas.microsoft.com/office/excel/2006/main">
          <x14:cfRule type="expression" priority="59" id="{C8D79DC0-F0C4-4EB7-A5B4-ABF80E7E33FD}">
            <xm:f>OR('I&amp;D Worksheet'!$O$70=7,'I&amp;D Worksheet'!$O$70=6,'I&amp;D Worksheet'!$O$70=3)</xm:f>
            <x14:dxf>
              <font>
                <color auto="1"/>
              </font>
              <fill>
                <patternFill>
                  <bgColor rgb="FFFFFF00"/>
                </patternFill>
              </fill>
            </x14:dxf>
          </x14:cfRule>
          <xm:sqref>L2</xm:sqref>
        </x14:conditionalFormatting>
        <x14:conditionalFormatting xmlns:xm="http://schemas.microsoft.com/office/excel/2006/main">
          <x14:cfRule type="expression" priority="3" id="{A763E610-DC92-4415-9B33-2FFB547A64C0}">
            <xm:f>OR($M$9="Fannie",$M$9="Freddie",'I&amp;D Worksheet'!$J$8:$N$8="Conventional")</xm:f>
            <x14:dxf>
              <font>
                <color theme="0" tint="-0.24994659260841701"/>
              </font>
              <fill>
                <patternFill>
                  <bgColor theme="0" tint="-0.24994659260841701"/>
                </patternFill>
              </fill>
            </x14:dxf>
          </x14:cfRule>
          <xm:sqref>N20:P27</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FFE1FF"/>
    <pageSetUpPr fitToPage="1"/>
  </sheetPr>
  <dimension ref="A1:O68"/>
  <sheetViews>
    <sheetView showGridLines="0" showRowColHeaders="0" showRuler="0" view="pageLayout" zoomScale="90" zoomScaleNormal="100" zoomScaleSheetLayoutView="90" zoomScalePageLayoutView="90" workbookViewId="0">
      <selection activeCell="B8" sqref="B8:H8"/>
    </sheetView>
  </sheetViews>
  <sheetFormatPr defaultColWidth="9.109375" defaultRowHeight="14.4" x14ac:dyDescent="0.3"/>
  <cols>
    <col min="2" max="2" width="3" customWidth="1"/>
    <col min="3" max="3" width="3.44140625" customWidth="1"/>
    <col min="4" max="4" width="22.109375" customWidth="1"/>
    <col min="5" max="5" width="5.33203125" customWidth="1"/>
    <col min="6" max="6" width="9.109375" customWidth="1"/>
    <col min="7" max="7" width="6.88671875" customWidth="1"/>
    <col min="8" max="8" width="3.5546875" customWidth="1"/>
    <col min="9" max="9" width="1.88671875" customWidth="1"/>
    <col min="10" max="10" width="7.109375" customWidth="1"/>
    <col min="11" max="11" width="15.33203125" customWidth="1"/>
    <col min="12" max="12" width="5.88671875" customWidth="1"/>
    <col min="13" max="13" width="10.88671875" customWidth="1"/>
    <col min="14" max="14" width="11.109375" customWidth="1"/>
    <col min="15" max="15" width="5.5546875" customWidth="1"/>
  </cols>
  <sheetData>
    <row r="1" spans="1:15" ht="51.75" customHeight="1" x14ac:dyDescent="0.5">
      <c r="E1" s="1321" t="s">
        <v>573</v>
      </c>
      <c r="F1" s="1321"/>
      <c r="G1" s="1321"/>
      <c r="H1" s="1321"/>
      <c r="I1" s="1321"/>
      <c r="J1" s="1321"/>
      <c r="K1" s="1321"/>
      <c r="L1" s="2004" t="str">
        <f>IF(C7=0,"",IF(N4="","",IF(AND(E62=1,C7&lt;&gt;"",B7&lt;&gt;C7),"Loan type selected does not match I&amp;D Worksheet",
IF(AND(OR(E62=1,F62=2),B7&lt;&gt;"",C7&lt;&gt;0,B7&lt;&gt;C7),"Loan type selected does not match I&amp;D Worksheet",""))))</f>
        <v/>
      </c>
      <c r="M1" s="2004"/>
      <c r="N1" s="2004"/>
      <c r="O1" s="2004"/>
    </row>
    <row r="2" spans="1:15" ht="23.25" customHeight="1" thickBot="1" x14ac:dyDescent="0.35">
      <c r="A2" s="1228" t="s">
        <v>488</v>
      </c>
      <c r="B2" s="1228"/>
      <c r="C2" s="1228"/>
      <c r="D2" s="1228"/>
      <c r="E2" s="1228"/>
      <c r="F2" s="1228"/>
      <c r="G2" s="1228"/>
      <c r="H2" s="1228"/>
      <c r="I2" s="1228"/>
      <c r="J2" s="1228"/>
      <c r="K2" s="1228"/>
      <c r="L2" s="1228"/>
      <c r="M2" s="1228"/>
      <c r="N2" s="1228"/>
      <c r="O2" s="1228"/>
    </row>
    <row r="3" spans="1:15" ht="3" customHeight="1" x14ac:dyDescent="0.3">
      <c r="A3" s="740"/>
      <c r="B3" s="741"/>
      <c r="C3" s="741"/>
      <c r="D3" s="742"/>
      <c r="E3" s="741"/>
      <c r="F3" s="741"/>
      <c r="G3" s="741"/>
      <c r="H3" s="741"/>
      <c r="I3" s="743"/>
      <c r="J3" s="744"/>
      <c r="K3" s="744"/>
      <c r="L3" s="745"/>
      <c r="M3" s="746"/>
      <c r="N3" s="747"/>
      <c r="O3" s="748"/>
    </row>
    <row r="4" spans="1:15" ht="16.8" customHeight="1" x14ac:dyDescent="0.3">
      <c r="A4" s="2002" t="str">
        <f>IF(AND(OR('I&amp;D Worksheet'!J8="Conventional",'I&amp;D Worksheet'!J8="",'I&amp;D Worksheet'!J8="Other"),OR($E$62=1,$F$62=2)),"Required for Investment Properties (Departure &amp; Non Departure):",
IF(AND(OR('I&amp;D Worksheet'!J8="VA",'I&amp;D Worksheet'!J8="USDA",'I&amp;D Worksheet'!J8="FHA"),$E$62=1),"Required for Departure Investment Properties:",
""))</f>
        <v/>
      </c>
      <c r="B4" s="2003"/>
      <c r="C4" s="2003"/>
      <c r="D4" s="2003"/>
      <c r="E4" s="2003"/>
      <c r="F4" s="2003"/>
      <c r="G4" s="2003"/>
      <c r="H4" s="2003"/>
      <c r="I4" s="2003"/>
      <c r="J4" s="2003"/>
      <c r="K4" s="2001" t="s">
        <v>1059</v>
      </c>
      <c r="L4" s="2001"/>
      <c r="M4" s="2001"/>
      <c r="N4" s="751"/>
      <c r="O4" s="749" t="s">
        <v>243</v>
      </c>
    </row>
    <row r="5" spans="1:15" ht="14.4" customHeight="1" x14ac:dyDescent="0.3">
      <c r="A5" s="2019" t="str">
        <f>IF(AND(OR(E62=1,F62=2),N4="Fannie"),"2. Borrower owns a principal residence (or has a housing expense)?  (select one)",
IF(AND(OR(F62=2),N4="Freddie"),"",""))</f>
        <v/>
      </c>
      <c r="B5" s="2020"/>
      <c r="C5" s="2020"/>
      <c r="D5" s="2020"/>
      <c r="E5" s="2020"/>
      <c r="F5" s="2020"/>
      <c r="G5" s="2020"/>
      <c r="H5" s="2020"/>
      <c r="I5" s="2020"/>
      <c r="J5" s="2020"/>
      <c r="K5" s="924"/>
      <c r="M5" s="931"/>
      <c r="O5" s="749" t="s">
        <v>1297</v>
      </c>
    </row>
    <row r="6" spans="1:15" ht="16.8" customHeight="1" thickBot="1" x14ac:dyDescent="0.35">
      <c r="A6" s="2015" t="str">
        <f>IF(AND(A4&lt;&gt;"",N4="Fannie",A5=""),"2. Does the borrower have 1yr property Management Exp?",
IF(AND(A4&lt;&gt;"",N4="Fannie",A5&lt;&gt;""),"3. Does the borrower have 1yr property Management Exp?",
IF(AND(A4&lt;&gt;"",N4="Freddie",E62=1,A5&lt;&gt;""),"3. Does the borrower have 1yr property Management Exp?",
IF(AND(A4&lt;&gt;"",N4="Freddie",E62=1),"2. Does the borrower have 1yr property Management Exp?",
IF(AND(A4&lt;&gt;"",N4="FHA",E62=1),"2. At lease 25% equity in property AND it is 100 miles from Subject?",
IF(AND(A4&lt;&gt;"",N4="VA",E62=1),"2. Are there any Indicators the Property might be hard to rent?",
IF(AND(A4&lt;&gt;"",N4="USDA",E62=1),"2. Ensure all USDA requirements are met to keep daparture residence... ","")))))))</f>
        <v/>
      </c>
      <c r="B6" s="2016"/>
      <c r="C6" s="2016"/>
      <c r="D6" s="2016"/>
      <c r="E6" s="2016"/>
      <c r="F6" s="2016"/>
      <c r="G6" s="2016"/>
      <c r="H6" s="2014"/>
      <c r="I6" s="2014"/>
      <c r="J6" s="2013" t="str">
        <f>IF(AND(E62&lt;&gt;1,F62&lt;&gt;2),"",
IF(AND(A5&lt;&gt;"",K5=""),"Answer question(s) for Result",
IF(AND(OR(E62=1,F62=2),OR(N4="Fannie",N4="Freddie"),OR(AND(A6&lt;&gt;"",H6&lt;&gt;""),AND(A6=""))),"See each investment property below for results",
IF(AND(A4&lt;&gt;"",N4="FHA",H6="Yes"),"Result: Rent income not limited, Proceed",IF(AND(A4&lt;&gt;"",N4="FHA",H6="No"),"Result: Rent Income cannot be used, deduct full PITIA",
IF(AND(A4&lt;&gt;"",N4="VA",H6="No"),"Result: Rent income allowed at 100% up to offset PITIA",
IF(AND(A4&lt;&gt;"",N4="VA",H6="Yes"),"Result: Rent Income cannot be used, deduct full PITIA",
IF(AND(A4&lt;&gt;"",N4="USDA"),"No income may be added, deduct full PITIA amount",
IF(AND(A4&lt;&gt;"",N4="Other (Jumbo…)"),"No Limits applied, proceed per product guidelines dictate","Answer question(s) for Result")))))))))</f>
        <v/>
      </c>
      <c r="K6" s="2013"/>
      <c r="L6" s="2013"/>
      <c r="M6" s="2013"/>
      <c r="N6" s="2013"/>
      <c r="O6" s="750" t="s">
        <v>1057</v>
      </c>
    </row>
    <row r="7" spans="1:15" ht="31.2" customHeight="1" x14ac:dyDescent="0.3">
      <c r="A7" s="921" t="str">
        <f>IF(AND(A4&lt;&gt;"",E62=1,OR(AND(N4="Fannie",H6="Yes"),N4="Other (Jumbo…)",AND(N4="Freddie",H6="Yes"),AND(N4="FHA",H6="Yes"))),1,
IF(AND(A4&lt;&gt;"",E62=1,AND(N4="Fannie",H6="No")),2,
IF(AND(A4&lt;&gt;"",E62=1,AND(N4="Freddie",H6="No")),2,
IF(AND(A4&lt;&gt;"",E62=1,AND(N4="VA",H6="No")),2,IF(AND(A4&lt;&gt;"",E62=1,AND(N4="VA",H6="Yes")),3,
IF(AND(A4&lt;&gt;"",E62=1,AND(N4="FHA",H6="No")),3,IF(AND(A4&lt;&gt;"",E62=1,N4="USDA"),3,"")))))))</f>
        <v/>
      </c>
      <c r="B7" s="869" t="str">
        <f>IF(N4="Fannie","Conventional",IF(N4="Freddie","Conventional",IF(N4="FHA","FHA",IF(N4="VA","VA",IF(N4="USDA","USDA",IF(N4="Other (Jumbo…)","Other",""))))))</f>
        <v/>
      </c>
      <c r="C7" s="47">
        <f>'I&amp;D Worksheet'!J8</f>
        <v>0</v>
      </c>
      <c r="D7" s="2018" t="str">
        <f>IF(AND(A4&lt;&gt;"",E62=1,F62&lt;&gt;2),"*See Agency Guidelines*",
IF(AND(A4&lt;&gt;"",F62=2),"For Investment Properties filed on the most recent year(s) tax returns Schedule E, rental income should generally be calculated using the 'Rent Inc (sch E)' worksheet, rather than entered on this worksheet.  *See Agency Guidelines*",""))</f>
        <v/>
      </c>
      <c r="E7" s="2018"/>
      <c r="F7" s="2018"/>
      <c r="G7" s="2018"/>
      <c r="H7" s="2018"/>
      <c r="I7" s="2018"/>
      <c r="J7" s="2018"/>
      <c r="K7" s="2018"/>
      <c r="L7" s="2018"/>
      <c r="M7" s="2018"/>
      <c r="O7" s="411" t="s">
        <v>1058</v>
      </c>
    </row>
    <row r="8" spans="1:15" ht="15.75" customHeight="1" x14ac:dyDescent="0.3">
      <c r="A8" s="8" t="s">
        <v>0</v>
      </c>
      <c r="B8" s="1979"/>
      <c r="C8" s="1979"/>
      <c r="D8" s="1979"/>
      <c r="E8" s="1979"/>
      <c r="F8" s="1979"/>
      <c r="G8" s="1979"/>
      <c r="H8" s="1979"/>
      <c r="I8" s="208"/>
      <c r="J8" s="1228" t="s">
        <v>242</v>
      </c>
      <c r="K8" s="1228"/>
      <c r="L8" s="2"/>
      <c r="O8" s="496" t="s">
        <v>183</v>
      </c>
    </row>
    <row r="9" spans="1:15" ht="17.399999999999999" customHeight="1" x14ac:dyDescent="0.3">
      <c r="A9" s="2017" t="str">
        <f>IF(AND($N$4="Fannie",$K$5="Rent Free",A$60=4),"Required: Borrower has at least one-year of receiving rental income from this property?",
IF(AND(OR(A60=4,A60=5),OR($N$4="Freddie",N4="FHA")),"For ADU's, the ADU portion of this income should be entered separately as 'Accessory unit income' under 'Other Income' in MORE LOS",""))</f>
        <v/>
      </c>
      <c r="B9" s="2017"/>
      <c r="C9" s="2017"/>
      <c r="D9" s="2017"/>
      <c r="E9" s="2017"/>
      <c r="F9" s="2017"/>
      <c r="G9" s="2017"/>
      <c r="H9" s="2017"/>
      <c r="I9" s="2017"/>
      <c r="J9" s="2017"/>
      <c r="K9" s="2017"/>
      <c r="L9" s="2017"/>
      <c r="M9" s="922"/>
      <c r="O9" s="496" t="s">
        <v>879</v>
      </c>
    </row>
    <row r="10" spans="1:15" ht="23.25" customHeight="1" x14ac:dyDescent="0.3">
      <c r="A10" s="356"/>
      <c r="B10" s="2"/>
      <c r="D10" s="206" t="str">
        <f>IF(A61=1,"",IF(A61=3,"Lease Amount* or
for FHA see note**",IF(A61=2,"Full Property Expense                     (PITI+A or Rent)",IF(A61=5,"*Use the 'Primary with Rental Income' worksheet.","Full Property Expense                     (PITI+A)"))))</f>
        <v/>
      </c>
      <c r="E10" s="46"/>
      <c r="F10" s="2011" t="str">
        <f>IF(A61=3,"Use Percentage***","")</f>
        <v/>
      </c>
      <c r="G10" s="2011"/>
      <c r="H10" s="2009"/>
      <c r="I10" s="2009"/>
      <c r="J10" s="1969" t="s">
        <v>245</v>
      </c>
      <c r="K10" s="1969"/>
      <c r="L10" s="104"/>
      <c r="M10" s="2006" t="s">
        <v>247</v>
      </c>
      <c r="N10" s="2006"/>
      <c r="O10" s="496" t="s">
        <v>880</v>
      </c>
    </row>
    <row r="11" spans="1:15" ht="15.6" x14ac:dyDescent="0.3">
      <c r="A11" s="4"/>
      <c r="B11" s="3"/>
      <c r="D11" s="210"/>
      <c r="E11" s="209" t="s">
        <v>248</v>
      </c>
      <c r="F11" s="2012">
        <v>0.75</v>
      </c>
      <c r="G11" s="2012"/>
      <c r="H11" s="2010" t="s">
        <v>240</v>
      </c>
      <c r="I11" s="2010"/>
      <c r="J11" s="2007"/>
      <c r="K11" s="2007"/>
      <c r="L11" s="207" t="s">
        <v>179</v>
      </c>
      <c r="M11" s="2008">
        <f>IF(J11=0,0,
IF(AND($A$60=5,A7=""),0,
IF(AND(A60=4,OR(AND($N$4="VA",$F$60=1),$C$7="VA"),((D11*F11))&gt;=J11),0,
IF(F13="Answer Required Questions at Top",0,
IF(F13="Answer Required Question Above",0,
IF(F13="Answer above and to question 3 at top do not match",0,
IF(F13="Rent Income Limited to PITIA (Total Gain/Loss will be $0)",0,
IF(AND(F13="Rent Income cannot be used, deduct full PITIA",J11&gt;0),J11*-1,
IF(AND($A$60=5,$A$61=3,N4&lt;&gt;"VA",$A$7=2,((D11*F11))&gt;=J11),0,
IF(OR(AND($A$61=3,$A$60=4),AND($A$61=3,$A$60=5,N4&lt;&gt;"VA",OR($A$7=1,((D11*F11))&lt;J11))),(J11*-1)+(D11*F11),
IF(AND($A$60=5,$A$61=3,N4="VA",$A$7=2,D11&gt;=J11),0,
IF(AND($A$60=5,$A$61=3,N4="VA",$A$7=2,D11&lt;J11),D11-J11,
IF(AND(A60=5,A7=3),J11*-1,"")))))))))))))</f>
        <v>0</v>
      </c>
      <c r="N11" s="2008"/>
      <c r="O11" s="231">
        <f>IF(AND(M59=FALSE,A61=3),M11,0)</f>
        <v>0</v>
      </c>
    </row>
    <row r="12" spans="1:15" ht="9" customHeight="1" x14ac:dyDescent="0.3">
      <c r="A12" s="4"/>
      <c r="B12" s="1701"/>
      <c r="C12" s="1701"/>
      <c r="D12" s="1701"/>
      <c r="E12" s="1701"/>
      <c r="F12" s="1701"/>
      <c r="G12" s="1701"/>
      <c r="H12" s="1701"/>
      <c r="I12" s="1701"/>
      <c r="J12" s="874"/>
      <c r="K12" s="6"/>
      <c r="L12" s="2"/>
      <c r="M12" s="2005"/>
      <c r="N12" s="2005"/>
    </row>
    <row r="13" spans="1:15" ht="15" customHeight="1" x14ac:dyDescent="0.3">
      <c r="A13" s="2024" t="s">
        <v>30</v>
      </c>
      <c r="B13" s="2024"/>
      <c r="C13" s="2024"/>
      <c r="D13" s="232">
        <f>IF(AND(M59=FALSE,A61=2),D11*-1,0)</f>
        <v>0</v>
      </c>
      <c r="E13" s="232">
        <f>IF(AND(M59=FALSE,A61=4),D11*-1,0)</f>
        <v>0</v>
      </c>
      <c r="F13" s="2022" t="str">
        <f>IF(AND(A4&lt;&gt;"",N4=""),"Answer Required Questions at Top",
IF(AND(A5&lt;&gt;"",K5=""),"Answer Required Questions at Top",
IF(AND(A6&lt;&gt;"",H6=""),"Answer Required Questions at Top",
IF(AND(A60=4,D11&lt;&gt;"",J11&lt;&gt;"",OR(AND($N$4="VA",$F$60=1),$C$7="VA"),((D11-(D11*F11))&gt;=J11)),"Rent Income Limited to PITIA on VA loans",
IF(AND(A60=4,OR(AND($N$4="VA",$F$60=1),$C$7="VA"),((D11-(D11*F11))&lt;J11)),"Rent loss impacts debt total only on VA loans",
IF(AND(A60=4,N4="Fannie",A9&lt;&gt;"",M9=""),"Answer Required Question Above",
IF(AND(A60=4,N4="Fannie",A9="",OR(K5="Own",K5="Rent (with payment)"),H6="Yes"),"Rent Income is not limited on this Property",
IF(AND(A60=4,N4="Fannie",A9="",OR(K5="Own",K5="Rent (with payment)"),H6="No",((D11-(D11*F11))&gt;J11)),"Rent Income Limited to PITIA (Total Gain/Loss will be $0)",
IF(AND(A60=4,N4="Fannie",A9="",OR(K5="Own",K5="Rent (with payment)"),H6="No",((D11-(D11*F11))&lt;=J11)),"Rent Income Limited to PITIA",
IF(AND(A60=4,N4="Fannie",A9&lt;&gt;"",M9="Yes",H6="No"),"Answer above and to question 3 at top do not match",
IF(AND(A60=4,N4="Fannie",A9&lt;&gt;"",M9="Yes",H6="Yes"),"Rent Income is not limited on this Property",
IF(AND(A60=4,N4="Fannie",A9&lt;&gt;"",M9="No"),"Rent Income cannot be used, deduct full PITIA",
IF(AND(A60=5,N4="Fannie",K5="Rent Free"),"Rent Income cannot be used, deduct full PITIA",
IF(AND(A$60=5,$A$7=2,((D11-(D11*F11))&gt;J11)),"Rent Income Limited to PITIA (Total Gain/Loss will be $0)",
IF(AND(A$60=5,$A$7=2,((D11-(D11*F11))&lt;=J11)),"Rent Income Limited to PITIA",
IF(AND(A60=5,N4="Fannie",H6="Yes",K5="Rent Free"),"Rent Income is not limited on this Property",
IF(AND(A60=5,N4="Freddie",H6="Yes"),"Rent Income is not limited on this Property",
IF(AND(A60=4,N4="Freddie"),"Rent Income is not limited on this Property",
IF(AND(A60=5,N4="Fannie",H6="Yes",OR(K5="Own",K5="Rent (with Payment)")),"Rent Income is not limited on this Property","")))))))))))))))))))</f>
        <v/>
      </c>
      <c r="G13" s="2022"/>
      <c r="H13" s="2022"/>
      <c r="I13" s="2022"/>
      <c r="J13" s="2022"/>
      <c r="K13" s="2022"/>
      <c r="L13" s="2022"/>
      <c r="M13" s="19"/>
      <c r="N13" s="19"/>
    </row>
    <row r="14" spans="1:15" ht="15" customHeight="1" x14ac:dyDescent="0.3">
      <c r="A14" s="2023"/>
      <c r="B14" s="2023"/>
      <c r="C14" s="2023"/>
      <c r="D14" s="2023"/>
      <c r="E14" s="2023"/>
      <c r="F14" s="2023"/>
      <c r="G14" s="2023"/>
      <c r="H14" s="2023"/>
      <c r="I14" s="2023"/>
      <c r="J14" s="2023"/>
      <c r="K14" s="2023"/>
      <c r="L14" s="2023"/>
      <c r="M14" s="2023"/>
      <c r="N14" s="2023"/>
      <c r="O14" s="2023"/>
    </row>
    <row r="15" spans="1:15" ht="15" customHeight="1" x14ac:dyDescent="0.3">
      <c r="A15" s="2023"/>
      <c r="B15" s="2023"/>
      <c r="C15" s="2023"/>
      <c r="D15" s="2023"/>
      <c r="E15" s="2023"/>
      <c r="F15" s="2023"/>
      <c r="G15" s="2023"/>
      <c r="H15" s="2023"/>
      <c r="I15" s="2023"/>
      <c r="J15" s="2023"/>
      <c r="K15" s="2023"/>
      <c r="L15" s="2023"/>
      <c r="M15" s="2023"/>
      <c r="N15" s="2023"/>
      <c r="O15" s="2023"/>
    </row>
    <row r="16" spans="1:15" ht="40.5" customHeight="1" x14ac:dyDescent="0.3">
      <c r="A16" s="2"/>
      <c r="B16" s="2"/>
      <c r="C16" s="2"/>
      <c r="D16" s="2"/>
      <c r="E16" s="2"/>
      <c r="F16" s="2"/>
      <c r="G16" s="2"/>
      <c r="H16" s="2"/>
      <c r="I16" s="2"/>
      <c r="J16" s="2"/>
      <c r="K16" s="2021" t="s">
        <v>414</v>
      </c>
      <c r="L16" s="2021"/>
      <c r="M16" s="2021"/>
      <c r="N16" s="2021"/>
    </row>
    <row r="17" spans="1:15" ht="15.6" x14ac:dyDescent="0.3">
      <c r="A17" s="8" t="s">
        <v>0</v>
      </c>
      <c r="B17" s="1979"/>
      <c r="C17" s="1979"/>
      <c r="D17" s="1979"/>
      <c r="E17" s="1979"/>
      <c r="F17" s="1979"/>
      <c r="G17" s="1979"/>
      <c r="H17" s="1979"/>
      <c r="I17" s="208"/>
      <c r="J17" s="1228" t="s">
        <v>242</v>
      </c>
      <c r="K17" s="1228"/>
      <c r="L17" s="2"/>
      <c r="N17" s="204" t="s">
        <v>244</v>
      </c>
    </row>
    <row r="18" spans="1:15" ht="18.600000000000001" customHeight="1" x14ac:dyDescent="0.3">
      <c r="A18" s="2017" t="str">
        <f>IF(AND($N$4="Fannie",$K$5="Rent Free",B$60=4),"Required: Borrower has at least one-year of receiving rental income from this property?",
IF(AND(OR(B60=4,B60=5),OR($N$4="Freddie",N4="FHA")),"For ADU's, the ADU portion of this income should be entered separately as 'Accessory unit income' under 'Other Income' in MORE LOS",""))</f>
        <v/>
      </c>
      <c r="B18" s="2017"/>
      <c r="C18" s="2017"/>
      <c r="D18" s="2017"/>
      <c r="E18" s="2017"/>
      <c r="F18" s="2017"/>
      <c r="G18" s="2017"/>
      <c r="H18" s="2017"/>
      <c r="I18" s="2017"/>
      <c r="J18" s="2017"/>
      <c r="K18" s="2017"/>
      <c r="L18" s="2017"/>
      <c r="M18" s="922"/>
      <c r="N18" s="203" t="s">
        <v>183</v>
      </c>
    </row>
    <row r="19" spans="1:15" ht="23.25" customHeight="1" x14ac:dyDescent="0.3">
      <c r="A19" s="4"/>
      <c r="B19" s="2"/>
      <c r="D19" s="206" t="str">
        <f>IF(B61=1,"",IF(B61=3,"Lease Amount* or
for FHA see note**",IF(B61=2,"Full Property Expense                     (PITI+A or Rent)",IF(B61=5,"*Use the 'Primary with Rental Income' worksheet.","Full Property Expense                     (PITI+A)"))))</f>
        <v/>
      </c>
      <c r="E19" s="46"/>
      <c r="F19" s="2011" t="str">
        <f>IF(B61=3,"Use Percentage***","")</f>
        <v/>
      </c>
      <c r="G19" s="2011"/>
      <c r="H19" s="2009"/>
      <c r="I19" s="2009"/>
      <c r="J19" s="1969" t="s">
        <v>245</v>
      </c>
      <c r="K19" s="1969"/>
      <c r="L19" s="104"/>
      <c r="M19" s="2006" t="s">
        <v>247</v>
      </c>
      <c r="N19" s="2006"/>
    </row>
    <row r="20" spans="1:15" ht="15.6" x14ac:dyDescent="0.3">
      <c r="A20" s="4"/>
      <c r="B20" s="3"/>
      <c r="D20" s="210"/>
      <c r="E20" s="209" t="s">
        <v>248</v>
      </c>
      <c r="F20" s="2012">
        <v>0.75</v>
      </c>
      <c r="G20" s="2012"/>
      <c r="H20" s="2010" t="s">
        <v>240</v>
      </c>
      <c r="I20" s="2010"/>
      <c r="J20" s="2007"/>
      <c r="K20" s="2007"/>
      <c r="L20" s="207" t="s">
        <v>179</v>
      </c>
      <c r="M20" s="2008">
        <f>IF(J20=0,0,
IF(AND($B$60=5,A7=""),0,
IF(AND(B60=4,OR(AND($N$4="VA",$F$60=1),$C$7="VA"),((D20*F20)&gt;=J20)),0,
IF(F22="Answer Required Questions at Top",0,
IF(F22="Answer Required Question Above",0,
IF(F22="Answer above and to question 3 at top do not match",0,
IF(F22="Rent Income Limited to PITIA (Total Gain/Loss will be $0)",0,
IF(AND(F22="Rent Income cannot be used, deduct full PITIA",J20&gt;0),J20*-1,
IF(AND($B$60=5,$B$61=3,N4&lt;&gt;"VA",$A$7=2,((D20*F20)&gt;=J20)),0,
IF(OR(AND($B$61=3,$B$60=4),AND($B$61=3,$B$60=5,N4&lt;&gt;"VA",OR($A$7=1,((D20*F20))&lt;J20))),(J20*-1)+(D20*F20),
IF(AND($B$60=5,$B$61=3,N4="VA",$A$7=2,D20&gt;=J20),0,
IF(AND($B$60=5,$B$61=3,N4="VA",$A$7=2,D20&lt;J20),D20-J20,
IF(AND(B60=5,A7=3),J20*-1,"")))))))))))))</f>
        <v>0</v>
      </c>
      <c r="N20" s="2008"/>
      <c r="O20" s="231">
        <f>IF(AND(M60=FALSE,B61=3),M20,0)</f>
        <v>0</v>
      </c>
    </row>
    <row r="21" spans="1:15" ht="9" customHeight="1" x14ac:dyDescent="0.3">
      <c r="A21" s="4"/>
      <c r="B21" s="1701"/>
      <c r="C21" s="1701"/>
      <c r="D21" s="1701"/>
      <c r="E21" s="1701"/>
      <c r="F21" s="1701"/>
      <c r="G21" s="1701"/>
      <c r="H21" s="1701"/>
      <c r="I21" s="1701"/>
      <c r="J21" s="2005"/>
      <c r="K21" s="2005"/>
      <c r="L21" s="2"/>
      <c r="M21" s="2005"/>
      <c r="N21" s="2005"/>
    </row>
    <row r="22" spans="1:15" ht="14.4" customHeight="1" x14ac:dyDescent="0.3">
      <c r="A22" s="2024" t="s">
        <v>30</v>
      </c>
      <c r="B22" s="2024"/>
      <c r="C22" s="19"/>
      <c r="D22" s="232">
        <f>IF(AND(M60=FALSE,B61=2),D20*-1,0)</f>
        <v>0</v>
      </c>
      <c r="E22" s="242">
        <f>IF(AND(M60=FALSE,B61=4),D20*-1,0)</f>
        <v>0</v>
      </c>
      <c r="F22" s="2022" t="str">
        <f>IF(AND(A4&lt;&gt;"",N4=""),"Answer Required Questions at Top",
IF(AND(A5&lt;&gt;"",K5=""),"Answer Required Questions at Top",
IF(AND(A6&lt;&gt;"",H6=""),"Answer Required Questions at Top",
IF(AND(B60=4,D20&lt;&gt;"",J20&lt;&gt;"",OR(AND($N$4="VA",$F$60=1),$C$7="VA"),((D20-(D20*F20))&gt;=J20)),"Rent Income Limited to PITIA on VA Loans",
IF(AND(B60=4,OR(AND($N$4="VA",$F$60=1),$C$7="VA"),((D20-(D20*F20))&lt;J20)),"Rent loss impacts debt total only on VA loans",
IF(AND(B60=4,N4="Fannie",,A18&lt;&gt;"",M18=""),"Answer Required Question Above",
IF(AND(B60=4,N4="Fannie",A18="",OR(K5="Own",K5="Rent (with payment)"),H6="Yes"),"Rent Income is not limited on this Property",
IF(AND(B60=4,N4="Fannie",A18="",OR(K5="Own",K5="Rent (with payment)"),H6="No",((D20-(D20*F20))&gt;J20)),"Rent Income Limited to PITIA (Total Gain/Loss will be $0)",
IF(AND(B60=4,N4="Fannie",A18="",OR(K5="Own",K5="Rent (with payment)"),H6="No",((D20-(D20*F20))&lt;=J20)),"Rent Income Limited to PITIA",
IF(AND(B60=4,N4="Fannie",A18&lt;&gt;"",M18="Yes",H6="No"),"Answer above and to question 3 at top do not match",
IF(AND(B60=4,N4="Fannie",A18&lt;&gt;"",M18="Yes",H6="Yes"),"Rent Income is not limited on this Property",
IF(AND(B60=4,N4="Fannie",A18&lt;&gt;"",M18="No"),"Rent Income cannot be used, deduct full PITIA",
IF(AND(B60=5,N4="Fannie",K5="Rent Free"),"Rent Income cannot be used, deduct full PITIA",
IF(AND(B$60=5,$A$7=2,((D20-(D20*F20))&gt;J20)),"Rent Income Limited to PITIA (Total Gain/Loss will be $0)",
IF(AND(B$60=5,$A$7=2,((D20-(D20*F20))&lt;=J20)),"Rent Income Limited to PITIA",
IF(AND(B60=5,N4="Fannie",H6="Yes",K5="Rent Free"),"Rent Income is not limited on this Property",
IF(AND(B60=5,N4="Freddie",H6="Yes"),"Rent Income is not limited on this Property",
IF(AND(B60=4,N4="Freddie"),"Rent Income is not limited on this Property",
IF(AND(B60=5,N4="Fannie",H6="Yes",OR(K5="Own",K5="Rent (with Payment)")),"Rent Income is not limited on this Property","")))))))))))))))))))</f>
        <v/>
      </c>
      <c r="G22" s="2022"/>
      <c r="H22" s="2022"/>
      <c r="I22" s="2022"/>
      <c r="J22" s="2022"/>
      <c r="K22" s="2022"/>
      <c r="L22" s="2022"/>
      <c r="M22" s="19"/>
      <c r="N22" s="19"/>
    </row>
    <row r="23" spans="1:15" x14ac:dyDescent="0.3">
      <c r="A23" s="2023"/>
      <c r="B23" s="2023"/>
      <c r="C23" s="2023"/>
      <c r="D23" s="2023"/>
      <c r="E23" s="2023"/>
      <c r="F23" s="2023"/>
      <c r="G23" s="2023"/>
      <c r="H23" s="2023"/>
      <c r="I23" s="2023"/>
      <c r="J23" s="2023"/>
      <c r="K23" s="2023"/>
      <c r="L23" s="2023"/>
      <c r="M23" s="2023"/>
      <c r="N23" s="2023"/>
      <c r="O23" s="2023"/>
    </row>
    <row r="24" spans="1:15" x14ac:dyDescent="0.3">
      <c r="A24" s="2023"/>
      <c r="B24" s="2023"/>
      <c r="C24" s="2023"/>
      <c r="D24" s="2023"/>
      <c r="E24" s="2023"/>
      <c r="F24" s="2023"/>
      <c r="G24" s="2023"/>
      <c r="H24" s="2023"/>
      <c r="I24" s="2023"/>
      <c r="J24" s="2023"/>
      <c r="K24" s="2023"/>
      <c r="L24" s="2023"/>
      <c r="M24" s="2023"/>
      <c r="N24" s="2023"/>
      <c r="O24" s="2023"/>
    </row>
    <row r="25" spans="1:15" ht="40.5" customHeight="1" x14ac:dyDescent="0.3">
      <c r="A25" s="4"/>
      <c r="B25" s="3"/>
      <c r="C25" s="3"/>
      <c r="D25" s="3"/>
      <c r="E25" s="3"/>
      <c r="F25" s="3"/>
      <c r="G25" s="3"/>
      <c r="H25" s="3"/>
      <c r="I25" s="2"/>
      <c r="J25" s="205"/>
      <c r="K25" s="2021" t="s">
        <v>414</v>
      </c>
      <c r="L25" s="2021"/>
      <c r="M25" s="2021"/>
      <c r="N25" s="2021"/>
    </row>
    <row r="26" spans="1:15" ht="15.6" x14ac:dyDescent="0.3">
      <c r="A26" s="8" t="s">
        <v>0</v>
      </c>
      <c r="B26" s="1979"/>
      <c r="C26" s="1979"/>
      <c r="D26" s="1979"/>
      <c r="E26" s="1979"/>
      <c r="F26" s="1979"/>
      <c r="G26" s="1979"/>
      <c r="H26" s="1979"/>
      <c r="I26" s="208"/>
      <c r="J26" s="1228" t="s">
        <v>242</v>
      </c>
      <c r="K26" s="1228"/>
      <c r="L26" s="2"/>
      <c r="N26" s="204" t="s">
        <v>244</v>
      </c>
    </row>
    <row r="27" spans="1:15" ht="18.600000000000001" customHeight="1" x14ac:dyDescent="0.3">
      <c r="A27" s="2017" t="str">
        <f>IF(AND($N$4="Fannie",$K$5="Rent Free",C$60=4),"Required: Borrower has at least one-year of receiving rental income from this property?",
IF(AND(OR(C60=4,C60=5),OR($N$4="Freddie",N4="FHA")),"For ADU's, the ADU portion of this income should be entered separately as 'Accessory unit income' under 'Other Income' in MORE LOS",""))</f>
        <v/>
      </c>
      <c r="B27" s="2017"/>
      <c r="C27" s="2017"/>
      <c r="D27" s="2017"/>
      <c r="E27" s="2017"/>
      <c r="F27" s="2017"/>
      <c r="G27" s="2017"/>
      <c r="H27" s="2017"/>
      <c r="I27" s="2017"/>
      <c r="J27" s="2017"/>
      <c r="K27" s="2017"/>
      <c r="L27" s="2017"/>
      <c r="M27" s="922"/>
      <c r="N27" s="203" t="s">
        <v>183</v>
      </c>
    </row>
    <row r="28" spans="1:15" ht="23.25" customHeight="1" x14ac:dyDescent="0.3">
      <c r="A28" s="4"/>
      <c r="B28" s="2"/>
      <c r="D28" s="206" t="str">
        <f>IF(C61=1,"",IF(C61=3,"Lease Amount* or
for FHA see note**",IF(C61=2,"Full Property Expense                     (PITI+A or Rent)",IF(C61=5,"*Use the 'Primary with Rental Income' worksheet.","Full Property Expense                     (PITI+A)"))))</f>
        <v/>
      </c>
      <c r="E28" s="46"/>
      <c r="F28" s="2011" t="str">
        <f>IF(C61=3,"Use Percentage***","")</f>
        <v/>
      </c>
      <c r="G28" s="2011"/>
      <c r="H28" s="2009"/>
      <c r="I28" s="2009"/>
      <c r="J28" s="1969" t="s">
        <v>245</v>
      </c>
      <c r="K28" s="1969"/>
      <c r="L28" s="104"/>
      <c r="M28" s="2006" t="s">
        <v>247</v>
      </c>
      <c r="N28" s="2006"/>
    </row>
    <row r="29" spans="1:15" ht="16.5" customHeight="1" x14ac:dyDescent="0.3">
      <c r="A29" s="4"/>
      <c r="B29" s="3"/>
      <c r="D29" s="210"/>
      <c r="E29" s="209" t="s">
        <v>248</v>
      </c>
      <c r="F29" s="2012">
        <v>0.75</v>
      </c>
      <c r="G29" s="2012"/>
      <c r="H29" s="2010" t="s">
        <v>240</v>
      </c>
      <c r="I29" s="2010"/>
      <c r="J29" s="2007"/>
      <c r="K29" s="2007"/>
      <c r="L29" s="207" t="s">
        <v>179</v>
      </c>
      <c r="M29" s="2008">
        <f>IF(J29=0,0,
IF(AND($C$60=5,A7=""),0,
IF(AND(C60=4,OR(AND($N$4="VA",$F$60=1),$C$7="VA"),((D29*F29)&gt;=J29)),0,
IF(F31="Answer Required Questions at Top",0,
IF(F31="Answer Required Question Above",0,
IF(F31="Answer above and to question 3 at top do not match",0,
IF(F31="Rent Income Limited to PITIA (Total Gain/Loss will be $0)",0,
IF(AND(F31="Rent Income cannot be used, deduct full PITIA",J29&gt;0),J29*-1,
IF(AND($C$60=5,$C$61=3,N4&lt;&gt;"VA",$A$7=2,((D29*F29)&gt;=J29)),0,
IF(OR(AND($C$61=3,$C$60=4),AND($C$61=3,$C$60=5,N4&lt;&gt;"VA",OR($A$7=1,((D29*F29)&lt;J29)))),(J29*-1)+(D29*F29),
IF(AND($C$60=5,$C$61=3,N4="VA",$A$7=2,D29&gt;=J29),0,
IF(AND($C$60=5,$C$61=3,N4="VA",$A$7=2,D29&lt;J29),D29-J29,
IF(AND(C60=5,A7=3),J29*-1,"")))))))))))))</f>
        <v>0</v>
      </c>
      <c r="N29" s="2008"/>
      <c r="O29" s="231">
        <f>IF(AND(M61=FALSE,C61=3),M29,0)</f>
        <v>0</v>
      </c>
    </row>
    <row r="30" spans="1:15" ht="9" customHeight="1" x14ac:dyDescent="0.3">
      <c r="A30" s="4"/>
      <c r="B30" s="1701"/>
      <c r="C30" s="1701"/>
      <c r="D30" s="1701"/>
      <c r="E30" s="1701"/>
      <c r="F30" s="1701"/>
      <c r="G30" s="1701"/>
      <c r="H30" s="1701"/>
      <c r="I30" s="1701"/>
      <c r="J30" s="2005"/>
      <c r="K30" s="2005"/>
      <c r="L30" s="2"/>
      <c r="M30" s="2005"/>
      <c r="N30" s="2005"/>
    </row>
    <row r="31" spans="1:15" ht="15.75" customHeight="1" x14ac:dyDescent="0.3">
      <c r="A31" s="2024" t="s">
        <v>30</v>
      </c>
      <c r="B31" s="2024"/>
      <c r="C31" s="19"/>
      <c r="D31" s="232">
        <f>IF(AND(M61=FALSE,C61=2),D29*-1,0)</f>
        <v>0</v>
      </c>
      <c r="E31" s="242">
        <f>IF(AND(M61=FALSE,C61=4),D29*-1,0)</f>
        <v>0</v>
      </c>
      <c r="F31" s="2022" t="str">
        <f>IF(AND(A4&lt;&gt;"",N4=""),"Answer Required Questions at Top",
IF(AND(A5&lt;&gt;"",K5=""),"Answer Required Questions at Top",
IF(AND(A6&lt;&gt;"",H6=""),"Answer Required Questions at Top",
IF(AND(C60=4,D29&lt;&gt;"",J29&lt;&gt;"",OR(AND($N$4="VA",$F$60=1),$C$7="VA"),((D29-(D29*F29))&gt;=J29)),"Rent Income Limited to PITIA on VA loans",
IF(AND(C60=4,OR(AND($N$4="VA",$F$60=1),$C$7="VA"),((D29-(D29*F29))&lt;J29)),"Rent loss impacts debt total only on VA loans",
IF(AND(C60=4,N4="Fannie",A27&lt;&gt;"",M27=""),"Answer Required Question Above",
IF(AND(C60=4,N4="Fannie",A27="",OR(K5="Own",K5="Rent (with payment)"),H6="Yes"),"Rent Income is not limited on this Property",
IF(AND(C60=4,N4="Fannie",A27="",OR(K5="Own",K5="Rent (with payment)"),H6="No",((D29-(D29*F29))&gt;J29)),"Rent Income Limited to PITIA (Total Gain/Loss will be $0)",
IF(AND(C60=4,N4="Fannie",A27="",OR(K5="Own",K5="Rent (with payment)"),H6="No",((D29-(D29*F29))&lt;=J29)),"Rent Income Limited to PITIA",
IF(AND(C60=4,N4="Fannie",A27&lt;&gt;"",M27="Yes",H6="No"),"Answer above and to question 3 at top do not match",
IF(AND(C60=4,N4="Fannie",A27&lt;&gt;"",M27="Yes",H6="Yes"),"Rent Income is not limited on this Property",
IF(AND(C60=4,N4="Fannie",A27&lt;&gt;"",M27="No"),"Rent Income cannot be used, deduct full PITIA",
IF(AND(C60=5,N4="Fannie",K5="Rent Free"),"Rent Income cannot be used, deduct full PITIA",
IF(AND(C$60=5,$A$7=2,((D29-(D29*F29))&gt;J29)),"Rent Income Limited to PITIA (Total Gain/Loss will be $0)",
IF(AND(C$60=5,$A$7=2,((D29-(D29*F29))&lt;=J29)),"Rent Income Limited to PITIA",
IF(AND(C60=5,N4="Fannie",H6="Yes",K5="Rent Free"),"Rent Income is not limited on this Property",
IF(AND(C60=5,N4="Freddie",H6="Yes"),"Rent Income is not limited on this Property",
IF(AND(C60=4,N4="Freddie"),"Rent Income is not limited on this Property",
IF(AND(C60=5,N4="Fannie",H6="Yes",OR(K5="Own",K5="Rent (with Payment)")),"Rent Income is not limited on this Property","")))))))))))))))))))</f>
        <v/>
      </c>
      <c r="G31" s="2022"/>
      <c r="H31" s="2022"/>
      <c r="I31" s="2022"/>
      <c r="J31" s="2022"/>
      <c r="K31" s="2022"/>
      <c r="L31" s="2022"/>
      <c r="M31" s="19"/>
      <c r="N31" s="19"/>
    </row>
    <row r="32" spans="1:15" ht="15.75" customHeight="1" x14ac:dyDescent="0.3">
      <c r="A32" s="2023"/>
      <c r="B32" s="2023"/>
      <c r="C32" s="2023"/>
      <c r="D32" s="2023"/>
      <c r="E32" s="2023"/>
      <c r="F32" s="2023"/>
      <c r="G32" s="2023"/>
      <c r="H32" s="2023"/>
      <c r="I32" s="2023"/>
      <c r="J32" s="2023"/>
      <c r="K32" s="2023"/>
      <c r="L32" s="2023"/>
      <c r="M32" s="2023"/>
      <c r="N32" s="2023"/>
      <c r="O32" s="2023"/>
    </row>
    <row r="33" spans="1:15" ht="15.75" customHeight="1" x14ac:dyDescent="0.3">
      <c r="A33" s="2023"/>
      <c r="B33" s="2023"/>
      <c r="C33" s="2023"/>
      <c r="D33" s="2023"/>
      <c r="E33" s="2023"/>
      <c r="F33" s="2023"/>
      <c r="G33" s="2023"/>
      <c r="H33" s="2023"/>
      <c r="I33" s="2023"/>
      <c r="J33" s="2023"/>
      <c r="K33" s="2023"/>
      <c r="L33" s="2023"/>
      <c r="M33" s="2023"/>
      <c r="N33" s="2023"/>
      <c r="O33" s="2023"/>
    </row>
    <row r="34" spans="1:15" ht="40.5" customHeight="1" x14ac:dyDescent="0.3">
      <c r="A34" s="4"/>
      <c r="B34" s="2"/>
      <c r="C34" s="2"/>
      <c r="D34" s="2"/>
      <c r="E34" s="2"/>
      <c r="F34" s="2"/>
      <c r="G34" s="2"/>
      <c r="H34" s="2"/>
      <c r="I34" s="2"/>
      <c r="J34" s="2"/>
      <c r="K34" s="2021" t="s">
        <v>414</v>
      </c>
      <c r="L34" s="2021"/>
      <c r="M34" s="2021"/>
      <c r="N34" s="2021"/>
    </row>
    <row r="35" spans="1:15" ht="15.75" customHeight="1" x14ac:dyDescent="0.3">
      <c r="A35" s="8" t="s">
        <v>0</v>
      </c>
      <c r="B35" s="1979"/>
      <c r="C35" s="1979"/>
      <c r="D35" s="1979"/>
      <c r="E35" s="1979"/>
      <c r="F35" s="1979"/>
      <c r="G35" s="1979"/>
      <c r="H35" s="1979"/>
      <c r="I35" s="208"/>
      <c r="J35" s="1228" t="s">
        <v>242</v>
      </c>
      <c r="K35" s="1228"/>
      <c r="L35" s="2"/>
      <c r="N35" s="204" t="s">
        <v>244</v>
      </c>
    </row>
    <row r="36" spans="1:15" ht="18.600000000000001" customHeight="1" x14ac:dyDescent="0.3">
      <c r="A36" s="2017" t="str">
        <f>IF(AND($N$4="Fannie",$K$5="Rent Free",D$60=4),"Required: Borrower has at least one-year of receiving rental income from this property?",
IF(AND(OR(D60=4,D60=5),OR($N$4="Freddie",N4="FHA")),"For ADU's, the ADU portion of this income should be entered separately as 'Accessory unit income' under 'Other Income' in MORE LOS",""))</f>
        <v/>
      </c>
      <c r="B36" s="2017"/>
      <c r="C36" s="2017"/>
      <c r="D36" s="2017"/>
      <c r="E36" s="2017"/>
      <c r="F36" s="2017"/>
      <c r="G36" s="2017"/>
      <c r="H36" s="2017"/>
      <c r="I36" s="2017"/>
      <c r="J36" s="2017"/>
      <c r="K36" s="2017"/>
      <c r="L36" s="2017"/>
      <c r="M36" s="922"/>
      <c r="N36" s="203" t="s">
        <v>183</v>
      </c>
    </row>
    <row r="37" spans="1:15" ht="23.25" customHeight="1" x14ac:dyDescent="0.3">
      <c r="A37" s="4"/>
      <c r="B37" s="2"/>
      <c r="D37" s="206" t="str">
        <f>IF(D61=1,"",IF(D61=3,"Lease Amount* or
for FHA see note**",IF(D61=2,"Full Property Expense                     (PITI+A or Rent)",IF(D61=5,"*Use the 'Primary with Rental Income' worksheet.","Full Property Expense                     (PITI+A)"))))</f>
        <v/>
      </c>
      <c r="E37" s="46"/>
      <c r="F37" s="2011" t="str">
        <f>IF(D61=3,"Use Percentage***","")</f>
        <v/>
      </c>
      <c r="G37" s="2011"/>
      <c r="H37" s="2009"/>
      <c r="I37" s="2009"/>
      <c r="J37" s="1969" t="s">
        <v>245</v>
      </c>
      <c r="K37" s="1969"/>
      <c r="L37" s="104"/>
      <c r="M37" s="2006" t="s">
        <v>247</v>
      </c>
      <c r="N37" s="2006"/>
    </row>
    <row r="38" spans="1:15" ht="16.5" customHeight="1" x14ac:dyDescent="0.3">
      <c r="A38" s="4"/>
      <c r="B38" s="3"/>
      <c r="D38" s="210"/>
      <c r="E38" s="209" t="s">
        <v>248</v>
      </c>
      <c r="F38" s="2012">
        <v>0.75</v>
      </c>
      <c r="G38" s="2012"/>
      <c r="H38" s="2010" t="s">
        <v>240</v>
      </c>
      <c r="I38" s="2010"/>
      <c r="J38" s="2007"/>
      <c r="K38" s="2007"/>
      <c r="L38" s="207" t="s">
        <v>179</v>
      </c>
      <c r="M38" s="2008">
        <f>IF(J38=0,0,
IF(AND($D$60=5,A7=""),0,
IF(AND(D60=4,OR(AND($N$4="VA",$F$60=1),$C$7="VA"),((D38*F38)&gt;=J38)),0,
IF(F40="Answer Required Questions at Top",0,
IF(F40="Answer Required Question Above",0,
IF(F40="Answer above and to question 3 at top do not match",0,
IF(F40="Rent Income Limited to PITIA (Total Gain/Loss will be $0)",0,
IF(AND(F40="Rent Income cannot be used, deduct full PITIA",J38&gt;0),J38*-1,
IF(AND($D$60=5,$D$61=3,N4&lt;&gt;"VA",$A$7=2,((D38*F38)&gt;=J38)),0,
IF(OR(AND($D$61=3,$D$60=4),AND($D$61=3,$D$60=5,N4&lt;&gt;"VA",OR($A$7=1,((D38*F38)&lt;J38)))),(J38*-1)+(D38*F38),
IF(AND($D$60=5,$D$61=3,N4="VA",$A$7=2,D38&gt;=J38),0,
IF(AND($D$60=5,$D$61=3,N4="VA",$A$7=2,D38&lt;J38),D38-J38,
IF(AND(D60=5,A7=3),J38*-1,"")))))))))))))</f>
        <v>0</v>
      </c>
      <c r="N38" s="2008"/>
      <c r="O38" s="231">
        <f>IF(AND(N59=FALSE,D61=3),M38,0)</f>
        <v>0</v>
      </c>
    </row>
    <row r="39" spans="1:15" ht="9" customHeight="1" x14ac:dyDescent="0.3">
      <c r="A39" s="4"/>
      <c r="B39" s="1701"/>
      <c r="C39" s="1701"/>
      <c r="D39" s="1701"/>
      <c r="E39" s="1701"/>
      <c r="F39" s="1701"/>
      <c r="G39" s="1701"/>
      <c r="H39" s="1701"/>
      <c r="I39" s="1701"/>
      <c r="J39" s="2005"/>
      <c r="K39" s="2005"/>
      <c r="L39" s="2"/>
      <c r="M39" s="2005"/>
      <c r="N39" s="2005"/>
    </row>
    <row r="40" spans="1:15" ht="15.75" customHeight="1" x14ac:dyDescent="0.3">
      <c r="A40" s="2024" t="s">
        <v>30</v>
      </c>
      <c r="B40" s="2024"/>
      <c r="C40" s="19"/>
      <c r="D40" s="232">
        <f>IF(AND(N59=FALSE,D61=2),D38*-1,0)</f>
        <v>0</v>
      </c>
      <c r="E40" s="242">
        <f>IF(AND(N59=FALSE,D61=4),D38*-1,0)</f>
        <v>0</v>
      </c>
      <c r="F40" s="2022" t="str">
        <f>IF(AND(A4&lt;&gt;"",N4=""),"Answer Required Questions at Top",
IF(AND(A5&lt;&gt;"",K5=""),"Answer Required Questions at Top",
IF(AND(A6&lt;&gt;"",H6=""),"Answer Required Questions at Top",
IF(AND(D60=4,D38&lt;&gt;"",J38&lt;&gt;"",OR(AND($N$4="VA",$F$60=1),$C$7="VA"),((D38-(D38*F38))&gt;=J38)),"Rent Income Limited to PITIA on VA loans",
IF(AND(D60=4,OR(AND($N$4="VA",$F$60=1),$C$7="VA"),((D38-(D38*F38))&lt;J38)),"Rent loss impacts debt total only on VA loans",
IF(AND(D60=4,N4="Fannie",A36&lt;&gt;"",M36=""),"Answer Required Question Above",
IF(AND(D60=4,N4="Fannie",A36="",OR(K5="Own",K5="Rent (with payment)"),H6="Yes"),"Rent Income is not limited on this Property",
IF(AND(D60=4,N4="Fannie",A36="",OR(K5="Own",K5="Rent (with payment)"),H6="No",((D38-(D38*F38))&gt;J38)),"Rent Income Limited to PITIA (Total Gain/Loss will be $0)",
IF(AND(D60=4,N4="Fannie",A36="",OR(K5="Own",K5="Rent (with payment)"),H6="No",((D38-(D38*F38))&lt;=J38)),"Rent Income Limited to PITIA",
IF(AND(D60=4,N4="Fannie",A36&lt;&gt;"",M36="Yes",H6="No"),"Answer above and to question 3 at top do not match",
IF(AND(D60=4,N4="Fannie",A36&lt;&gt;"",M36="Yes",H6="Yes"),"Rent Income is not limited on this Property",
IF(AND(D60=4,N4="Fannie",A36&lt;&gt;"",M36="No"),"Rent Income cannot be used, deduct full PITIA",
IF(AND(D60=5,N4="Fannie",K5="Rent Free"),"Rent Income cannot be used, deduct full PITIA",
IF(AND(D$60=5,$A$7=2,((D38-(D38*F38))&gt;J38)),"Rent Income Limited to PITIA (Total Gain/Loss will be $0)",
IF(AND(D$60=5,$A$7=2,((D38-(D38*F38))&lt;=J38)),"Rent Income Limited to PITIA",IF(AND(D60=5,N4="Fannie",H6="Yes",K5="Rent Free"),"Rent Income is not limited on this Property",
IF(AND(E60=5,N4="Fannie",H6="Yes",K5="Rent Free"),"Rent Income is not limited on this Property",
IF(AND(D60=5,N4="Freddie",H6="Yes"),"Rent Income is not limited on this Property",
IF(AND(D60=4,N4="Freddie"),"Rent Income is not limited on this Property",
IF(AND(D60=5,N4="Fannie",H6="Yes",OR(K5="Own",K5="Rent (with Payment)")),"Rent Income is not limited on this Property",""))))))))))))))))))))</f>
        <v/>
      </c>
      <c r="G40" s="2022"/>
      <c r="H40" s="2022"/>
      <c r="I40" s="2022"/>
      <c r="J40" s="2022"/>
      <c r="K40" s="2022"/>
      <c r="L40" s="2022"/>
      <c r="M40" s="19"/>
      <c r="N40" s="19"/>
    </row>
    <row r="41" spans="1:15" ht="15.75" customHeight="1" x14ac:dyDescent="0.3">
      <c r="A41" s="2023"/>
      <c r="B41" s="2023"/>
      <c r="C41" s="2023"/>
      <c r="D41" s="2023"/>
      <c r="E41" s="2023"/>
      <c r="F41" s="2023"/>
      <c r="G41" s="2023"/>
      <c r="H41" s="2023"/>
      <c r="I41" s="2023"/>
      <c r="J41" s="2023"/>
      <c r="K41" s="2023"/>
      <c r="L41" s="2023"/>
      <c r="M41" s="2023"/>
      <c r="N41" s="2023"/>
      <c r="O41" s="2023"/>
    </row>
    <row r="42" spans="1:15" ht="15.75" customHeight="1" x14ac:dyDescent="0.3">
      <c r="A42" s="2023"/>
      <c r="B42" s="2023"/>
      <c r="C42" s="2023"/>
      <c r="D42" s="2023"/>
      <c r="E42" s="2023"/>
      <c r="F42" s="2023"/>
      <c r="G42" s="2023"/>
      <c r="H42" s="2023"/>
      <c r="I42" s="2023"/>
      <c r="J42" s="2023"/>
      <c r="K42" s="2023"/>
      <c r="L42" s="2023"/>
      <c r="M42" s="2023"/>
      <c r="N42" s="2023"/>
      <c r="O42" s="2023"/>
    </row>
    <row r="43" spans="1:15" ht="40.5" customHeight="1" x14ac:dyDescent="0.3">
      <c r="A43" s="4"/>
      <c r="B43" s="2"/>
      <c r="C43" s="2"/>
      <c r="D43" s="2"/>
      <c r="E43" s="2"/>
      <c r="F43" s="2"/>
      <c r="G43" s="2"/>
      <c r="H43" s="2"/>
      <c r="I43" s="2"/>
      <c r="J43" s="2"/>
      <c r="K43" s="2021" t="s">
        <v>414</v>
      </c>
      <c r="L43" s="2021"/>
      <c r="M43" s="2021"/>
      <c r="N43" s="2021"/>
    </row>
    <row r="44" spans="1:15" ht="15.75" customHeight="1" x14ac:dyDescent="0.3">
      <c r="A44" s="8" t="s">
        <v>0</v>
      </c>
      <c r="B44" s="1979"/>
      <c r="C44" s="1979"/>
      <c r="D44" s="1979"/>
      <c r="E44" s="1979"/>
      <c r="F44" s="1979"/>
      <c r="G44" s="1979"/>
      <c r="H44" s="1979"/>
      <c r="I44" s="208"/>
      <c r="J44" s="1228" t="s">
        <v>242</v>
      </c>
      <c r="K44" s="1228"/>
      <c r="L44" s="2"/>
      <c r="N44" s="204" t="s">
        <v>244</v>
      </c>
    </row>
    <row r="45" spans="1:15" ht="18.600000000000001" customHeight="1" x14ac:dyDescent="0.3">
      <c r="A45" s="2025" t="str">
        <f>IF(AND($N$4="Fannie",$K$5="Rent Free",E$60=4),"Required: Borrower has at least one-year of receiving rental income from this property?",
IF(AND(OR(E60=4,E60=5),OR($N$4="Freddie",N4="FHA")),"For ADU's, the ADU portion of this income should be entered separately as 'Accessory unit income' under 'Other Income' in MORE LOS",""))</f>
        <v/>
      </c>
      <c r="B45" s="2025"/>
      <c r="C45" s="2025"/>
      <c r="D45" s="2025"/>
      <c r="E45" s="2025"/>
      <c r="F45" s="2025"/>
      <c r="G45" s="2025"/>
      <c r="H45" s="2025"/>
      <c r="I45" s="2025"/>
      <c r="J45" s="2025"/>
      <c r="K45" s="2025"/>
      <c r="L45" s="2025"/>
      <c r="M45" s="922"/>
      <c r="N45" s="203" t="s">
        <v>183</v>
      </c>
    </row>
    <row r="46" spans="1:15" ht="23.25" customHeight="1" x14ac:dyDescent="0.3">
      <c r="A46" s="4"/>
      <c r="B46" s="2"/>
      <c r="D46" s="206" t="str">
        <f>IF(E61=1,"",IF(E61=3,"Lease Amount* or
for FHA see note**",IF(E61=2,"Full Property Expense                     (PITI+A or Rent)",IF(E61=5,"*Use the 'Primary with Rental Income' worksheet.","Full Property Expense                     (PITI+A)"))))</f>
        <v/>
      </c>
      <c r="E46" s="46"/>
      <c r="F46" s="2011" t="str">
        <f>IF(E61=3,"Use Percentage***","")</f>
        <v/>
      </c>
      <c r="G46" s="2011"/>
      <c r="H46" s="2009"/>
      <c r="I46" s="2009"/>
      <c r="J46" s="1969" t="s">
        <v>245</v>
      </c>
      <c r="K46" s="1969"/>
      <c r="L46" s="104"/>
      <c r="M46" s="2006" t="s">
        <v>247</v>
      </c>
      <c r="N46" s="2006"/>
    </row>
    <row r="47" spans="1:15" ht="15.6" x14ac:dyDescent="0.3">
      <c r="A47" s="4"/>
      <c r="B47" s="3"/>
      <c r="D47" s="210"/>
      <c r="E47" s="209" t="s">
        <v>248</v>
      </c>
      <c r="F47" s="2012">
        <v>0.75</v>
      </c>
      <c r="G47" s="2012"/>
      <c r="H47" s="2010" t="s">
        <v>240</v>
      </c>
      <c r="I47" s="2010"/>
      <c r="J47" s="2007"/>
      <c r="K47" s="2007"/>
      <c r="L47" s="207" t="s">
        <v>179</v>
      </c>
      <c r="M47" s="2008">
        <f>IF(J47=0,0,
IF(AND($E$60=5,A7=""),0,
IF(AND(E60=4,OR(AND($N$4="VA",$F$60=1),$C$7="VA"),((D47*F47)&gt;=J47)),0,
IF(F49="Answer Required Questions at Top",0,
IF(F49="Answer Required Question Above",0,
IF(F49="Answer above and to question 3 at top do not match",0,
IF(F49="Rent Income Limited to PITIA (Total Gain/Loss will be $0)",0,
IF(AND(F49="Rent Income cannot be used, deduct full PITIA",J47&gt;0),J47*-1,
IF(AND($E$60=5,$E$61=3,N4&lt;&gt;"VA",$A$7=2,((D47*F47)&gt;=J47)),0,
IF(OR(AND($E$61=3,$E$60=4),AND($E$61=3,$E$60=5,N4&lt;&gt;"VA",OR($A$7=1,((D47*F47)&lt;J47)))),(J47*-1)+(D47*F47),
IF(AND($E$60=5,$E$61=3,N4="VA",$A$7=2,D47&gt;=J47),0,
IF(AND($E$60=5,$E$61=3,N4="VA",$A$7=2,D47&lt;J47),D47-J47,
IF(AND(E60=5,A7=3),J47*-1,"")))))))))))))</f>
        <v>0</v>
      </c>
      <c r="N47" s="2008"/>
      <c r="O47" s="231">
        <f>IF(AND(N60=FALSE,E61=3),M47,0)</f>
        <v>0</v>
      </c>
    </row>
    <row r="48" spans="1:15" ht="18.600000000000001" customHeight="1" x14ac:dyDescent="0.3">
      <c r="A48" s="4"/>
      <c r="B48" s="1701"/>
      <c r="C48" s="1701"/>
      <c r="D48" s="1701"/>
      <c r="E48" s="1701"/>
      <c r="F48" s="1701"/>
      <c r="G48" s="1701"/>
      <c r="H48" s="1701"/>
      <c r="I48" s="1701"/>
      <c r="J48" s="2005"/>
      <c r="K48" s="2005"/>
      <c r="L48" s="2"/>
      <c r="M48" s="2005"/>
      <c r="N48" s="2005"/>
    </row>
    <row r="49" spans="1:15" ht="15.75" customHeight="1" x14ac:dyDescent="0.3">
      <c r="A49" s="2024" t="s">
        <v>30</v>
      </c>
      <c r="B49" s="2024"/>
      <c r="C49" s="2"/>
      <c r="D49" s="232">
        <f>IF(AND(N60=FALSE,E61=2),D47*-1,0)</f>
        <v>0</v>
      </c>
      <c r="E49" s="46">
        <f>IF(AND(N60=FALSE,E61=4),D47*-1,0)</f>
        <v>0</v>
      </c>
      <c r="F49" s="2022" t="str">
        <f>IF(AND(A4&lt;&gt;"",N4=""),"Answer Required Questions at Top",
IF(AND(A5&lt;&gt;"",K5=""),"Answer Required Questions at Top",
IF(AND(A6&lt;&gt;"",H6=""),"Answer Required Questions at Top",
IF(AND(E60=4,D47&lt;&gt;"",J47&lt;&gt;"",OR(AND($N$4="VA",$F$60=1),$C$7="VA"),((D47-(D47*F47))&gt;=J47)),"Rent Income Limited to PITIA on VA loans",
IF(AND(E60=4,OR(AND($N$4="VA",$F$60=1),$C$7="VA"),((D47-(D47*F47))&lt;J47)),"Rent loss impacts debt total only on VA loans",
IF(AND(E60=4,N4="Fannie",A45&lt;&gt;"",M45=""),"Answer Required Question Above",
IF(AND(E60=4,N4="Fannie",A45="",OR(K5="Own",K5="Rent (with payment)"),H6="Yes"),"Rent Income is not limited on this Property",
IF(AND(E60=4,N4="Fannie",A45="",OR(K5="Own",K5="Rent (with payment)"),H6="No",((D47-(D47*F47))&gt;J47)),"Rent Income Limited to PITIA (Total Gain/Loss will be $0)",
IF(AND(E60=4,N4="Fannie",A45="",OR(K5="Own",K5="Rent (with payment)"),H6="No",((D47-(D47*F47))&lt;=J47)),"Rent Income Limited to PITIA",
IF(AND(E60=4,N4="Fannie",A45&lt;&gt;"",M45="Yes",H6="No"),"Answer above and to question 3 at top do not match",
IF(AND(E60=4,N4="Fannie",A45&lt;&gt;"",M45="Yes",H6="Yes"),"Rent Income is not limited on this Property",
IF(AND(E60=4,N4="Fannie",A45&lt;&gt;"",M45="No"),"Rent Income cannot be used, deduct full PITIA",
IF(AND(E60=5,N4="Fannie",K5="Rent Free"),"Rent Income cannot be used, deduct full PITIA",
IF(AND(E$60=5,$A$7=2,((D47-(D47*F47))&gt;J47)),"Rent Income Limited to PITIA (Total Gain/Loss will be $0)",
IF(AND(E$60=5,$A$7=2,((D47-(D47*F47))&lt;=J47)),"Rent Income Limited to PITIA",
IF(AND(E60=5,N4="Fannie",H6="Yes",K5="Rent Free"),"Rent Income is not limited on this Property",
IF(AND(E60=5,N4="Freddie",H6="Yes"),"Rent Income is not limited on this Property",
IF(AND(E60=4,N4="Freddie"),"Rent Income is not limited on this Property",
IF(AND(E60=5,N4="Fannie",H6="Yes",OR(K5="Own",K5="Rent (with Payment)")),"Rent Income is not limited on this Property","")))))))))))))))))))</f>
        <v/>
      </c>
      <c r="G49" s="2022"/>
      <c r="H49" s="2022"/>
      <c r="I49" s="2022"/>
      <c r="J49" s="2022"/>
      <c r="K49" s="2022"/>
      <c r="L49" s="2022"/>
      <c r="M49" s="11"/>
      <c r="N49" s="11"/>
    </row>
    <row r="50" spans="1:15" x14ac:dyDescent="0.3">
      <c r="A50" s="2023"/>
      <c r="B50" s="2023"/>
      <c r="C50" s="2023"/>
      <c r="D50" s="2023"/>
      <c r="E50" s="2023"/>
      <c r="F50" s="2023"/>
      <c r="G50" s="2023"/>
      <c r="H50" s="2023"/>
      <c r="I50" s="2023"/>
      <c r="J50" s="2023"/>
      <c r="K50" s="2023"/>
      <c r="L50" s="2023"/>
      <c r="M50" s="2023"/>
      <c r="N50" s="2023"/>
      <c r="O50" s="2023"/>
    </row>
    <row r="51" spans="1:15" x14ac:dyDescent="0.3">
      <c r="A51" s="2023"/>
      <c r="B51" s="2023"/>
      <c r="C51" s="2023"/>
      <c r="D51" s="2023"/>
      <c r="E51" s="2023"/>
      <c r="F51" s="2023"/>
      <c r="G51" s="2023"/>
      <c r="H51" s="2023"/>
      <c r="I51" s="2023"/>
      <c r="J51" s="2023"/>
      <c r="K51" s="2023"/>
      <c r="L51" s="2023"/>
      <c r="M51" s="2023"/>
      <c r="N51" s="2023"/>
      <c r="O51" s="2023"/>
    </row>
    <row r="52" spans="1:15" ht="10.199999999999999" customHeight="1" x14ac:dyDescent="0.3">
      <c r="A52" s="32"/>
      <c r="B52" s="32"/>
      <c r="C52" s="32"/>
      <c r="D52" s="32"/>
      <c r="E52" s="32"/>
      <c r="F52" s="32"/>
      <c r="G52" s="32"/>
      <c r="H52" s="32"/>
      <c r="I52" s="32"/>
      <c r="J52" s="32"/>
      <c r="K52" s="2021" t="s">
        <v>414</v>
      </c>
      <c r="L52" s="2021"/>
      <c r="M52" s="2021"/>
      <c r="N52" s="2021"/>
      <c r="O52" s="32"/>
    </row>
    <row r="53" spans="1:15" x14ac:dyDescent="0.3">
      <c r="A53" s="1964" t="s">
        <v>223</v>
      </c>
      <c r="B53" s="1964"/>
      <c r="C53" s="1964"/>
      <c r="D53" s="1964"/>
      <c r="K53" s="2021"/>
      <c r="L53" s="2021"/>
      <c r="M53" s="2021"/>
      <c r="N53" s="2021"/>
    </row>
    <row r="54" spans="1:15" x14ac:dyDescent="0.3">
      <c r="A54" s="1903" t="s">
        <v>1232</v>
      </c>
      <c r="B54" s="1903"/>
      <c r="C54" s="1903"/>
      <c r="D54" s="1903"/>
      <c r="E54" s="1903"/>
      <c r="F54" s="1903"/>
      <c r="G54" s="1903"/>
      <c r="H54" s="1903"/>
      <c r="I54" s="1903"/>
      <c r="J54" s="1903"/>
      <c r="K54" s="1903"/>
      <c r="L54" s="1903"/>
      <c r="M54" s="1903"/>
      <c r="N54" s="1903"/>
      <c r="O54" s="1903"/>
    </row>
    <row r="55" spans="1:15" x14ac:dyDescent="0.3">
      <c r="A55" s="1903" t="s">
        <v>1233</v>
      </c>
      <c r="B55" s="1903"/>
      <c r="C55" s="1903"/>
      <c r="D55" s="1903"/>
      <c r="E55" s="1903"/>
      <c r="F55" s="1903"/>
      <c r="G55" s="1903"/>
      <c r="H55" s="1903"/>
      <c r="I55" s="1903"/>
      <c r="J55" s="1903"/>
      <c r="K55" s="1903"/>
      <c r="L55" s="1903"/>
      <c r="M55" s="1903"/>
      <c r="N55" s="1903"/>
      <c r="O55" s="1903"/>
    </row>
    <row r="56" spans="1:15" ht="16.2" customHeight="1" x14ac:dyDescent="0.3">
      <c r="A56" s="1903" t="s">
        <v>1235</v>
      </c>
      <c r="B56" s="1903"/>
      <c r="C56" s="1903"/>
      <c r="D56" s="1903"/>
      <c r="E56" s="1903"/>
      <c r="F56" s="1903"/>
      <c r="G56" s="1903"/>
      <c r="H56" s="1903"/>
      <c r="I56" s="1903"/>
      <c r="J56" s="1903"/>
      <c r="K56" s="1903"/>
      <c r="L56" s="1903"/>
      <c r="M56" s="1903"/>
      <c r="N56" s="1903"/>
      <c r="O56" s="1903"/>
    </row>
    <row r="57" spans="1:15" x14ac:dyDescent="0.3">
      <c r="A57" s="1903" t="s">
        <v>1234</v>
      </c>
      <c r="B57" s="1903"/>
      <c r="C57" s="1903"/>
      <c r="D57" s="1903"/>
      <c r="E57" s="1903"/>
      <c r="F57" s="1903"/>
      <c r="G57" s="1903"/>
      <c r="H57" s="1903"/>
      <c r="I57" s="1903"/>
      <c r="J57" s="1903"/>
      <c r="K57" s="1903"/>
      <c r="L57" s="1903"/>
      <c r="M57" s="1903"/>
      <c r="N57" s="1903"/>
      <c r="O57" s="1903"/>
    </row>
    <row r="58" spans="1:15" ht="15.6" customHeight="1" x14ac:dyDescent="0.3">
      <c r="A58" s="1903" t="s">
        <v>1447</v>
      </c>
      <c r="B58" s="1903"/>
      <c r="C58" s="1903"/>
      <c r="D58" s="1903"/>
      <c r="E58" s="1903"/>
      <c r="F58" s="1903"/>
      <c r="G58" s="1903"/>
      <c r="H58" s="1903"/>
      <c r="I58" s="1903"/>
      <c r="J58" s="1903"/>
      <c r="K58" s="1903"/>
      <c r="L58" s="1903"/>
      <c r="M58" s="1903"/>
      <c r="N58" s="1903"/>
      <c r="O58" s="1903"/>
    </row>
    <row r="59" spans="1:15" ht="13.2" hidden="1" customHeight="1" x14ac:dyDescent="0.3">
      <c r="A59" s="544"/>
      <c r="B59" s="544"/>
      <c r="C59" s="544"/>
      <c r="D59" s="544"/>
      <c r="E59" s="544"/>
      <c r="F59" s="544"/>
      <c r="G59" s="36"/>
      <c r="H59" s="36"/>
      <c r="I59" s="36"/>
      <c r="J59" s="36"/>
      <c r="K59" s="36"/>
      <c r="L59" s="36"/>
      <c r="M59" s="1046" t="b">
        <v>0</v>
      </c>
      <c r="N59" s="1046" t="b">
        <v>0</v>
      </c>
      <c r="O59" s="36"/>
    </row>
    <row r="60" spans="1:15" hidden="1" x14ac:dyDescent="0.3">
      <c r="A60" s="1046">
        <v>1</v>
      </c>
      <c r="B60" s="1046">
        <v>1</v>
      </c>
      <c r="C60" s="1046">
        <v>1</v>
      </c>
      <c r="D60" s="1046">
        <v>1</v>
      </c>
      <c r="E60" s="1046">
        <v>1</v>
      </c>
      <c r="F60" s="907" t="str">
        <f>IF(OR(A60=5,B60=5,C60=5,D60=5,E60=5),1,"")</f>
        <v/>
      </c>
      <c r="G60" s="36"/>
      <c r="H60" s="36"/>
      <c r="I60" s="36"/>
      <c r="J60" s="36"/>
      <c r="K60" s="36"/>
      <c r="L60" s="36"/>
      <c r="M60" s="1046" t="b">
        <v>0</v>
      </c>
      <c r="N60" s="1046" t="b">
        <v>0</v>
      </c>
      <c r="O60" s="36"/>
    </row>
    <row r="61" spans="1:15" hidden="1" x14ac:dyDescent="0.3">
      <c r="A61" s="47">
        <f>IF(A60=1,1,IF(A60=2,2,IF(A60=3,5,IF(A60=4,3,IF(A60=5,3,IF(A60=6,4,IF(A60=7,2,IF(A60=8,4))))))))</f>
        <v>1</v>
      </c>
      <c r="B61" s="47">
        <f>IF(B60=1,1,IF(B60=2,2,IF(B60=3,5,IF(B60=4,3,IF(B60=5,3,IF(B60=6,4,IF(B60=7,2,IF(B60=8,4))))))))</f>
        <v>1</v>
      </c>
      <c r="C61" s="47">
        <f>IF(C60=1,1,IF(C60=2,2,IF(C60=3,5,IF(C60=4,3,IF(C60=5,3,IF(C60=6,4,IF(C60=7,2,IF(C60=8,4))))))))</f>
        <v>1</v>
      </c>
      <c r="D61" s="47">
        <f>IF(D60=1,1,IF(D60=2,2,IF(D60=3,5,IF(D60=4,3,IF(D60=5,3,IF(D60=6,4,IF(D60=7,2,IF(D60=8,4))))))))</f>
        <v>1</v>
      </c>
      <c r="E61" s="47">
        <f>IF(E60=1,1,IF(E60=2,2,IF(E60=3,5,IF(E60=4,3,IF(E60=5,3,IF(E60=6,4,IF(E60=7,2,IF(E60=8,4))))))))</f>
        <v>1</v>
      </c>
      <c r="F61" s="36"/>
      <c r="G61" s="36"/>
      <c r="H61" s="36"/>
      <c r="I61" s="36"/>
      <c r="J61" s="36"/>
      <c r="K61" s="36"/>
      <c r="L61" s="47" t="str">
        <f>IF(OR(AND(L1&lt;&gt;"",A60=5,M59&lt;&gt;TRUE),
AND(L1&lt;&gt;"",B60=5,M60&lt;&gt;TRUE),
AND(L1&lt;&gt;"",C60=5,M61&lt;&gt;TRUE),
AND(L1&lt;&gt;"",D60=5,N59&lt;&gt;TRUE),
AND(L1&lt;&gt;"",E60=5,N60&lt;&gt;TRUE)),
"E","")</f>
        <v/>
      </c>
      <c r="M61" s="1046" t="b">
        <v>0</v>
      </c>
      <c r="N61" s="36"/>
      <c r="O61" s="36"/>
    </row>
    <row r="62" spans="1:15" ht="21.6" hidden="1" customHeight="1" x14ac:dyDescent="0.3">
      <c r="A62" s="1482" t="str">
        <f ca="1">REPLACE(CELL("filename",A62),1,FIND("]",CELL("filename",A62)),"")</f>
        <v>Add. Properties</v>
      </c>
      <c r="B62" s="1482"/>
      <c r="C62" s="1482"/>
      <c r="D62" s="1482"/>
      <c r="E62" s="47" t="str">
        <f>IF(OR(A60=5,B60=5,C60=5,D60=5,E60=5),1,"")</f>
        <v/>
      </c>
      <c r="F62" s="923" t="str">
        <f>IF(OR(A60=4,B60=4,C60=4,D60=4,E60=4),2,"")</f>
        <v/>
      </c>
      <c r="G62" s="36"/>
      <c r="H62" s="36"/>
      <c r="I62" s="36"/>
      <c r="J62" s="36"/>
      <c r="K62" s="36"/>
      <c r="L62" s="36"/>
    </row>
    <row r="63" spans="1:15" hidden="1" x14ac:dyDescent="0.3">
      <c r="A63" s="544"/>
      <c r="B63" s="544"/>
      <c r="C63" s="544"/>
      <c r="D63" s="544"/>
      <c r="E63" s="544"/>
      <c r="F63" s="544"/>
      <c r="G63" s="544"/>
      <c r="H63" s="544"/>
      <c r="I63" s="544"/>
      <c r="J63" s="544"/>
      <c r="K63" s="544"/>
      <c r="L63" s="544"/>
      <c r="M63" s="544"/>
      <c r="N63" s="544"/>
      <c r="O63" s="544"/>
    </row>
    <row r="68" spans="13:15" x14ac:dyDescent="0.3">
      <c r="M68" s="1235" t="str">
        <f>Version</f>
        <v>Version 2026.1</v>
      </c>
      <c r="N68" s="1235"/>
      <c r="O68" s="1235"/>
    </row>
  </sheetData>
  <sheetProtection algorithmName="SHA-512" hashValue="4fOFiUPo63IHdwjBdxZ1XsybbIBTPwV2fEx+H3+sUVhpMBXB7BwotR4XTx2NasKu0bUV5c/td7V7dM3CIsVTwQ==" saltValue="D+exuByfOCgecFnTqWsdJw==" spinCount="100000" sheet="1" objects="1" scenarios="1" selectLockedCells="1"/>
  <mergeCells count="107">
    <mergeCell ref="A36:L36"/>
    <mergeCell ref="A45:L45"/>
    <mergeCell ref="F20:G20"/>
    <mergeCell ref="B21:I21"/>
    <mergeCell ref="J20:K20"/>
    <mergeCell ref="B35:H35"/>
    <mergeCell ref="J35:K35"/>
    <mergeCell ref="J30:K30"/>
    <mergeCell ref="M20:N20"/>
    <mergeCell ref="H20:I20"/>
    <mergeCell ref="J21:K21"/>
    <mergeCell ref="B26:H26"/>
    <mergeCell ref="H28:I28"/>
    <mergeCell ref="H29:I29"/>
    <mergeCell ref="J26:K26"/>
    <mergeCell ref="F28:G28"/>
    <mergeCell ref="F22:L22"/>
    <mergeCell ref="F29:G29"/>
    <mergeCell ref="M21:N21"/>
    <mergeCell ref="K25:N25"/>
    <mergeCell ref="A22:B22"/>
    <mergeCell ref="A31:B31"/>
    <mergeCell ref="A27:L27"/>
    <mergeCell ref="A23:O24"/>
    <mergeCell ref="A32:O33"/>
    <mergeCell ref="J29:K29"/>
    <mergeCell ref="M29:N29"/>
    <mergeCell ref="M30:N30"/>
    <mergeCell ref="K34:N34"/>
    <mergeCell ref="J28:K28"/>
    <mergeCell ref="M28:N28"/>
    <mergeCell ref="B30:I30"/>
    <mergeCell ref="F31:L31"/>
    <mergeCell ref="H37:I37"/>
    <mergeCell ref="H38:I38"/>
    <mergeCell ref="H46:I46"/>
    <mergeCell ref="H47:I47"/>
    <mergeCell ref="A54:O54"/>
    <mergeCell ref="M38:N38"/>
    <mergeCell ref="B39:I39"/>
    <mergeCell ref="J39:K39"/>
    <mergeCell ref="M39:N39"/>
    <mergeCell ref="A53:D53"/>
    <mergeCell ref="A49:B49"/>
    <mergeCell ref="M37:N37"/>
    <mergeCell ref="F38:G38"/>
    <mergeCell ref="F37:G37"/>
    <mergeCell ref="J37:K37"/>
    <mergeCell ref="J38:K38"/>
    <mergeCell ref="A40:B40"/>
    <mergeCell ref="F40:L40"/>
    <mergeCell ref="M68:O68"/>
    <mergeCell ref="A56:O56"/>
    <mergeCell ref="K43:N43"/>
    <mergeCell ref="A41:O42"/>
    <mergeCell ref="A50:O51"/>
    <mergeCell ref="M47:N47"/>
    <mergeCell ref="B48:I48"/>
    <mergeCell ref="J48:K48"/>
    <mergeCell ref="M48:N48"/>
    <mergeCell ref="F49:L49"/>
    <mergeCell ref="A57:O57"/>
    <mergeCell ref="B44:H44"/>
    <mergeCell ref="J44:K44"/>
    <mergeCell ref="F46:G46"/>
    <mergeCell ref="J46:K46"/>
    <mergeCell ref="M46:N46"/>
    <mergeCell ref="F47:G47"/>
    <mergeCell ref="J47:K47"/>
    <mergeCell ref="K52:N53"/>
    <mergeCell ref="A62:D62"/>
    <mergeCell ref="A58:O58"/>
    <mergeCell ref="A55:O55"/>
    <mergeCell ref="M19:N19"/>
    <mergeCell ref="F19:G19"/>
    <mergeCell ref="B17:H17"/>
    <mergeCell ref="J17:K17"/>
    <mergeCell ref="H19:I19"/>
    <mergeCell ref="K16:N16"/>
    <mergeCell ref="F13:L13"/>
    <mergeCell ref="A14:O15"/>
    <mergeCell ref="A13:C13"/>
    <mergeCell ref="A18:L18"/>
    <mergeCell ref="J19:K19"/>
    <mergeCell ref="K4:M4"/>
    <mergeCell ref="A4:J4"/>
    <mergeCell ref="L1:O1"/>
    <mergeCell ref="A2:O2"/>
    <mergeCell ref="B12:I12"/>
    <mergeCell ref="M12:N12"/>
    <mergeCell ref="M10:N10"/>
    <mergeCell ref="J11:K11"/>
    <mergeCell ref="M11:N11"/>
    <mergeCell ref="H10:I10"/>
    <mergeCell ref="H11:I11"/>
    <mergeCell ref="F10:G10"/>
    <mergeCell ref="F11:G11"/>
    <mergeCell ref="J10:K10"/>
    <mergeCell ref="J6:N6"/>
    <mergeCell ref="H6:I6"/>
    <mergeCell ref="A6:G6"/>
    <mergeCell ref="B8:H8"/>
    <mergeCell ref="J8:K8"/>
    <mergeCell ref="A9:L9"/>
    <mergeCell ref="E1:K1"/>
    <mergeCell ref="D7:M7"/>
    <mergeCell ref="A5:J5"/>
  </mergeCells>
  <conditionalFormatting sqref="D47">
    <cfRule type="expression" dxfId="889" priority="147">
      <formula>$E$61=5</formula>
    </cfRule>
    <cfRule type="expression" dxfId="888" priority="380">
      <formula>AND($N$60=TRUE,OR($E$61=2,$E$61=4))</formula>
    </cfRule>
    <cfRule type="expression" dxfId="887" priority="381">
      <formula>$E$61&gt;1</formula>
    </cfRule>
    <cfRule type="expression" dxfId="886" priority="1946">
      <formula>$E$61&gt;1</formula>
    </cfRule>
  </conditionalFormatting>
  <conditionalFormatting sqref="F46:G46 J46:K46 E47:L47 M46:N46">
    <cfRule type="expression" dxfId="885" priority="1947">
      <formula>$E$61=3</formula>
    </cfRule>
  </conditionalFormatting>
  <conditionalFormatting sqref="A50">
    <cfRule type="expression" dxfId="884" priority="388">
      <formula>OR($B$44&lt;&gt;"",$E$61&gt;1)</formula>
    </cfRule>
  </conditionalFormatting>
  <conditionalFormatting sqref="K16:N16">
    <cfRule type="expression" dxfId="883" priority="146">
      <formula>AND(A62&lt;&gt;"Add. Properties",A62&lt;&gt;"Add. Properties (2)",A62&lt;&gt;"Add. Properties (3)",A62&lt;&gt;"Add. Properties (4)")</formula>
    </cfRule>
  </conditionalFormatting>
  <conditionalFormatting sqref="K25:N25">
    <cfRule type="expression" dxfId="882" priority="145">
      <formula>AND(OR($B$17&lt;&gt;"",$D$20&lt;&gt;0),A62&lt;&gt;"Add. Properties",A62&lt;&gt;"Add. Properties (2)",A62&lt;&gt;"Add. Properties (3)",A62&lt;&gt;"Add. Properties (4)")</formula>
    </cfRule>
  </conditionalFormatting>
  <conditionalFormatting sqref="K34:N34">
    <cfRule type="expression" dxfId="881" priority="143">
      <formula>AND(OR($B$26&lt;&gt;"",$D$29&lt;&gt;0),A62&lt;&gt;"Add. Properties",A62&lt;&gt;"Add. Properties (2)",A62&lt;&gt;"Add. Properties (3)",A62&lt;&gt;"Add. Properties (4)")</formula>
    </cfRule>
  </conditionalFormatting>
  <conditionalFormatting sqref="K43:N43">
    <cfRule type="expression" dxfId="880" priority="142">
      <formula>AND(OR($B$35&lt;&gt;"",$D$38&lt;&gt;0),A62&lt;&gt;"Add. Properties",A62&lt;&gt;"Add. Properties (2)",A62&lt;&gt;"Add. Properties (3)",A62&lt;&gt;"Add. Properties (4)")</formula>
    </cfRule>
  </conditionalFormatting>
  <conditionalFormatting sqref="K52:N53">
    <cfRule type="expression" dxfId="879" priority="141">
      <formula>AND(OR($B$44&lt;&gt;"",$D$47&lt;&gt;0),A62&lt;&gt;"Add. Properties",A62&lt;&gt;"Add. Properties (2)",A62&lt;&gt;"Add. Properties (3)",A62&lt;&gt;"Add. Properties (4)")</formula>
    </cfRule>
  </conditionalFormatting>
  <conditionalFormatting sqref="F47:G47">
    <cfRule type="expression" dxfId="878" priority="379">
      <formula>AND($F$47&lt;&gt;0.75,$E$61=3,$D$47&lt;&gt;0,$D$47&lt;&gt;"")</formula>
    </cfRule>
  </conditionalFormatting>
  <conditionalFormatting sqref="J47:K47">
    <cfRule type="expression" dxfId="877" priority="131">
      <formula>$E$61=3</formula>
    </cfRule>
  </conditionalFormatting>
  <conditionalFormatting sqref="D11">
    <cfRule type="expression" dxfId="876" priority="517">
      <formula>$A$61=5</formula>
    </cfRule>
    <cfRule type="expression" dxfId="875" priority="518">
      <formula>AND($M$59=TRUE,OR($A$61=2,$A$61=4))</formula>
    </cfRule>
    <cfRule type="expression" dxfId="874" priority="519">
      <formula>$A$61&gt;1</formula>
    </cfRule>
    <cfRule type="expression" dxfId="873" priority="566">
      <formula>$A$61&gt;1</formula>
    </cfRule>
  </conditionalFormatting>
  <conditionalFormatting sqref="F10:G10 J10:K10 E11:L11 M10:N11">
    <cfRule type="expression" dxfId="872" priority="1934">
      <formula>$A$61=3</formula>
    </cfRule>
  </conditionalFormatting>
  <conditionalFormatting sqref="M11:N11">
    <cfRule type="expression" dxfId="871" priority="95">
      <formula>AND($M$59=TRUE,$A$61=3)</formula>
    </cfRule>
    <cfRule type="expression" dxfId="870" priority="524">
      <formula>$A$61=3</formula>
    </cfRule>
  </conditionalFormatting>
  <conditionalFormatting sqref="D20">
    <cfRule type="expression" dxfId="869" priority="526">
      <formula>$B$61=5</formula>
    </cfRule>
    <cfRule type="expression" dxfId="868" priority="527">
      <formula>AND($M$60=TRUE,OR($B$61=2,$B$61=4))</formula>
    </cfRule>
    <cfRule type="expression" dxfId="867" priority="528">
      <formula>$B$61&gt;1</formula>
    </cfRule>
    <cfRule type="expression" dxfId="866" priority="567">
      <formula>$B$61&gt;1</formula>
    </cfRule>
  </conditionalFormatting>
  <conditionalFormatting sqref="F19:G19 J19:K19 E20:L20 M19:N20">
    <cfRule type="expression" dxfId="865" priority="1937">
      <formula>$B$61=3</formula>
    </cfRule>
  </conditionalFormatting>
  <conditionalFormatting sqref="M20:N20">
    <cfRule type="expression" dxfId="864" priority="96">
      <formula>AND($M$60=TRUE,$B$61=3)</formula>
    </cfRule>
    <cfRule type="expression" dxfId="863" priority="533">
      <formula>$B$61=3</formula>
    </cfRule>
  </conditionalFormatting>
  <conditionalFormatting sqref="D29">
    <cfRule type="expression" dxfId="862" priority="535">
      <formula>$C$61=5</formula>
    </cfRule>
    <cfRule type="expression" dxfId="861" priority="536">
      <formula>AND($M$61=TRUE,OR($C$61=2,$C$61=4))</formula>
    </cfRule>
    <cfRule type="expression" dxfId="860" priority="537">
      <formula>$C$61&gt;1</formula>
    </cfRule>
    <cfRule type="expression" dxfId="859" priority="568">
      <formula>$C$61&gt;1</formula>
    </cfRule>
  </conditionalFormatting>
  <conditionalFormatting sqref="F28:G28 J28:K28 E29:L29 M28:N29">
    <cfRule type="expression" dxfId="858" priority="1940">
      <formula>$C$61=3</formula>
    </cfRule>
  </conditionalFormatting>
  <conditionalFormatting sqref="M29:N29">
    <cfRule type="expression" dxfId="857" priority="97">
      <formula>AND($M$61=TRUE,$C$61=3)</formula>
    </cfRule>
    <cfRule type="expression" dxfId="856" priority="542">
      <formula>$C$61=3</formula>
    </cfRule>
  </conditionalFormatting>
  <conditionalFormatting sqref="D38">
    <cfRule type="expression" dxfId="855" priority="544">
      <formula>$D$61=5</formula>
    </cfRule>
    <cfRule type="expression" dxfId="854" priority="545">
      <formula>AND($N$59=TRUE,OR($D$61=2,$D$61=4))</formula>
    </cfRule>
    <cfRule type="expression" dxfId="853" priority="546">
      <formula>$D$61&gt;1</formula>
    </cfRule>
    <cfRule type="expression" dxfId="852" priority="569">
      <formula>$D$61&gt;1</formula>
    </cfRule>
  </conditionalFormatting>
  <conditionalFormatting sqref="F37:G37 J37:K37 E38:L38 M37:N38">
    <cfRule type="expression" dxfId="851" priority="1943">
      <formula>$D$61=3</formula>
    </cfRule>
  </conditionalFormatting>
  <conditionalFormatting sqref="M38:N38">
    <cfRule type="expression" dxfId="850" priority="98">
      <formula>AND($N$59=TRUE,$D$61=3)</formula>
    </cfRule>
    <cfRule type="expression" dxfId="849" priority="551">
      <formula>$D$61=3</formula>
    </cfRule>
  </conditionalFormatting>
  <conditionalFormatting sqref="A58:O58">
    <cfRule type="expression" dxfId="848" priority="552">
      <formula>AND($F$47&lt;&gt;0.75,$E$61=3,$D$47&lt;&gt;0,$D$47&lt;&gt;"")</formula>
    </cfRule>
    <cfRule type="expression" dxfId="847" priority="553">
      <formula>AND($F$38&lt;&gt;0.75,$D$61=3,$D$38&lt;&gt;0,$D$38&lt;&gt;"")</formula>
    </cfRule>
    <cfRule type="expression" dxfId="846" priority="554">
      <formula>AND($F$29&lt;&gt;0.75,$C$61=3,$D$29&lt;&gt;0,$D$29&lt;&gt;"")</formula>
    </cfRule>
    <cfRule type="expression" dxfId="845" priority="555">
      <formula>AND($F$20&lt;&gt;0.75,$B$61=3,$D$20&lt;&gt;0,$D$20&lt;&gt;"")</formula>
    </cfRule>
    <cfRule type="expression" dxfId="844" priority="556">
      <formula>AND($F$11&lt;&gt;0.75,$A$61=3,$D$11&lt;&gt;0,$D$11&lt;&gt;"")</formula>
    </cfRule>
  </conditionalFormatting>
  <conditionalFormatting sqref="A14">
    <cfRule type="expression" dxfId="843" priority="557">
      <formula>OR($B$8&lt;&gt;"",$A$61&gt;1)</formula>
    </cfRule>
  </conditionalFormatting>
  <conditionalFormatting sqref="A13">
    <cfRule type="expression" dxfId="842" priority="558">
      <formula>OR($B$8&lt;&gt;"",$A$61&gt;1)</formula>
    </cfRule>
  </conditionalFormatting>
  <conditionalFormatting sqref="A23">
    <cfRule type="expression" dxfId="841" priority="559">
      <formula>OR($B$17&lt;&gt;"",$B$61&gt;1)</formula>
    </cfRule>
  </conditionalFormatting>
  <conditionalFormatting sqref="A22:B22">
    <cfRule type="expression" dxfId="840" priority="560">
      <formula>OR($B$17&lt;&gt;"",$B$61&gt;1)</formula>
    </cfRule>
  </conditionalFormatting>
  <conditionalFormatting sqref="A32">
    <cfRule type="expression" dxfId="839" priority="561">
      <formula>OR($B$26&lt;&gt;"",$C$61&gt;1)</formula>
    </cfRule>
  </conditionalFormatting>
  <conditionalFormatting sqref="A31:B31">
    <cfRule type="expression" dxfId="838" priority="562">
      <formula>OR($B$26&lt;&gt;"",$C$61&gt;1)</formula>
    </cfRule>
  </conditionalFormatting>
  <conditionalFormatting sqref="A41">
    <cfRule type="expression" dxfId="837" priority="563">
      <formula>OR($B$35&lt;&gt;"",$D$61&gt;1)</formula>
    </cfRule>
  </conditionalFormatting>
  <conditionalFormatting sqref="A40:B40 A49:B49">
    <cfRule type="expression" dxfId="836" priority="564">
      <formula>OR($B$35&lt;&gt;"",$D$61&gt;1)</formula>
    </cfRule>
  </conditionalFormatting>
  <conditionalFormatting sqref="F11:G11">
    <cfRule type="expression" dxfId="835" priority="1935">
      <formula>AND($F$11&lt;&gt;0.75,$A$61=3,$D$11&lt;&gt;0,$D$11&lt;&gt;"")</formula>
    </cfRule>
  </conditionalFormatting>
  <conditionalFormatting sqref="F20:G20">
    <cfRule type="expression" dxfId="834" priority="1938">
      <formula>AND($F$20&lt;&gt;0.75,$B$61=3,$D$20&lt;&gt;0,$D$20&lt;&gt;"")</formula>
    </cfRule>
  </conditionalFormatting>
  <conditionalFormatting sqref="F29:G29">
    <cfRule type="expression" dxfId="833" priority="1941">
      <formula>AND($F$29&lt;&gt;0.75,$C$61=3,$D$29&lt;&gt;0,$D$29&lt;&gt;"")</formula>
    </cfRule>
  </conditionalFormatting>
  <conditionalFormatting sqref="F38:G38">
    <cfRule type="expression" dxfId="832" priority="1944">
      <formula>AND($F$38&lt;&gt;0.75,$D$61=3,$D$38&lt;&gt;0,$D$38&lt;&gt;"")</formula>
    </cfRule>
  </conditionalFormatting>
  <conditionalFormatting sqref="J11:K11">
    <cfRule type="expression" dxfId="831" priority="121">
      <formula>$A$61=3</formula>
    </cfRule>
  </conditionalFormatting>
  <conditionalFormatting sqref="J20:K20">
    <cfRule type="expression" dxfId="830" priority="120">
      <formula>$B$61=3</formula>
    </cfRule>
  </conditionalFormatting>
  <conditionalFormatting sqref="J29:K29">
    <cfRule type="expression" dxfId="829" priority="119">
      <formula>$C$61=3</formula>
    </cfRule>
  </conditionalFormatting>
  <conditionalFormatting sqref="J38:K38">
    <cfRule type="expression" dxfId="828" priority="118">
      <formula>$D$61=3</formula>
    </cfRule>
  </conditionalFormatting>
  <conditionalFormatting sqref="M47:N47">
    <cfRule type="expression" dxfId="827" priority="99">
      <formula>AND($N$60=TRUE,$E$61=3)</formula>
    </cfRule>
    <cfRule type="expression" dxfId="826" priority="115">
      <formula>$E$61=3</formula>
    </cfRule>
  </conditionalFormatting>
  <conditionalFormatting sqref="M47:N47">
    <cfRule type="expression" dxfId="825" priority="117">
      <formula>$E$61=3</formula>
    </cfRule>
  </conditionalFormatting>
  <conditionalFormatting sqref="D10">
    <cfRule type="expression" dxfId="824" priority="516">
      <formula>$A$61=5</formula>
    </cfRule>
  </conditionalFormatting>
  <conditionalFormatting sqref="D19">
    <cfRule type="expression" dxfId="823" priority="525">
      <formula>$B$61=5</formula>
    </cfRule>
  </conditionalFormatting>
  <conditionalFormatting sqref="D28">
    <cfRule type="expression" dxfId="822" priority="534">
      <formula>$C$61=5</formula>
    </cfRule>
  </conditionalFormatting>
  <conditionalFormatting sqref="D37">
    <cfRule type="expression" dxfId="821" priority="543">
      <formula>$D$61=5</formula>
    </cfRule>
  </conditionalFormatting>
  <conditionalFormatting sqref="D46">
    <cfRule type="expression" dxfId="820" priority="136">
      <formula>$E$61=5</formula>
    </cfRule>
  </conditionalFormatting>
  <conditionalFormatting sqref="H6:I6">
    <cfRule type="expression" dxfId="819" priority="93">
      <formula>AND($A$6&lt;&gt;"",$A$4&lt;&gt;"",OR($N$4="Freddie",$N$4="Fannie",$N$4="FHA",$N$4="VA"),$H$6="")</formula>
    </cfRule>
    <cfRule type="expression" dxfId="818" priority="94">
      <formula>AND($A$4&lt;&gt;"",OR(AND($E$62=1,$N$4="Freddie"),$N$4="FHA",$N$4="VA",$N$4="Fannie"))</formula>
    </cfRule>
  </conditionalFormatting>
  <conditionalFormatting sqref="A6:O6 A3:O3 A4:A5 K4 N4:O5">
    <cfRule type="expression" dxfId="817" priority="45" stopIfTrue="1">
      <formula>AND($A$4&lt;&gt;"",$E$62&lt;&gt;1,$F$62&lt;&gt;2)</formula>
    </cfRule>
  </conditionalFormatting>
  <conditionalFormatting sqref="J6:N6">
    <cfRule type="expression" dxfId="816" priority="35">
      <formula>$J$6="See individual Investment properties below for results"</formula>
    </cfRule>
    <cfRule type="expression" dxfId="815" priority="41">
      <formula>OR($J$6="Result: Rent income not limited, Proceed",$J$6="See each investment property below for results")</formula>
    </cfRule>
    <cfRule type="expression" dxfId="814" priority="42">
      <formula>$J$6="Answer question(s) for Result"</formula>
    </cfRule>
    <cfRule type="expression" dxfId="813" priority="46">
      <formula>AND($N$4="Other (Jumbo…)",$A$4&lt;&gt;"")</formula>
    </cfRule>
    <cfRule type="expression" dxfId="812" priority="58">
      <formula>AND($N$4="VA",$A$4&lt;&gt;"",$H$6="Yes")</formula>
    </cfRule>
    <cfRule type="expression" dxfId="811" priority="59">
      <formula>AND($N$4="FHA",$A$4&lt;&gt;"",$H$6="No")</formula>
    </cfRule>
    <cfRule type="expression" dxfId="810" priority="60">
      <formula>AND($A$4&lt;&gt;"",$N$4="USDA")</formula>
    </cfRule>
    <cfRule type="expression" dxfId="809" priority="88">
      <formula>AND($N$4="Freddie",$A$4&lt;&gt;"",$H$6="No")</formula>
    </cfRule>
    <cfRule type="expression" dxfId="808" priority="91">
      <formula>AND($N$4="Fannie",$A$4&lt;&gt;"",$H$6="No")</formula>
    </cfRule>
  </conditionalFormatting>
  <conditionalFormatting sqref="A3:O3">
    <cfRule type="expression" dxfId="807" priority="90">
      <formula>AND($A$4&lt;&gt;"",OR($F$62=2,$E$62=1),OR(AND($N$4="Fannie",$H$6="Yes"),AND($N$4="Freddie",$H$6="Yes"),AND($N$4="FHA",$H$6="Yes"),AND($N$4="VA",$H$6="No"),$J$6="See each investment property below for results"))</formula>
    </cfRule>
  </conditionalFormatting>
  <conditionalFormatting sqref="A3:A5 A6:G6">
    <cfRule type="expression" dxfId="806" priority="89">
      <formula>AND($A$4&lt;&gt;"",OR($E$62=1,$F$62=2),OR(AND($N$4="Fannie",$H$6="Yes"),AND($N$4="Freddie",$H$6="Yes"),AND($N$4="FHA",$H$6="Yes"),AND($N$4="VA",$H$6="No"),$J$6="See each investment property below for results"))</formula>
    </cfRule>
  </conditionalFormatting>
  <conditionalFormatting sqref="A6:O6">
    <cfRule type="expression" dxfId="805" priority="61">
      <formula>AND(OR($A$6="",AND($A$6&lt;&gt;"",$H$6&lt;&gt;""),$A$4&lt;&gt;""),OR($F$62=2,$E$62=1),OR(AND($N$4="Fannie",$H$6="Yes"),AND($N$4="Freddie",$H$6="Yes"),AND($N$4="FHA",$H$6="Yes"),AND($N$4="VA",$H$6="No"),$J$6="See each investment property below for results"))</formula>
    </cfRule>
  </conditionalFormatting>
  <conditionalFormatting sqref="O3:O6">
    <cfRule type="expression" dxfId="804" priority="87">
      <formula>AND($A$4&lt;&gt;"",OR($F$62=2,$E$62=1),OR(AND($N$4="Fannie",$H$6="YES"),AND($N$4="Freddie",$H$6="Yes"),AND($N$4="FHA",$H$6="Yes"),AND($N$4="VA",$H$6="No"),$J$6="See each investment property below for results"))</formula>
    </cfRule>
  </conditionalFormatting>
  <conditionalFormatting sqref="F13:L13">
    <cfRule type="expression" dxfId="803" priority="40">
      <formula>$F$13&lt;&gt;""</formula>
    </cfRule>
    <cfRule type="expression" dxfId="802" priority="85">
      <formula>$F$13="Rent Income is not limited on this Property"</formula>
    </cfRule>
  </conditionalFormatting>
  <conditionalFormatting sqref="F22:L22">
    <cfRule type="expression" dxfId="801" priority="39">
      <formula>$F$22="Rent Income is not limited on this Property"</formula>
    </cfRule>
    <cfRule type="expression" dxfId="800" priority="68">
      <formula>$F$22&lt;&gt;""</formula>
    </cfRule>
  </conditionalFormatting>
  <conditionalFormatting sqref="F31:L31">
    <cfRule type="expression" dxfId="799" priority="38">
      <formula>$F$31="Rent Income is not limited on this Property"</formula>
    </cfRule>
    <cfRule type="expression" dxfId="798" priority="66">
      <formula>$F$31&lt;&gt;""</formula>
    </cfRule>
  </conditionalFormatting>
  <conditionalFormatting sqref="F40:L40">
    <cfRule type="expression" dxfId="797" priority="37">
      <formula>$F$40="Rent Income is not limited on this Property"</formula>
    </cfRule>
    <cfRule type="expression" dxfId="796" priority="65">
      <formula>$F$40&lt;&gt;""</formula>
    </cfRule>
  </conditionalFormatting>
  <conditionalFormatting sqref="F49:L49">
    <cfRule type="expression" dxfId="795" priority="36">
      <formula>$F$49="Rent Income is not limited on this Property"</formula>
    </cfRule>
    <cfRule type="expression" dxfId="794" priority="64">
      <formula>$F$49&lt;&gt;""</formula>
    </cfRule>
  </conditionalFormatting>
  <conditionalFormatting sqref="L1:O1">
    <cfRule type="expression" dxfId="793" priority="47">
      <formula>AND($N$4&lt;&gt;"",$L$1&lt;&gt;"")</formula>
    </cfRule>
  </conditionalFormatting>
  <conditionalFormatting sqref="N4">
    <cfRule type="expression" dxfId="792" priority="92">
      <formula>$L$1&lt;&gt;""</formula>
    </cfRule>
  </conditionalFormatting>
  <conditionalFormatting sqref="K5">
    <cfRule type="expression" dxfId="791" priority="44" stopIfTrue="1">
      <formula>OR($E$62&lt;&gt;1,$F$62&lt;&gt;2)</formula>
    </cfRule>
  </conditionalFormatting>
  <conditionalFormatting sqref="K5">
    <cfRule type="expression" dxfId="790" priority="43">
      <formula>$A$5&lt;&gt;""</formula>
    </cfRule>
  </conditionalFormatting>
  <conditionalFormatting sqref="M9">
    <cfRule type="expression" dxfId="789" priority="1921">
      <formula>$A$9="Required: Borrower has at least one-year of receiving rental income from this property?"</formula>
    </cfRule>
  </conditionalFormatting>
  <conditionalFormatting sqref="A9:L9">
    <cfRule type="expression" dxfId="788" priority="5">
      <formula>$A$9="For ADU's, the ADU portion of this income should be entered separately as 'Accessory unit income' under 'Other Income' in MORE LOS"</formula>
    </cfRule>
    <cfRule type="expression" dxfId="787" priority="33">
      <formula>AND($A$9&lt;&gt;"",$M$9="")</formula>
    </cfRule>
  </conditionalFormatting>
  <conditionalFormatting sqref="M18">
    <cfRule type="expression" dxfId="786" priority="30">
      <formula>$A$18="Required: Borrower has at least one-year of receiving rental income from this property?"</formula>
    </cfRule>
  </conditionalFormatting>
  <conditionalFormatting sqref="A18:L18">
    <cfRule type="expression" dxfId="785" priority="4">
      <formula>$A$18="For ADU's, the ADU portion of this income should be entered separately as 'Accessory unit income' under 'Other Income' in MORE LOS"</formula>
    </cfRule>
    <cfRule type="expression" dxfId="784" priority="29">
      <formula>AND($A$18&lt;&gt;"",$M$18="")</formula>
    </cfRule>
  </conditionalFormatting>
  <conditionalFormatting sqref="M27">
    <cfRule type="expression" dxfId="783" priority="28">
      <formula>$A$27="Required: Borrower has at least one-year of receiving rental income from this property?"</formula>
    </cfRule>
  </conditionalFormatting>
  <conditionalFormatting sqref="A27:L27">
    <cfRule type="expression" dxfId="782" priority="3">
      <formula>$A$27="For ADU's, the ADU portion of this income should be entered separately as 'Accessory unit income' under 'Other Income' in MORE LOS"</formula>
    </cfRule>
    <cfRule type="expression" dxfId="781" priority="27">
      <formula>AND($A$27&lt;&gt;"",$M$27="")</formula>
    </cfRule>
  </conditionalFormatting>
  <conditionalFormatting sqref="M36">
    <cfRule type="expression" dxfId="780" priority="26">
      <formula>$A$36="Required: Borrower has at least one-year of receiving rental income from this property?"</formula>
    </cfRule>
  </conditionalFormatting>
  <conditionalFormatting sqref="A36:L36">
    <cfRule type="expression" dxfId="779" priority="2">
      <formula>$A$36="For ADU's, the ADU portion of this income should be entered separately as 'Accessory unit income' under 'Other Income' in MORE LOS"</formula>
    </cfRule>
    <cfRule type="expression" dxfId="778" priority="25">
      <formula>AND($A$36&lt;&gt;"",$M$36="")</formula>
    </cfRule>
  </conditionalFormatting>
  <conditionalFormatting sqref="M45">
    <cfRule type="expression" dxfId="777" priority="24">
      <formula>$A$45="Required: Borrower has at least one-year of receiving rental income from this property?"</formula>
    </cfRule>
  </conditionalFormatting>
  <conditionalFormatting sqref="A45:L45">
    <cfRule type="expression" dxfId="776" priority="1">
      <formula>$A$45="For ADU's, the ADU portion of this income should be entered separately under 'Other Income' in MORE LOS"</formula>
    </cfRule>
    <cfRule type="expression" dxfId="775" priority="23">
      <formula>AND($A$45&lt;&gt;"",$M$45="")</formula>
    </cfRule>
  </conditionalFormatting>
  <conditionalFormatting sqref="A6:I6 A5 O6 N5:O5 K5">
    <cfRule type="expression" dxfId="774" priority="14">
      <formula>AND($E$62&lt;&gt;1,OR($N$4="FHA",$N$4="VA",$N$4="USDA"))</formula>
    </cfRule>
  </conditionalFormatting>
  <conditionalFormatting sqref="D10:I11">
    <cfRule type="expression" dxfId="773" priority="110">
      <formula>$F$13="Rent Income cannot be used, deduct full PITIA"</formula>
    </cfRule>
    <cfRule type="expression" dxfId="772" priority="122">
      <formula>AND($A$60=5,$F$13="Rent Income cannot be used, deduct full PITIA")</formula>
    </cfRule>
    <cfRule type="expression" dxfId="771" priority="1936">
      <formula>AND($A$60=5,$A$7=3)</formula>
    </cfRule>
  </conditionalFormatting>
  <conditionalFormatting sqref="D19:I20">
    <cfRule type="expression" dxfId="770" priority="109">
      <formula>$F$22="Rent Income cannot be used, deduct full PITIA"</formula>
    </cfRule>
    <cfRule type="expression" dxfId="769" priority="114">
      <formula>AND($B$60=5,$F$22="Rent Income cannot be used, deduct full PITIA")</formula>
    </cfRule>
    <cfRule type="expression" dxfId="768" priority="1939">
      <formula>AND($B$60=5,$A$7=3)</formula>
    </cfRule>
  </conditionalFormatting>
  <conditionalFormatting sqref="D28:I29">
    <cfRule type="expression" dxfId="767" priority="108">
      <formula>$F$31="Rent Income cannot be used, deduct full PITIA"</formula>
    </cfRule>
    <cfRule type="expression" dxfId="766" priority="113">
      <formula>AND($C$60=5,$F$31="Rent Income cannot be used, deduct full PITIA")</formula>
    </cfRule>
    <cfRule type="expression" dxfId="765" priority="1942">
      <formula>AND($C$60=5,$A$7=3)</formula>
    </cfRule>
  </conditionalFormatting>
  <conditionalFormatting sqref="D37:I38">
    <cfRule type="expression" dxfId="764" priority="107">
      <formula>$F$40="Rent Income cannot be used, deduct full PITIA"</formula>
    </cfRule>
    <cfRule type="expression" dxfId="763" priority="112">
      <formula>AND($D$60=5,$F$40="Rent Income cannot be used, deduct full PITIA")</formula>
    </cfRule>
    <cfRule type="expression" dxfId="762" priority="1945">
      <formula>AND($D$60=5,$A$7=3)</formula>
    </cfRule>
  </conditionalFormatting>
  <conditionalFormatting sqref="D46:I47">
    <cfRule type="expression" dxfId="761" priority="106">
      <formula>$F$49="Rent Income cannot be used, deduct full PITIA"</formula>
    </cfRule>
    <cfRule type="expression" dxfId="760" priority="111">
      <formula>AND($E$60=5,$F$49="Rent Income cannot be used, deduct full PITIA")</formula>
    </cfRule>
    <cfRule type="expression" dxfId="759" priority="1948">
      <formula>AND($E$60=5,$A$7=3)</formula>
    </cfRule>
  </conditionalFormatting>
  <conditionalFormatting sqref="E10:G11">
    <cfRule type="expression" dxfId="758" priority="1949">
      <formula>AND($A$60=5,$N$4="VA",$A$7=2)</formula>
    </cfRule>
  </conditionalFormatting>
  <conditionalFormatting sqref="E19:G20">
    <cfRule type="expression" dxfId="757" priority="1950">
      <formula>AND($B$60=5,$N$4="VA",$A$7=2)</formula>
    </cfRule>
  </conditionalFormatting>
  <conditionalFormatting sqref="E28:G29">
    <cfRule type="expression" dxfId="756" priority="1951">
      <formula>AND($C$60=5,$N$4="VA",$A$7=2)</formula>
    </cfRule>
  </conditionalFormatting>
  <conditionalFormatting sqref="E37:G38">
    <cfRule type="expression" dxfId="755" priority="1952">
      <formula>AND($D$60=5,$N$4="VA",$A$7=2)</formula>
    </cfRule>
  </conditionalFormatting>
  <conditionalFormatting sqref="E46:G47">
    <cfRule type="expression" dxfId="754" priority="1953">
      <formula>AND($E$60=5,$N$4="VA",$A$7=2)</formula>
    </cfRule>
  </conditionalFormatting>
  <conditionalFormatting sqref="A3:O4 A6:O6 A5 N5:O5 K5">
    <cfRule type="expression" dxfId="753" priority="6">
      <formula>AND($E$62&lt;&gt;1,$F$62&lt;&gt;2)</formula>
    </cfRule>
    <cfRule type="expression" dxfId="752" priority="1969">
      <formula>AND(OR($B$7="FHA",$B$7="USDA",$B$7="VA"),$E$62&lt;&gt;1)</formula>
    </cfRule>
  </conditionalFormatting>
  <dataValidations disablePrompts="1" count="3">
    <dataValidation type="list" allowBlank="1" showInputMessage="1" showErrorMessage="1" sqref="N4" xr:uid="{1B969868-8760-4D0A-8143-32C7445FE055}">
      <formula1>"Fannie,Freddie, FHA,VA,USDA,Other (Jumbo…)"</formula1>
    </dataValidation>
    <dataValidation type="list" allowBlank="1" showInputMessage="1" showErrorMessage="1" sqref="H6:I6 M9 M18 M27 M36 M45" xr:uid="{F42F8637-CC5A-40E0-B4DA-E48A6B111BA2}">
      <formula1>"Yes,No"</formula1>
    </dataValidation>
    <dataValidation type="list" allowBlank="1" showInputMessage="1" showErrorMessage="1" sqref="K5" xr:uid="{3B25EF96-3B9D-4E11-93A2-A8E10320DE41}">
      <formula1>"Own,Rent (with payment),Rent Free"</formula1>
    </dataValidation>
  </dataValidations>
  <printOptions horizontalCentered="1"/>
  <pageMargins left="0.25" right="0.25" top="0.25" bottom="0.25" header="0.3" footer="0.3"/>
  <pageSetup paperSize="5" scale="8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5657" r:id="rId4" name="Check Box 9">
              <controlPr defaultSize="0" autoFill="0" autoLine="0" autoPict="0">
                <anchor moveWithCells="1">
                  <from>
                    <xdr:col>12</xdr:col>
                    <xdr:colOff>38100</xdr:colOff>
                    <xdr:row>11</xdr:row>
                    <xdr:rowOff>7620</xdr:rowOff>
                  </from>
                  <to>
                    <xdr:col>13</xdr:col>
                    <xdr:colOff>548640</xdr:colOff>
                    <xdr:row>12</xdr:row>
                    <xdr:rowOff>121920</xdr:rowOff>
                  </to>
                </anchor>
              </controlPr>
            </control>
          </mc:Choice>
        </mc:AlternateContent>
        <mc:AlternateContent xmlns:mc="http://schemas.openxmlformats.org/markup-compatibility/2006">
          <mc:Choice Requires="x14">
            <control shapeId="155652" r:id="rId5" name="Drop Down 4">
              <controlPr defaultSize="0" autoLine="0" autoPict="0">
                <anchor moveWithCells="1">
                  <from>
                    <xdr:col>10</xdr:col>
                    <xdr:colOff>883920</xdr:colOff>
                    <xdr:row>7</xdr:row>
                    <xdr:rowOff>0</xdr:rowOff>
                  </from>
                  <to>
                    <xdr:col>13</xdr:col>
                    <xdr:colOff>739140</xdr:colOff>
                    <xdr:row>8</xdr:row>
                    <xdr:rowOff>0</xdr:rowOff>
                  </to>
                </anchor>
              </controlPr>
            </control>
          </mc:Choice>
        </mc:AlternateContent>
        <mc:AlternateContent xmlns:mc="http://schemas.openxmlformats.org/markup-compatibility/2006">
          <mc:Choice Requires="x14">
            <control shapeId="155653" r:id="rId6" name="Drop Down 5">
              <controlPr defaultSize="0" autoLine="0" autoPict="0">
                <anchor moveWithCells="1">
                  <from>
                    <xdr:col>10</xdr:col>
                    <xdr:colOff>861060</xdr:colOff>
                    <xdr:row>16</xdr:row>
                    <xdr:rowOff>0</xdr:rowOff>
                  </from>
                  <to>
                    <xdr:col>13</xdr:col>
                    <xdr:colOff>731520</xdr:colOff>
                    <xdr:row>17</xdr:row>
                    <xdr:rowOff>0</xdr:rowOff>
                  </to>
                </anchor>
              </controlPr>
            </control>
          </mc:Choice>
        </mc:AlternateContent>
        <mc:AlternateContent xmlns:mc="http://schemas.openxmlformats.org/markup-compatibility/2006">
          <mc:Choice Requires="x14">
            <control shapeId="155654" r:id="rId7" name="Drop Down 6">
              <controlPr defaultSize="0" autoLine="0" autoPict="0">
                <anchor moveWithCells="1">
                  <from>
                    <xdr:col>10</xdr:col>
                    <xdr:colOff>861060</xdr:colOff>
                    <xdr:row>25</xdr:row>
                    <xdr:rowOff>7620</xdr:rowOff>
                  </from>
                  <to>
                    <xdr:col>13</xdr:col>
                    <xdr:colOff>739140</xdr:colOff>
                    <xdr:row>26</xdr:row>
                    <xdr:rowOff>0</xdr:rowOff>
                  </to>
                </anchor>
              </controlPr>
            </control>
          </mc:Choice>
        </mc:AlternateContent>
        <mc:AlternateContent xmlns:mc="http://schemas.openxmlformats.org/markup-compatibility/2006">
          <mc:Choice Requires="x14">
            <control shapeId="155655" r:id="rId8" name="Drop Down 7">
              <controlPr defaultSize="0" autoLine="0" autoPict="0">
                <anchor moveWithCells="1">
                  <from>
                    <xdr:col>10</xdr:col>
                    <xdr:colOff>861060</xdr:colOff>
                    <xdr:row>34</xdr:row>
                    <xdr:rowOff>7620</xdr:rowOff>
                  </from>
                  <to>
                    <xdr:col>13</xdr:col>
                    <xdr:colOff>731520</xdr:colOff>
                    <xdr:row>35</xdr:row>
                    <xdr:rowOff>0</xdr:rowOff>
                  </to>
                </anchor>
              </controlPr>
            </control>
          </mc:Choice>
        </mc:AlternateContent>
        <mc:AlternateContent xmlns:mc="http://schemas.openxmlformats.org/markup-compatibility/2006">
          <mc:Choice Requires="x14">
            <control shapeId="155656" r:id="rId9" name="Drop Down 8">
              <controlPr defaultSize="0" autoLine="0" autoPict="0">
                <anchor moveWithCells="1">
                  <from>
                    <xdr:col>10</xdr:col>
                    <xdr:colOff>861060</xdr:colOff>
                    <xdr:row>43</xdr:row>
                    <xdr:rowOff>7620</xdr:rowOff>
                  </from>
                  <to>
                    <xdr:col>13</xdr:col>
                    <xdr:colOff>731520</xdr:colOff>
                    <xdr:row>44</xdr:row>
                    <xdr:rowOff>0</xdr:rowOff>
                  </to>
                </anchor>
              </controlPr>
            </control>
          </mc:Choice>
        </mc:AlternateContent>
        <mc:AlternateContent xmlns:mc="http://schemas.openxmlformats.org/markup-compatibility/2006">
          <mc:Choice Requires="x14">
            <control shapeId="155658" r:id="rId10" name="Check Box 10">
              <controlPr defaultSize="0" autoFill="0" autoLine="0" autoPict="0">
                <anchor moveWithCells="1">
                  <from>
                    <xdr:col>12</xdr:col>
                    <xdr:colOff>38100</xdr:colOff>
                    <xdr:row>20</xdr:row>
                    <xdr:rowOff>22860</xdr:rowOff>
                  </from>
                  <to>
                    <xdr:col>13</xdr:col>
                    <xdr:colOff>548640</xdr:colOff>
                    <xdr:row>21</xdr:row>
                    <xdr:rowOff>121920</xdr:rowOff>
                  </to>
                </anchor>
              </controlPr>
            </control>
          </mc:Choice>
        </mc:AlternateContent>
        <mc:AlternateContent xmlns:mc="http://schemas.openxmlformats.org/markup-compatibility/2006">
          <mc:Choice Requires="x14">
            <control shapeId="155660" r:id="rId11" name="Check Box 12">
              <controlPr defaultSize="0" autoFill="0" autoLine="0" autoPict="0">
                <anchor moveWithCells="1">
                  <from>
                    <xdr:col>12</xdr:col>
                    <xdr:colOff>38100</xdr:colOff>
                    <xdr:row>29</xdr:row>
                    <xdr:rowOff>30480</xdr:rowOff>
                  </from>
                  <to>
                    <xdr:col>13</xdr:col>
                    <xdr:colOff>548640</xdr:colOff>
                    <xdr:row>30</xdr:row>
                    <xdr:rowOff>137160</xdr:rowOff>
                  </to>
                </anchor>
              </controlPr>
            </control>
          </mc:Choice>
        </mc:AlternateContent>
        <mc:AlternateContent xmlns:mc="http://schemas.openxmlformats.org/markup-compatibility/2006">
          <mc:Choice Requires="x14">
            <control shapeId="155661" r:id="rId12" name="Check Box 13">
              <controlPr defaultSize="0" autoFill="0" autoLine="0" autoPict="0">
                <anchor moveWithCells="1">
                  <from>
                    <xdr:col>12</xdr:col>
                    <xdr:colOff>38100</xdr:colOff>
                    <xdr:row>38</xdr:row>
                    <xdr:rowOff>38100</xdr:rowOff>
                  </from>
                  <to>
                    <xdr:col>13</xdr:col>
                    <xdr:colOff>548640</xdr:colOff>
                    <xdr:row>39</xdr:row>
                    <xdr:rowOff>144780</xdr:rowOff>
                  </to>
                </anchor>
              </controlPr>
            </control>
          </mc:Choice>
        </mc:AlternateContent>
        <mc:AlternateContent xmlns:mc="http://schemas.openxmlformats.org/markup-compatibility/2006">
          <mc:Choice Requires="x14">
            <control shapeId="155662" r:id="rId13" name="Check Box 14">
              <controlPr defaultSize="0" autoFill="0" autoLine="0" autoPict="0">
                <anchor moveWithCells="1">
                  <from>
                    <xdr:col>12</xdr:col>
                    <xdr:colOff>38100</xdr:colOff>
                    <xdr:row>47</xdr:row>
                    <xdr:rowOff>45720</xdr:rowOff>
                  </from>
                  <to>
                    <xdr:col>13</xdr:col>
                    <xdr:colOff>548640</xdr:colOff>
                    <xdr:row>48</xdr:row>
                    <xdr:rowOff>30480</xdr:rowOff>
                  </to>
                </anchor>
              </controlPr>
            </control>
          </mc:Choice>
        </mc:AlternateContent>
        <mc:AlternateContent xmlns:mc="http://schemas.openxmlformats.org/markup-compatibility/2006">
          <mc:Choice Requires="x14">
            <control shapeId="155671" r:id="rId14" name="Button 23">
              <controlPr defaultSize="0" print="0" autoFill="0" autoPict="0" macro="[0]!IW_Copy">
                <anchor moveWithCells="1" sizeWithCells="1">
                  <from>
                    <xdr:col>0</xdr:col>
                    <xdr:colOff>487680</xdr:colOff>
                    <xdr:row>0</xdr:row>
                    <xdr:rowOff>7620</xdr:rowOff>
                  </from>
                  <to>
                    <xdr:col>2</xdr:col>
                    <xdr:colOff>53340</xdr:colOff>
                    <xdr:row>0</xdr:row>
                    <xdr:rowOff>297180</xdr:rowOff>
                  </to>
                </anchor>
              </controlPr>
            </control>
          </mc:Choice>
        </mc:AlternateContent>
        <mc:AlternateContent xmlns:mc="http://schemas.openxmlformats.org/markup-compatibility/2006">
          <mc:Choice Requires="x14">
            <control shapeId="155672" r:id="rId15" name="Button 24">
              <controlPr defaultSize="0" print="0" autoFill="0" autoPict="0" macro="[0]!IW_Home">
                <anchor moveWithCells="1" sizeWithCells="1">
                  <from>
                    <xdr:col>0</xdr:col>
                    <xdr:colOff>0</xdr:colOff>
                    <xdr:row>0</xdr:row>
                    <xdr:rowOff>7620</xdr:rowOff>
                  </from>
                  <to>
                    <xdr:col>0</xdr:col>
                    <xdr:colOff>434340</xdr:colOff>
                    <xdr:row>0</xdr:row>
                    <xdr:rowOff>297180</xdr:rowOff>
                  </to>
                </anchor>
              </controlPr>
            </control>
          </mc:Choice>
        </mc:AlternateContent>
        <mc:AlternateContent xmlns:mc="http://schemas.openxmlformats.org/markup-compatibility/2006">
          <mc:Choice Requires="x14">
            <control shapeId="155673" r:id="rId16" name="Button 25">
              <controlPr defaultSize="0" print="0" autoFill="0" autoPict="0" macro="[0]!AddProp_Clear">
                <anchor moveWithCells="1" sizeWithCells="1">
                  <from>
                    <xdr:col>2</xdr:col>
                    <xdr:colOff>106680</xdr:colOff>
                    <xdr:row>0</xdr:row>
                    <xdr:rowOff>7620</xdr:rowOff>
                  </from>
                  <to>
                    <xdr:col>3</xdr:col>
                    <xdr:colOff>297180</xdr:colOff>
                    <xdr:row>0</xdr:row>
                    <xdr:rowOff>297180</xdr:rowOff>
                  </to>
                </anchor>
              </controlPr>
            </control>
          </mc:Choice>
        </mc:AlternateContent>
        <mc:AlternateContent xmlns:mc="http://schemas.openxmlformats.org/markup-compatibility/2006">
          <mc:Choice Requires="x14">
            <control shapeId="155674" r:id="rId17" name="Button 26">
              <controlPr defaultSize="0" print="0" autoFill="0" autoPict="0" macro="[0]!AddProp_OmitHide">
                <anchor moveWithCells="1" sizeWithCells="1">
                  <from>
                    <xdr:col>0</xdr:col>
                    <xdr:colOff>7620</xdr:colOff>
                    <xdr:row>0</xdr:row>
                    <xdr:rowOff>350520</xdr:rowOff>
                  </from>
                  <to>
                    <xdr:col>1</xdr:col>
                    <xdr:colOff>175260</xdr:colOff>
                    <xdr:row>0</xdr:row>
                    <xdr:rowOff>647700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theme="3" tint="0.79998168889431442"/>
  </sheetPr>
  <dimension ref="A1:AM73"/>
  <sheetViews>
    <sheetView showGridLines="0" showRowColHeaders="0" showRuler="0" view="pageLayout" zoomScale="92" zoomScaleNormal="100" zoomScalePageLayoutView="92" workbookViewId="0">
      <selection activeCell="D6" sqref="D6:H6"/>
    </sheetView>
  </sheetViews>
  <sheetFormatPr defaultColWidth="9.109375" defaultRowHeight="14.4" x14ac:dyDescent="0.3"/>
  <cols>
    <col min="1" max="1" width="5.5546875" style="15" customWidth="1"/>
    <col min="2" max="2" width="5.88671875" customWidth="1"/>
    <col min="3" max="3" width="3.6640625" customWidth="1"/>
    <col min="6" max="6" width="8.109375" customWidth="1"/>
    <col min="7" max="7" width="8.5546875" customWidth="1"/>
    <col min="8" max="8" width="6.21875" customWidth="1"/>
    <col min="9" max="9" width="1.33203125" customWidth="1"/>
    <col min="10" max="10" width="9.21875" customWidth="1"/>
    <col min="11" max="11" width="8.77734375" customWidth="1"/>
    <col min="12" max="12" width="9.109375" customWidth="1"/>
    <col min="13" max="13" width="8.6640625" customWidth="1"/>
    <col min="14" max="14" width="9" customWidth="1"/>
    <col min="15" max="15" width="2.6640625" customWidth="1"/>
    <col min="16" max="16" width="4.88671875" hidden="1" customWidth="1"/>
    <col min="17" max="17" width="5.33203125" hidden="1" customWidth="1"/>
    <col min="18" max="18" width="4" hidden="1" customWidth="1"/>
    <col min="19" max="19" width="10.5546875" hidden="1" customWidth="1"/>
    <col min="20" max="20" width="11.109375" hidden="1" customWidth="1"/>
    <col min="21" max="21" width="11.21875" hidden="1" customWidth="1"/>
    <col min="22" max="22" width="6.33203125" hidden="1" customWidth="1"/>
    <col min="23" max="23" width="5.109375" hidden="1" customWidth="1"/>
    <col min="24" max="24" width="16.88671875" hidden="1" customWidth="1"/>
    <col min="25" max="25" width="1.33203125" hidden="1" customWidth="1"/>
    <col min="26" max="26" width="1" hidden="1" customWidth="1"/>
    <col min="27" max="27" width="6.88671875" hidden="1" customWidth="1"/>
    <col min="28" max="28" width="1.21875" hidden="1" customWidth="1"/>
    <col min="29" max="29" width="7" hidden="1" customWidth="1"/>
    <col min="30" max="30" width="1.21875" hidden="1" customWidth="1"/>
    <col min="31" max="31" width="5.77734375" hidden="1" customWidth="1"/>
    <col min="32" max="32" width="1.21875" hidden="1" customWidth="1"/>
    <col min="33" max="33" width="7.109375" hidden="1" customWidth="1"/>
    <col min="34" max="34" width="1.109375" hidden="1" customWidth="1"/>
    <col min="35" max="35" width="6.88671875" hidden="1" customWidth="1"/>
    <col min="36" max="36" width="1.109375" hidden="1" customWidth="1"/>
    <col min="37" max="37" width="0.6640625" hidden="1" customWidth="1"/>
    <col min="38" max="38" width="9.109375" hidden="1" customWidth="1"/>
    <col min="39" max="39" width="16.88671875" hidden="1" customWidth="1"/>
    <col min="40" max="40" width="9.109375" customWidth="1"/>
  </cols>
  <sheetData>
    <row r="1" spans="1:39" x14ac:dyDescent="0.3">
      <c r="N1" s="47">
        <f>'I&amp;D Worksheet'!J8</f>
        <v>0</v>
      </c>
      <c r="O1" s="47">
        <f>IF(OR(N1="VA",N1="FHA",N1="USDA"),2,1)</f>
        <v>1</v>
      </c>
      <c r="P1" s="1195"/>
      <c r="Q1" s="1445"/>
      <c r="R1" s="1445"/>
      <c r="AM1" s="1151"/>
    </row>
    <row r="2" spans="1:39" ht="36" customHeight="1" x14ac:dyDescent="0.5">
      <c r="B2" s="354"/>
      <c r="C2" s="354"/>
      <c r="D2" s="354"/>
      <c r="E2" s="354"/>
      <c r="F2" s="1321" t="s">
        <v>16</v>
      </c>
      <c r="G2" s="1321"/>
      <c r="H2" s="1321"/>
      <c r="I2" s="1321"/>
      <c r="J2" s="1321"/>
      <c r="K2" s="1969" t="s">
        <v>1374</v>
      </c>
      <c r="L2" s="1969"/>
      <c r="M2" s="1969"/>
      <c r="N2" s="2082"/>
      <c r="P2" s="1207" t="s">
        <v>803</v>
      </c>
      <c r="Q2" s="1207"/>
      <c r="R2" s="1207"/>
      <c r="S2" s="1207"/>
      <c r="T2" s="1207"/>
      <c r="U2" s="1207"/>
      <c r="V2" s="1207"/>
      <c r="W2" s="1207"/>
      <c r="X2" s="1207"/>
      <c r="Y2" s="1207"/>
      <c r="Z2" s="1207"/>
      <c r="AA2" s="1207"/>
      <c r="AB2" s="1207"/>
      <c r="AC2" s="1207"/>
      <c r="AD2" s="1207"/>
      <c r="AE2" s="1207"/>
      <c r="AF2" s="1207"/>
      <c r="AG2" s="1207"/>
      <c r="AH2" s="1207"/>
      <c r="AI2" s="1207"/>
      <c r="AJ2" s="1207"/>
      <c r="AK2" s="1207"/>
      <c r="AM2" s="1152" t="str">
        <f>IF(AND(OR(N1="Conventional",N1="Other"),M69=TRUE),"Yes, 1 yr returns confirmed","")</f>
        <v/>
      </c>
    </row>
    <row r="3" spans="1:39" ht="14.4" customHeight="1" x14ac:dyDescent="0.45">
      <c r="B3" s="355"/>
      <c r="C3" s="355"/>
      <c r="D3" s="355"/>
      <c r="E3" s="355"/>
      <c r="F3" s="1970" t="s">
        <v>27</v>
      </c>
      <c r="G3" s="1970"/>
      <c r="H3" s="1970"/>
      <c r="I3" s="1970"/>
      <c r="J3" s="1970"/>
      <c r="K3" s="1150" t="s">
        <v>1375</v>
      </c>
      <c r="L3" s="1171" t="s">
        <v>941</v>
      </c>
      <c r="M3" s="1172" t="s">
        <v>942</v>
      </c>
      <c r="N3" s="2082"/>
      <c r="O3" s="3"/>
      <c r="P3" s="1207"/>
      <c r="Q3" s="1207"/>
      <c r="R3" s="1207"/>
      <c r="S3" s="1207"/>
      <c r="T3" s="1207"/>
      <c r="U3" s="1207"/>
      <c r="V3" s="1207"/>
      <c r="W3" s="1207"/>
      <c r="X3" s="1207"/>
      <c r="Y3" s="1207"/>
      <c r="Z3" s="1207"/>
      <c r="AA3" s="1207"/>
      <c r="AB3" s="1207"/>
      <c r="AC3" s="1207"/>
      <c r="AD3" s="1207"/>
      <c r="AE3" s="1207"/>
      <c r="AF3" s="1207"/>
      <c r="AG3" s="1207"/>
      <c r="AH3" s="1207"/>
      <c r="AI3" s="1207"/>
      <c r="AJ3" s="1207"/>
      <c r="AK3" s="1207"/>
      <c r="AM3" s="1153" t="str">
        <f>IF(AND(OR(N1="Conventional",N1="Other"),M69=TRUE),"No","")</f>
        <v/>
      </c>
    </row>
    <row r="4" spans="1:39" ht="31.2" customHeight="1" x14ac:dyDescent="0.3">
      <c r="A4"/>
      <c r="F4" s="1970"/>
      <c r="G4" s="1970"/>
      <c r="H4" s="1970"/>
      <c r="I4" s="1970"/>
      <c r="J4" s="1970"/>
      <c r="K4" s="2050" t="s">
        <v>1236</v>
      </c>
      <c r="L4" s="2050"/>
      <c r="M4" s="2050"/>
      <c r="N4" s="2050"/>
      <c r="O4" s="2050"/>
      <c r="P4" s="1791"/>
      <c r="Q4" s="1791"/>
      <c r="R4" s="1791"/>
      <c r="S4" s="1791"/>
      <c r="T4" s="1791"/>
      <c r="U4" s="1791"/>
      <c r="V4" s="1791"/>
      <c r="W4" s="1791"/>
      <c r="X4" s="1791"/>
      <c r="Y4" s="1791"/>
      <c r="Z4" s="1791"/>
      <c r="AD4" s="2"/>
      <c r="AE4" s="2"/>
      <c r="AF4" s="2"/>
      <c r="AG4" s="2"/>
      <c r="AH4" s="2"/>
      <c r="AI4" s="2"/>
      <c r="AJ4" s="2"/>
      <c r="AM4" s="1154"/>
    </row>
    <row r="5" spans="1:39" ht="7.2" customHeight="1" x14ac:dyDescent="0.3">
      <c r="A5" s="56"/>
      <c r="B5" s="56"/>
      <c r="C5" s="56"/>
      <c r="D5" s="56"/>
      <c r="E5" s="56"/>
      <c r="F5" s="56"/>
      <c r="G5" s="56"/>
      <c r="H5" s="56"/>
      <c r="I5" s="56"/>
      <c r="J5" s="1948" t="s">
        <v>1226</v>
      </c>
      <c r="K5" s="1948"/>
      <c r="L5" s="1948"/>
      <c r="M5" s="1948"/>
      <c r="N5" s="1948"/>
      <c r="O5" s="1948"/>
      <c r="S5" s="2"/>
      <c r="T5" s="2"/>
      <c r="U5" s="2"/>
      <c r="V5" s="2"/>
      <c r="W5" s="2"/>
      <c r="X5" s="2"/>
      <c r="Y5" s="2"/>
      <c r="Z5" s="2"/>
      <c r="AA5" s="2"/>
      <c r="AB5" s="2"/>
      <c r="AC5" s="2"/>
      <c r="AD5" s="2"/>
      <c r="AE5" s="2"/>
      <c r="AF5" s="2"/>
      <c r="AG5" s="2"/>
      <c r="AH5" s="2"/>
      <c r="AI5" s="2"/>
      <c r="AJ5" s="2"/>
    </row>
    <row r="6" spans="1:39" ht="15.75" customHeight="1" x14ac:dyDescent="0.3">
      <c r="A6" s="1407" t="s">
        <v>37</v>
      </c>
      <c r="B6" s="1407"/>
      <c r="C6" s="1407"/>
      <c r="D6" s="1359"/>
      <c r="E6" s="1359"/>
      <c r="F6" s="1359"/>
      <c r="G6" s="1359"/>
      <c r="H6" s="1359"/>
      <c r="I6" s="46"/>
      <c r="J6" s="1948"/>
      <c r="K6" s="1948"/>
      <c r="L6" s="1948"/>
      <c r="M6" s="1948"/>
      <c r="N6" s="1948"/>
      <c r="O6" s="1948"/>
      <c r="P6" s="1407" t="s">
        <v>37</v>
      </c>
      <c r="Q6" s="1407"/>
      <c r="R6" s="1407"/>
      <c r="S6" s="1412" t="str">
        <f>IF(D6&lt;&gt;"",D6,"")</f>
        <v/>
      </c>
      <c r="T6" s="1412"/>
      <c r="U6" s="1412"/>
      <c r="V6" s="1412"/>
      <c r="W6" s="1412"/>
      <c r="X6" s="91"/>
      <c r="Y6" s="53"/>
      <c r="Z6" s="2"/>
      <c r="AA6" s="2"/>
      <c r="AB6" s="2"/>
      <c r="AC6" s="2"/>
      <c r="AD6" s="2"/>
      <c r="AE6" s="2"/>
      <c r="AF6" s="2"/>
      <c r="AG6" s="2"/>
      <c r="AH6" s="2"/>
      <c r="AI6" s="2"/>
      <c r="AJ6" s="2"/>
    </row>
    <row r="7" spans="1:39" ht="7.5" customHeight="1" x14ac:dyDescent="0.3">
      <c r="A7" s="4"/>
      <c r="B7" s="4"/>
      <c r="C7" s="4"/>
      <c r="D7" s="91"/>
      <c r="E7" s="91"/>
      <c r="F7" s="91"/>
      <c r="G7" s="91"/>
      <c r="H7" s="91"/>
      <c r="I7" s="2"/>
      <c r="J7" s="1948"/>
      <c r="K7" s="1948"/>
      <c r="L7" s="1948"/>
      <c r="M7" s="1948"/>
      <c r="N7" s="1948"/>
      <c r="O7" s="1948"/>
      <c r="P7" s="4"/>
      <c r="Q7" s="4"/>
      <c r="R7" s="4"/>
      <c r="S7" s="10"/>
      <c r="T7" s="10"/>
      <c r="U7" s="10"/>
      <c r="V7" s="10"/>
      <c r="W7" s="10"/>
      <c r="X7" s="10"/>
      <c r="Y7" s="2"/>
      <c r="Z7" s="2"/>
      <c r="AA7" s="2"/>
      <c r="AB7" s="2"/>
      <c r="AC7" s="2"/>
      <c r="AD7" s="2"/>
      <c r="AE7" s="2"/>
      <c r="AF7" s="2"/>
      <c r="AG7" s="2"/>
      <c r="AH7" s="2"/>
      <c r="AI7" s="2"/>
      <c r="AJ7" s="2"/>
    </row>
    <row r="8" spans="1:39" ht="15.6" x14ac:dyDescent="0.3">
      <c r="A8" s="1407" t="s">
        <v>17</v>
      </c>
      <c r="B8" s="1407"/>
      <c r="C8" s="1407"/>
      <c r="D8" s="1359"/>
      <c r="E8" s="1359"/>
      <c r="F8" s="1359"/>
      <c r="G8" s="1359"/>
      <c r="H8" s="1359"/>
      <c r="I8" s="2"/>
      <c r="J8" s="2084" t="s">
        <v>1230</v>
      </c>
      <c r="K8" s="2084"/>
      <c r="L8" s="2084"/>
      <c r="M8" s="2084"/>
      <c r="N8" s="2084"/>
      <c r="O8" s="2084"/>
      <c r="P8" s="1407" t="s">
        <v>35</v>
      </c>
      <c r="Q8" s="1407"/>
      <c r="R8" s="1407"/>
      <c r="S8" s="1412" t="str">
        <f>IF(D8&lt;&gt;"",D8,"")</f>
        <v/>
      </c>
      <c r="T8" s="1412"/>
      <c r="U8" s="1412"/>
      <c r="V8" s="1412"/>
      <c r="W8" s="1412"/>
      <c r="X8" s="91"/>
      <c r="Y8" s="2"/>
      <c r="Z8" s="46" t="str">
        <f>IF(S8="","",S8)</f>
        <v/>
      </c>
      <c r="AA8" s="46"/>
      <c r="AB8" s="46"/>
      <c r="AC8" s="46"/>
      <c r="AD8" s="2"/>
      <c r="AE8" s="2"/>
      <c r="AF8" s="2"/>
      <c r="AG8" s="2"/>
      <c r="AH8" s="2"/>
      <c r="AI8" s="2"/>
      <c r="AJ8" s="2"/>
    </row>
    <row r="9" spans="1:39" x14ac:dyDescent="0.3">
      <c r="A9"/>
      <c r="J9" s="2084"/>
      <c r="K9" s="2084"/>
      <c r="L9" s="2084"/>
      <c r="M9" s="2084"/>
      <c r="N9" s="2084"/>
      <c r="O9" s="2084"/>
      <c r="AG9" s="36">
        <f>AF10-2000</f>
        <v>25</v>
      </c>
    </row>
    <row r="10" spans="1:39" ht="18" x14ac:dyDescent="0.3">
      <c r="A10" s="2079" t="str">
        <f>IF(O68=TRUE," Total Adjusted Schedule C Income from Vendor wkst:","Page 1:")</f>
        <v>Page 1:</v>
      </c>
      <c r="B10" s="2079"/>
      <c r="C10" s="2079"/>
      <c r="D10" s="2079"/>
      <c r="E10" s="2079"/>
      <c r="F10" s="2079"/>
      <c r="G10" s="2079"/>
      <c r="H10" s="2079"/>
      <c r="I10" s="2079"/>
      <c r="J10" s="1988">
        <v>2025</v>
      </c>
      <c r="K10" s="1988"/>
      <c r="L10" s="2"/>
      <c r="M10" s="1987">
        <f>J10-1</f>
        <v>2024</v>
      </c>
      <c r="N10" s="1987"/>
      <c r="P10" s="1174"/>
      <c r="Q10" s="1174"/>
      <c r="R10" s="2063" t="b">
        <v>0</v>
      </c>
      <c r="S10" s="1341" t="s">
        <v>1415</v>
      </c>
      <c r="T10" s="1341"/>
      <c r="U10" s="1341"/>
      <c r="V10" s="2"/>
      <c r="W10" s="2"/>
      <c r="X10" s="2"/>
      <c r="Y10" s="2"/>
      <c r="Z10" s="2041">
        <v>2026</v>
      </c>
      <c r="AA10" s="2041"/>
      <c r="AB10" s="2041"/>
      <c r="AC10" s="404" t="s">
        <v>816</v>
      </c>
      <c r="AD10" s="416"/>
      <c r="AE10" s="393"/>
      <c r="AF10" s="2042">
        <f>Z10-1</f>
        <v>2025</v>
      </c>
      <c r="AG10" s="2042"/>
      <c r="AH10" s="2042"/>
      <c r="AI10" s="436" t="s">
        <v>816</v>
      </c>
      <c r="AJ10" s="437"/>
    </row>
    <row r="11" spans="1:39" ht="15.6" x14ac:dyDescent="0.3">
      <c r="A11" s="4" t="s">
        <v>1</v>
      </c>
      <c r="B11" s="1701" t="s">
        <v>18</v>
      </c>
      <c r="C11" s="1701"/>
      <c r="D11" s="1701"/>
      <c r="E11" s="1701"/>
      <c r="F11" s="1701"/>
      <c r="G11" s="1701"/>
      <c r="H11" s="1701"/>
      <c r="I11" s="3"/>
      <c r="J11" s="1957"/>
      <c r="K11" s="1957"/>
      <c r="L11" s="3"/>
      <c r="M11" s="1957"/>
      <c r="N11" s="1957"/>
      <c r="O11" s="3"/>
      <c r="P11" s="4"/>
      <c r="R11" s="2063"/>
      <c r="S11" s="2062" t="s">
        <v>1416</v>
      </c>
      <c r="T11" s="2062"/>
      <c r="U11" s="2062"/>
      <c r="V11" s="1419" t="s">
        <v>805</v>
      </c>
      <c r="W11" s="1419"/>
      <c r="X11" s="1419"/>
      <c r="Y11" s="186"/>
      <c r="Z11" s="2043">
        <v>46023</v>
      </c>
      <c r="AA11" s="2043"/>
      <c r="AB11" s="388"/>
      <c r="AC11" s="2043"/>
      <c r="AD11" s="2043"/>
      <c r="AE11" s="3"/>
      <c r="AF11" s="2044" t="str">
        <f>CONCATENATE("1/1/",AG9)</f>
        <v>1/1/25</v>
      </c>
      <c r="AG11" s="2044"/>
      <c r="AH11" s="388"/>
      <c r="AI11" s="2044" t="str">
        <f>CONCATENATE("12/31/",AG9)</f>
        <v>12/31/25</v>
      </c>
      <c r="AJ11" s="2044"/>
      <c r="AK11" s="3"/>
    </row>
    <row r="12" spans="1:39" ht="15.6" x14ac:dyDescent="0.3">
      <c r="A12" s="4" t="s">
        <v>2</v>
      </c>
      <c r="B12" s="1701" t="s">
        <v>19</v>
      </c>
      <c r="C12" s="1701"/>
      <c r="D12" s="1701"/>
      <c r="E12" s="1701"/>
      <c r="F12" s="1701"/>
      <c r="G12" s="1701"/>
      <c r="H12" s="1701"/>
      <c r="I12" s="3"/>
      <c r="J12" s="1985"/>
      <c r="K12" s="1985"/>
      <c r="L12" s="3"/>
      <c r="M12" s="1985"/>
      <c r="N12" s="1985"/>
      <c r="O12" s="3"/>
      <c r="P12" s="4"/>
      <c r="Q12" s="2"/>
      <c r="R12" s="2"/>
      <c r="S12" s="2"/>
      <c r="T12" s="2"/>
      <c r="U12" s="2"/>
      <c r="V12" s="2"/>
      <c r="W12" s="732">
        <f>YEAR(Z11)</f>
        <v>2026</v>
      </c>
      <c r="X12" s="2"/>
      <c r="Y12" s="3"/>
      <c r="Z12" s="6"/>
      <c r="AA12" s="2059" t="s">
        <v>97</v>
      </c>
      <c r="AB12" s="2059"/>
      <c r="AC12" s="2059"/>
      <c r="AD12" s="389"/>
      <c r="AE12" s="2"/>
      <c r="AF12" s="389"/>
      <c r="AG12" s="2059" t="s">
        <v>97</v>
      </c>
      <c r="AH12" s="2059"/>
      <c r="AI12" s="2059"/>
      <c r="AJ12" s="6"/>
      <c r="AK12" s="3"/>
    </row>
    <row r="13" spans="1:39" ht="15.6" x14ac:dyDescent="0.3">
      <c r="A13" s="4" t="s">
        <v>3</v>
      </c>
      <c r="B13" s="1701" t="s">
        <v>754</v>
      </c>
      <c r="C13" s="1701"/>
      <c r="D13" s="1701"/>
      <c r="E13" s="1701"/>
      <c r="F13" s="1701"/>
      <c r="G13" s="1701"/>
      <c r="H13" s="1701"/>
      <c r="I13" s="3" t="s">
        <v>14</v>
      </c>
      <c r="J13" s="1985"/>
      <c r="K13" s="1985"/>
      <c r="L13" s="3" t="s">
        <v>50</v>
      </c>
      <c r="M13" s="1985"/>
      <c r="N13" s="1985"/>
      <c r="O13" s="3" t="s">
        <v>13</v>
      </c>
      <c r="Q13" s="2045" t="str">
        <f>IF(AND(AF21&lt;&gt;0,J25=0,M25&lt;&gt;0),"Most recent Filed returns must be entered in the left column on the 1065 Worksheet and year updated at top.",IF(AND(AF21&lt;&gt;0,AF10&lt;&gt;(J10+1)),"Error, Tax Years and P&amp;L years are not entered correctly; see the Instructions tab under P&amp;L's",IF(AND(AF21=0,Z21&lt;&gt;0,Z10&lt;&gt;(J10+1)),"Error, Tax Years and P&amp;L years are not entered correctly; see the Instructions tab under P&amp;L's","")))</f>
        <v/>
      </c>
      <c r="R13" s="2045"/>
      <c r="S13" s="2045"/>
      <c r="T13" s="2045"/>
      <c r="U13" s="2045"/>
      <c r="V13" s="401"/>
      <c r="W13" s="401"/>
      <c r="X13" s="2"/>
      <c r="Y13" s="3"/>
      <c r="Z13" s="6"/>
      <c r="AA13" s="2046" t="str">
        <f>IF(OR(Z11="",AC11=""),"=",CONCATENATE(ROUND(AC14,2)," Months"))</f>
        <v>=</v>
      </c>
      <c r="AB13" s="2046"/>
      <c r="AC13" s="2046"/>
      <c r="AE13" s="3"/>
      <c r="AF13" s="6"/>
      <c r="AG13" s="2046" t="str">
        <f>IF(OR(AF11="",AI11=""),"=",CONCATENATE(ROUND(AI14,2)," Months"))</f>
        <v>12 Months</v>
      </c>
      <c r="AH13" s="2046"/>
      <c r="AI13" s="2046"/>
      <c r="AK13" s="3"/>
    </row>
    <row r="14" spans="1:39" ht="15.6" x14ac:dyDescent="0.3">
      <c r="A14" s="4" t="s">
        <v>4</v>
      </c>
      <c r="B14" s="1701" t="s">
        <v>20</v>
      </c>
      <c r="C14" s="1701"/>
      <c r="D14" s="1701"/>
      <c r="E14" s="1701"/>
      <c r="F14" s="1701"/>
      <c r="G14" s="1701"/>
      <c r="H14" s="1701"/>
      <c r="I14" s="3"/>
      <c r="J14" s="1985"/>
      <c r="K14" s="1985"/>
      <c r="L14" s="3"/>
      <c r="M14" s="1985"/>
      <c r="N14" s="1985"/>
      <c r="O14" s="3"/>
      <c r="P14" s="401"/>
      <c r="Q14" s="2045"/>
      <c r="R14" s="2045"/>
      <c r="S14" s="2045"/>
      <c r="T14" s="2045"/>
      <c r="U14" s="2045"/>
      <c r="V14" s="401"/>
      <c r="W14" s="401"/>
      <c r="X14" s="2"/>
      <c r="Z14" s="11"/>
      <c r="AA14" s="220">
        <f>YEARFRAC(Z11,AC11+1,4)</f>
        <v>126</v>
      </c>
      <c r="AB14" s="394" t="str">
        <f>IF(OR(Z11="",AC11=""),"=",(ROUND(AC14,2)))</f>
        <v>=</v>
      </c>
      <c r="AC14" s="221">
        <f>AA14*12</f>
        <v>1512</v>
      </c>
      <c r="AD14" s="11"/>
      <c r="AE14" s="3"/>
      <c r="AF14" s="11"/>
      <c r="AG14" s="220">
        <f>YEARFRAC(AF11,AI11+1,4)</f>
        <v>1</v>
      </c>
      <c r="AH14" s="394">
        <f>IF(OR(AF11="",AI11=""),"=",(ROUND(AI14,2)))</f>
        <v>12</v>
      </c>
      <c r="AI14" s="221">
        <f>AG14*12</f>
        <v>12</v>
      </c>
      <c r="AJ14" s="11"/>
      <c r="AK14" s="3"/>
    </row>
    <row r="15" spans="1:39" ht="15.6" x14ac:dyDescent="0.3">
      <c r="A15" s="4" t="s">
        <v>5</v>
      </c>
      <c r="B15" s="1701" t="s">
        <v>834</v>
      </c>
      <c r="C15" s="1701"/>
      <c r="D15" s="1701"/>
      <c r="E15" s="1701"/>
      <c r="F15" s="1701"/>
      <c r="G15" s="1701"/>
      <c r="H15" s="1701"/>
      <c r="I15" s="3"/>
      <c r="J15" s="1985"/>
      <c r="K15" s="1985"/>
      <c r="L15" s="3"/>
      <c r="M15" s="1985"/>
      <c r="N15" s="1985"/>
      <c r="O15" s="3"/>
      <c r="P15" s="2027" t="s">
        <v>818</v>
      </c>
      <c r="Q15" s="2027"/>
      <c r="R15" s="2027"/>
      <c r="S15" s="2027"/>
      <c r="T15" s="419"/>
      <c r="U15" s="419"/>
      <c r="Z15" s="1517" t="str">
        <f>IF(Z10&lt;&gt;W12,"Error: Years don’t match",IF(AND(AC11&lt;&gt;"",AC11&lt;Z11),"Error: &lt; 1 day",IF(AND(AB14&gt;12,AC11&lt;&gt;""),"Error: &gt; 12 Mo","")))</f>
        <v/>
      </c>
      <c r="AA15" s="1517"/>
      <c r="AB15" s="1517"/>
      <c r="AC15" s="1517"/>
      <c r="AD15" s="1517"/>
      <c r="AE15" s="421"/>
      <c r="AF15" s="2028" t="str">
        <f>IF(AND(AH14&gt;12,AI11&lt;&gt;""),"Error: &gt; 12 Mo","")</f>
        <v/>
      </c>
      <c r="AG15" s="2028"/>
      <c r="AH15" s="2028"/>
      <c r="AI15" s="2028"/>
      <c r="AJ15" s="2028"/>
    </row>
    <row r="16" spans="1:39" ht="15.6" x14ac:dyDescent="0.3">
      <c r="A16" s="4" t="s">
        <v>6</v>
      </c>
      <c r="B16" s="1701" t="s">
        <v>1140</v>
      </c>
      <c r="C16" s="1701"/>
      <c r="D16" s="1701"/>
      <c r="E16" s="1701"/>
      <c r="F16" s="1701"/>
      <c r="G16" s="2085" t="s">
        <v>1387</v>
      </c>
      <c r="H16" s="2085"/>
      <c r="I16" s="3" t="s">
        <v>14</v>
      </c>
      <c r="J16" s="1957"/>
      <c r="K16" s="1957"/>
      <c r="L16" s="3" t="s">
        <v>50</v>
      </c>
      <c r="M16" s="1985"/>
      <c r="N16" s="1985"/>
      <c r="O16" s="3" t="s">
        <v>13</v>
      </c>
      <c r="P16" s="4" t="s">
        <v>1</v>
      </c>
      <c r="Q16" s="66" t="s">
        <v>807</v>
      </c>
      <c r="R16" s="66"/>
      <c r="S16" s="66"/>
      <c r="T16" s="66"/>
      <c r="U16" s="66"/>
      <c r="V16" s="66"/>
      <c r="W16" s="66"/>
      <c r="X16" s="66"/>
      <c r="Y16" s="66"/>
      <c r="Z16" s="1917"/>
      <c r="AA16" s="1917"/>
      <c r="AB16" s="1917"/>
      <c r="AC16" s="1917"/>
      <c r="AD16" s="1917"/>
      <c r="AE16" s="3"/>
      <c r="AF16" s="1917"/>
      <c r="AG16" s="1917"/>
      <c r="AH16" s="1917"/>
      <c r="AI16" s="1917"/>
      <c r="AJ16" s="1917"/>
      <c r="AK16" s="3"/>
    </row>
    <row r="17" spans="1:37" ht="15.6" x14ac:dyDescent="0.3">
      <c r="A17" s="4"/>
      <c r="B17" s="1859"/>
      <c r="C17" s="1859"/>
      <c r="D17" s="1859"/>
      <c r="E17" s="1859"/>
      <c r="F17" s="1859"/>
      <c r="G17" s="1859"/>
      <c r="H17" s="1859"/>
      <c r="I17" s="3"/>
      <c r="J17" s="11"/>
      <c r="K17" s="11"/>
      <c r="L17" s="3"/>
      <c r="M17" s="11"/>
      <c r="N17" s="11"/>
      <c r="O17" s="3"/>
      <c r="P17" s="4" t="s">
        <v>2</v>
      </c>
      <c r="Q17" s="2" t="s">
        <v>792</v>
      </c>
      <c r="R17" s="2"/>
      <c r="S17" s="2"/>
      <c r="T17" s="2"/>
      <c r="U17" s="2"/>
      <c r="V17" s="2"/>
      <c r="W17" s="2"/>
      <c r="X17" s="2"/>
      <c r="Y17" s="3"/>
      <c r="Z17" s="1917"/>
      <c r="AA17" s="1917"/>
      <c r="AB17" s="1917"/>
      <c r="AC17" s="1917"/>
      <c r="AD17" s="1917"/>
      <c r="AE17" s="3"/>
      <c r="AF17" s="1917"/>
      <c r="AG17" s="1917"/>
      <c r="AH17" s="1917"/>
      <c r="AI17" s="1917"/>
      <c r="AJ17" s="1917"/>
      <c r="AK17" s="3"/>
    </row>
    <row r="18" spans="1:37" ht="15.6" x14ac:dyDescent="0.3">
      <c r="A18" s="2083" t="s">
        <v>21</v>
      </c>
      <c r="B18" s="2083"/>
      <c r="C18" s="201"/>
      <c r="D18" s="2"/>
      <c r="E18" s="2"/>
      <c r="F18" s="2"/>
      <c r="G18" s="2"/>
      <c r="H18" s="2"/>
      <c r="I18" s="3"/>
      <c r="J18" s="18"/>
      <c r="K18" s="11"/>
      <c r="L18" s="3"/>
      <c r="M18" s="11"/>
      <c r="N18" s="11"/>
      <c r="O18" s="3"/>
      <c r="P18" s="4" t="s">
        <v>3</v>
      </c>
      <c r="Q18" s="2" t="s">
        <v>806</v>
      </c>
      <c r="R18" s="2"/>
      <c r="S18" s="2"/>
      <c r="T18" s="2"/>
      <c r="U18" s="2"/>
      <c r="V18" s="2"/>
      <c r="W18" s="2"/>
      <c r="X18" s="2"/>
      <c r="Y18" s="3"/>
      <c r="Z18" s="1917"/>
      <c r="AA18" s="1917"/>
      <c r="AB18" s="1917"/>
      <c r="AC18" s="1917"/>
      <c r="AD18" s="1917"/>
      <c r="AE18" s="3"/>
      <c r="AF18" s="1917"/>
      <c r="AG18" s="1917"/>
      <c r="AH18" s="1917"/>
      <c r="AI18" s="1917"/>
      <c r="AJ18" s="1917"/>
      <c r="AK18" s="3"/>
    </row>
    <row r="19" spans="1:37" ht="15.6" x14ac:dyDescent="0.3">
      <c r="A19" s="9" t="str">
        <f>IF(O1=2,"6. ","7. ")</f>
        <v xml:space="preserve">7. </v>
      </c>
      <c r="B19" s="1701" t="s">
        <v>1378</v>
      </c>
      <c r="C19" s="1701"/>
      <c r="D19" s="1701"/>
      <c r="E19" s="1701"/>
      <c r="F19" s="2081" t="s">
        <v>1379</v>
      </c>
      <c r="G19" s="2081"/>
      <c r="H19" s="535"/>
      <c r="I19" s="2"/>
      <c r="J19" s="1926"/>
      <c r="K19" s="1926"/>
      <c r="L19" s="2"/>
      <c r="M19" s="1926"/>
      <c r="N19" s="1926"/>
      <c r="P19" s="4" t="s">
        <v>4</v>
      </c>
      <c r="Q19" s="2" t="s">
        <v>239</v>
      </c>
      <c r="R19" s="2031"/>
      <c r="S19" s="2031"/>
      <c r="T19" s="2031"/>
      <c r="U19" s="2031"/>
      <c r="V19" s="2031"/>
      <c r="W19" s="2"/>
      <c r="X19" s="2"/>
      <c r="Y19" s="3"/>
      <c r="Z19" s="1917"/>
      <c r="AA19" s="1917"/>
      <c r="AB19" s="1917"/>
      <c r="AC19" s="1917"/>
      <c r="AD19" s="1917"/>
      <c r="AE19" s="3"/>
      <c r="AF19" s="1917"/>
      <c r="AG19" s="1917"/>
      <c r="AH19" s="1917"/>
      <c r="AI19" s="1917"/>
      <c r="AJ19" s="1917"/>
      <c r="AK19" s="3"/>
    </row>
    <row r="20" spans="1:37" ht="15.6" x14ac:dyDescent="0.3">
      <c r="A20" s="4"/>
      <c r="B20" s="1701" t="s">
        <v>23</v>
      </c>
      <c r="C20" s="1701"/>
      <c r="D20" s="1701"/>
      <c r="E20" s="1701"/>
      <c r="F20" s="1701"/>
      <c r="G20" s="1701"/>
      <c r="H20" s="1701"/>
      <c r="I20" s="2"/>
      <c r="J20" s="2054">
        <f>IF(J10=2012,0.23,IF(J10=2013,0.23,IF(J10=2014,0.22,IF(J10=2015,0.24,IF(J10=2016,0.24,IF(J10=2017,0.25,IF(J10=2018,0.25,IF(J10=2019,0.26,IF(J10=2020,0.27,IF(J10=2021,0.26,IF(J10=2022,0.26,IF(J10=2023,0.28,
IF(J10=2024,0.3,IF(J10=2025,0.33,IF(J10=2026,0.35,0.26)))))))))))))))</f>
        <v>0.33</v>
      </c>
      <c r="K20" s="2054"/>
      <c r="L20" s="2"/>
      <c r="M20" s="2055">
        <f>IF(M10=2012,0.23,IF(M10=2013,0.23,IF(M10=2014,0.22,IF(M10=2015,0.24,IF(M10=2016,0.24,IF(M10=2017,0.25,IF(M10=2018,0.25,IF(M10=2019,0.26,IF(M10=2020,0.27,IF(M10=2021,0.26,IF(M10=2022,0.26,IF(M10=2023,0.28,IF(M10=2024,0.3,IF(M10=2025,0.33,IF(M10=2026,0.35,0.26)))))))))))))))</f>
        <v>0.3</v>
      </c>
      <c r="N20" s="2055"/>
      <c r="P20" s="4" t="s">
        <v>5</v>
      </c>
      <c r="Q20" s="2" t="s">
        <v>239</v>
      </c>
      <c r="R20" s="2029"/>
      <c r="S20" s="2029"/>
      <c r="T20" s="2029"/>
      <c r="U20" s="2029"/>
      <c r="V20" s="2029"/>
      <c r="W20" s="2"/>
      <c r="X20" s="2"/>
      <c r="Y20" s="2"/>
      <c r="Z20" s="1917"/>
      <c r="AA20" s="1917"/>
      <c r="AB20" s="1917"/>
      <c r="AC20" s="1917"/>
      <c r="AD20" s="1917"/>
      <c r="AE20" s="212"/>
      <c r="AF20" s="1917"/>
      <c r="AG20" s="1917"/>
      <c r="AH20" s="1917"/>
      <c r="AI20" s="1917"/>
      <c r="AJ20" s="1917"/>
      <c r="AK20" s="3"/>
    </row>
    <row r="21" spans="1:37" ht="16.2" thickBot="1" x14ac:dyDescent="0.35">
      <c r="A21" s="4"/>
      <c r="B21" s="1701" t="s">
        <v>24</v>
      </c>
      <c r="C21" s="1701"/>
      <c r="D21" s="1701"/>
      <c r="E21" s="1701"/>
      <c r="F21" s="1701"/>
      <c r="G21" s="1701"/>
      <c r="H21" s="1701"/>
      <c r="I21" s="2"/>
      <c r="J21" s="2056">
        <f>J20*J19</f>
        <v>0</v>
      </c>
      <c r="K21" s="2056"/>
      <c r="L21" s="2"/>
      <c r="M21" s="2057">
        <f>IF(O69=TRUE,0,M20*M19)</f>
        <v>0</v>
      </c>
      <c r="N21" s="2057"/>
      <c r="P21" s="23" t="s">
        <v>6</v>
      </c>
      <c r="Q21" s="1427" t="s">
        <v>819</v>
      </c>
      <c r="R21" s="1427"/>
      <c r="S21" s="1427"/>
      <c r="T21" s="1427"/>
      <c r="U21" s="1427"/>
      <c r="V21" s="1427"/>
      <c r="W21" s="3"/>
      <c r="X21" s="3"/>
      <c r="Y21" s="3"/>
      <c r="Z21" s="2058">
        <f>Z16+Z17+Z18+Z19+Z20</f>
        <v>0</v>
      </c>
      <c r="AA21" s="2058"/>
      <c r="AB21" s="2058"/>
      <c r="AC21" s="2058"/>
      <c r="AD21" s="2058"/>
      <c r="AE21" s="3"/>
      <c r="AF21" s="2058">
        <f>AF16+AF17+AF18+AF19+AF20</f>
        <v>0</v>
      </c>
      <c r="AG21" s="2058"/>
      <c r="AH21" s="2058"/>
      <c r="AI21" s="2058"/>
      <c r="AJ21" s="2058"/>
      <c r="AK21" s="3"/>
    </row>
    <row r="22" spans="1:37" ht="16.2" thickTop="1" x14ac:dyDescent="0.3">
      <c r="A22" s="9" t="str">
        <f>IF(O1=2,"7. ","8. ")</f>
        <v xml:space="preserve">8. </v>
      </c>
      <c r="B22" s="1701" t="s">
        <v>1386</v>
      </c>
      <c r="C22" s="1701"/>
      <c r="D22" s="1701"/>
      <c r="E22" s="1701"/>
      <c r="F22" s="1701"/>
      <c r="G22" s="1701"/>
      <c r="H22" s="1701"/>
      <c r="I22" s="1701"/>
      <c r="J22" s="1985"/>
      <c r="K22" s="1985"/>
      <c r="L22" s="216" t="s">
        <v>256</v>
      </c>
      <c r="M22" s="1985"/>
      <c r="N22" s="1985"/>
      <c r="O22" s="36" t="s">
        <v>256</v>
      </c>
      <c r="Z22" s="2036" t="str">
        <f>IF(AND(Z21&lt;&gt;0,OR(AB14="",AB14&lt;0,AB14&gt;12)),"Error, Correct Dates",IF(AA13&lt;&gt;"=",CONCATENATE("Annualized based on income/(loss) of $",Z21," over ",AA13," ="),CONCATENATE("Annualized based on income/(loss) of $",Z21," over # Months =")))</f>
        <v>Annualized based on income/(loss) of $0 over # Months =</v>
      </c>
      <c r="AA22" s="2036"/>
      <c r="AB22" s="2036"/>
      <c r="AC22" s="2036"/>
      <c r="AD22" s="2036"/>
      <c r="AF22" s="2036" t="str">
        <f>IF(AND(AF21&lt;&gt;0,OR(AH14="",AH14&lt;0,AH14&gt;12)),"Error, Correct Dates",IF(AND(AF21&lt;&gt;0,J25=0,M25&lt;&gt;0),"Error, Move Most Recent Filed Returns To Left Column on the 1065 Worksheet",IF(AG13&lt;&gt;"=",CONCATENATE("Annualized based on income/(loss) of $",AF21," over ",AG13," ="),CONCATENATE("Annualized based on income/(loss) of $",AF21," over # Months ="))))</f>
        <v>Annualized based on income/(loss) of $0 over 12 Months =</v>
      </c>
      <c r="AG22" s="2036"/>
      <c r="AH22" s="2036"/>
      <c r="AI22" s="2036"/>
      <c r="AJ22" s="2036"/>
      <c r="AK22" s="3"/>
    </row>
    <row r="23" spans="1:37" ht="15.6" x14ac:dyDescent="0.3">
      <c r="A23" s="9" t="str">
        <f>IF(O1=2,"8. ","9. ")</f>
        <v xml:space="preserve">9. </v>
      </c>
      <c r="B23" s="2" t="s">
        <v>239</v>
      </c>
      <c r="C23" s="2080"/>
      <c r="D23" s="2080"/>
      <c r="E23" s="2080"/>
      <c r="F23" s="2080"/>
      <c r="G23" s="2080"/>
      <c r="H23" s="2"/>
      <c r="J23" s="1985"/>
      <c r="K23" s="1985"/>
      <c r="M23" s="1985"/>
      <c r="N23" s="1985"/>
      <c r="Z23" s="2037"/>
      <c r="AA23" s="2037"/>
      <c r="AB23" s="2037"/>
      <c r="AC23" s="2037"/>
      <c r="AD23" s="2037"/>
      <c r="AF23" s="2037"/>
      <c r="AG23" s="2037"/>
      <c r="AH23" s="2037"/>
      <c r="AI23" s="2037"/>
      <c r="AJ23" s="2037"/>
      <c r="AK23" s="56"/>
    </row>
    <row r="24" spans="1:37" ht="16.2" thickBot="1" x14ac:dyDescent="0.35">
      <c r="A24" s="9" t="str">
        <f>IF(O1=2,"9. ","10. ")</f>
        <v xml:space="preserve">10. </v>
      </c>
      <c r="B24" s="1427" t="s">
        <v>26</v>
      </c>
      <c r="C24" s="1427"/>
      <c r="D24" s="1427"/>
      <c r="E24" s="1427"/>
      <c r="F24" s="1427"/>
      <c r="G24" s="1427"/>
      <c r="H24" s="1427"/>
      <c r="I24" s="3"/>
      <c r="J24" s="1959">
        <f>IF(O68=TRUE,J11,IF(O1=2,J11+J12-J13+J14+J15+J21+J22+J23,J11+J12-J13+J14+J15-J16+J21+J22+J23))</f>
        <v>0</v>
      </c>
      <c r="K24" s="1959"/>
      <c r="L24" s="3"/>
      <c r="M24" s="1959">
        <f>IF(O69=TRUE,0,IF(O68=TRUE,M11,IF(O1=2,M11+M12-M13+M14+M15+M21+M22+M23,M11+M12-M13+M14+M15-M16+M21+M22+M23)))</f>
        <v>0</v>
      </c>
      <c r="N24" s="1959"/>
      <c r="O24" s="3"/>
      <c r="Z24" s="2037"/>
      <c r="AA24" s="2037"/>
      <c r="AB24" s="2037"/>
      <c r="AC24" s="2037"/>
      <c r="AD24" s="2037"/>
      <c r="AF24" s="2037"/>
      <c r="AG24" s="2037"/>
      <c r="AH24" s="2037"/>
      <c r="AI24" s="2037"/>
      <c r="AJ24" s="2037"/>
      <c r="AK24" s="56"/>
    </row>
    <row r="25" spans="1:37" ht="9" customHeight="1" thickTop="1" x14ac:dyDescent="0.3">
      <c r="A25" s="4"/>
      <c r="B25" s="3"/>
      <c r="C25" s="3"/>
      <c r="D25" s="3"/>
      <c r="E25" s="3"/>
      <c r="F25" s="3"/>
      <c r="G25" s="1958" t="s">
        <v>814</v>
      </c>
      <c r="H25" s="1958"/>
      <c r="I25" s="1958"/>
      <c r="J25" s="1989">
        <f>IF(AND(F34&lt;12,F34&lt;&gt;""),(J24/F34)*12,J24)</f>
        <v>0</v>
      </c>
      <c r="K25" s="1989"/>
      <c r="L25" s="3"/>
      <c r="M25" s="1989">
        <f>IF(AND(D34&lt;12,D34&lt;&gt;""),(M24/D34)*12,M24)</f>
        <v>0</v>
      </c>
      <c r="N25" s="1989"/>
      <c r="O25" s="3"/>
      <c r="Z25" s="2037"/>
      <c r="AA25" s="2037"/>
      <c r="AB25" s="2037"/>
      <c r="AC25" s="2037"/>
      <c r="AD25" s="2037"/>
      <c r="AF25" s="2037"/>
      <c r="AG25" s="2037"/>
      <c r="AH25" s="2037"/>
      <c r="AI25" s="2037"/>
      <c r="AJ25" s="2037"/>
      <c r="AK25" s="3"/>
    </row>
    <row r="26" spans="1:37" ht="15.6" x14ac:dyDescent="0.3">
      <c r="A26" s="4"/>
      <c r="B26" s="3"/>
      <c r="C26" s="30"/>
      <c r="D26" s="1960" t="str">
        <f>CONCATENATE("Exclude ", M10, " from Total Adjusted Business Income Below")</f>
        <v>Exclude 2024 from Total Adjusted Business Income Below</v>
      </c>
      <c r="E26" s="1960"/>
      <c r="F26" s="1960"/>
      <c r="G26" s="1960"/>
      <c r="H26" s="1960"/>
      <c r="I26" s="1960"/>
      <c r="J26" s="25"/>
      <c r="K26" s="1991" t="str">
        <f>IF(AND(J25&lt;M25,OR(G33="",G33=12,G33=24)),CONCATENATE(ROUND(((M25-J25)/M25)*100,2),"%"," Decline from ",M10," to ",J10,),
IF(AND(G33&gt;12,G33&lt;24,J25&lt;M25),CONCATENATE(ROUND(((M25-J25)/M25)*100,2),"%"," Decline from ",M10," to ",J10,),
IF(J25&lt;M25,(CONCATENATE("Decline from ",M10," to ",J10,)),
IF(AND(J25&gt;M25,OR(G33="",G33=12,G33=24)),CONCATENATE(ROUND(((J25-M25)/M25)*100,2),"%"," Increase from ",M10," to ",J10,),
IF(AND(G33&gt;12,G33&lt;24,J25&gt;M25),CONCATENATE(ROUND(((J25-M25)/M25)*100,2),"%"," Increase from ",M10," to ",J10,),"")))))</f>
        <v/>
      </c>
      <c r="L26" s="1991"/>
      <c r="M26" s="1991"/>
      <c r="N26" s="25"/>
      <c r="O26" s="3"/>
      <c r="Z26" s="2037"/>
      <c r="AA26" s="2037"/>
      <c r="AB26" s="2037"/>
      <c r="AC26" s="2037"/>
      <c r="AD26" s="2037"/>
      <c r="AF26" s="2037"/>
      <c r="AG26" s="2037"/>
      <c r="AH26" s="2037"/>
      <c r="AI26" s="2037"/>
      <c r="AJ26" s="2037"/>
      <c r="AK26" s="12"/>
    </row>
    <row r="27" spans="1:37" ht="7.5" customHeight="1" x14ac:dyDescent="0.3">
      <c r="A27" s="4"/>
      <c r="B27" s="2"/>
      <c r="C27" s="2"/>
      <c r="D27" s="2"/>
      <c r="E27" s="2"/>
      <c r="F27" s="2"/>
      <c r="G27" s="2"/>
      <c r="H27" s="2"/>
      <c r="I27" s="2"/>
      <c r="J27" s="2"/>
      <c r="K27" s="2"/>
      <c r="L27" s="16"/>
      <c r="M27" s="16"/>
      <c r="N27" s="2" t="s">
        <v>28</v>
      </c>
      <c r="Z27" s="2037"/>
      <c r="AA27" s="2037"/>
      <c r="AB27" s="2037"/>
      <c r="AC27" s="2037"/>
      <c r="AD27" s="2037"/>
      <c r="AF27" s="2037"/>
      <c r="AG27" s="2037"/>
      <c r="AH27" s="2037"/>
      <c r="AI27" s="2037"/>
      <c r="AJ27" s="2037"/>
      <c r="AK27" s="12"/>
    </row>
    <row r="28" spans="1:37" ht="15.6" x14ac:dyDescent="0.3">
      <c r="A28" s="9" t="str">
        <f>IF(O1=2,"10. ","11. ")</f>
        <v xml:space="preserve">11. </v>
      </c>
      <c r="B28" s="1701" t="s">
        <v>26</v>
      </c>
      <c r="C28" s="1701"/>
      <c r="D28" s="1701"/>
      <c r="E28" s="1701"/>
      <c r="F28" s="1701"/>
      <c r="G28" s="1701"/>
      <c r="H28" s="1701"/>
      <c r="I28" s="3"/>
      <c r="J28" s="2"/>
      <c r="K28" s="5"/>
      <c r="L28" s="2068">
        <f>IF(N69=TRUE,J24,J24+M24)</f>
        <v>0</v>
      </c>
      <c r="M28" s="2068"/>
      <c r="P28" s="2061" t="s">
        <v>7</v>
      </c>
      <c r="Q28" s="1809" t="s">
        <v>812</v>
      </c>
      <c r="R28" s="1809"/>
      <c r="S28" s="1809"/>
      <c r="T28" s="1809"/>
      <c r="U28" s="1809"/>
      <c r="V28" s="1809"/>
      <c r="W28" s="1809"/>
      <c r="X28" s="30"/>
      <c r="Y28" s="30"/>
      <c r="Z28" s="2060">
        <f>IF(Z22="Error, Correct Dates",0,IF(AND(Z21&lt;&gt;0,AA13&lt;&gt;"="),(Z21/AB14)*12,0))</f>
        <v>0</v>
      </c>
      <c r="AA28" s="2060"/>
      <c r="AB28" s="2060"/>
      <c r="AC28" s="2060"/>
      <c r="AD28" s="2060"/>
      <c r="AE28" s="387">
        <f>IF(AF72=TRUE,0,Z28)</f>
        <v>0</v>
      </c>
      <c r="AF28" s="2060">
        <f>IF(OR(AF22="Error, Move Most Recent Filed Returns To Left Column on the 1065 Worksheet",AF22="Error, Correct Dates"),0,IF(AND(AF21&lt;&gt;0,AG13&lt;&gt;"="),(AF21/AH14)*12,0))</f>
        <v>0</v>
      </c>
      <c r="AG28" s="2060"/>
      <c r="AH28" s="2060"/>
      <c r="AI28" s="2060"/>
      <c r="AJ28" s="2060"/>
      <c r="AK28" s="3"/>
    </row>
    <row r="29" spans="1:37" ht="16.2" thickBot="1" x14ac:dyDescent="0.35">
      <c r="A29" s="9" t="str">
        <f>IF(O1=2,"11. ","12. ")</f>
        <v xml:space="preserve">12. </v>
      </c>
      <c r="B29" s="1701" t="s">
        <v>12</v>
      </c>
      <c r="C29" s="1701"/>
      <c r="D29" s="1701"/>
      <c r="E29" s="1701"/>
      <c r="F29" s="420"/>
      <c r="G29" s="1701"/>
      <c r="H29" s="1701"/>
      <c r="I29" s="2"/>
      <c r="J29" s="2"/>
      <c r="K29" s="6"/>
      <c r="L29" s="2069"/>
      <c r="M29" s="2069"/>
      <c r="N29" s="2"/>
      <c r="P29" s="2061"/>
      <c r="Q29" s="1809"/>
      <c r="R29" s="1809"/>
      <c r="S29" s="1809"/>
      <c r="T29" s="1809"/>
      <c r="U29" s="1809"/>
      <c r="V29" s="1809"/>
      <c r="W29" s="1809"/>
      <c r="X29" s="30"/>
      <c r="Y29" s="30"/>
      <c r="Z29" s="1915"/>
      <c r="AA29" s="1915"/>
      <c r="AB29" s="1915"/>
      <c r="AC29" s="1915"/>
      <c r="AD29" s="1915"/>
      <c r="AE29" s="30"/>
      <c r="AF29" s="1915"/>
      <c r="AG29" s="1915"/>
      <c r="AH29" s="1915"/>
      <c r="AI29" s="1915"/>
      <c r="AJ29" s="1915"/>
      <c r="AK29" s="3"/>
    </row>
    <row r="30" spans="1:37" ht="4.2" customHeight="1" thickTop="1" thickBot="1" x14ac:dyDescent="0.35">
      <c r="A30" s="4"/>
      <c r="B30" s="2"/>
      <c r="C30" s="2"/>
      <c r="D30" s="2"/>
      <c r="E30" s="2"/>
      <c r="F30" s="12"/>
      <c r="G30" s="2"/>
      <c r="H30" s="2000" t="str">
        <f>IF(OR(AND(O69=TRUE,F29&gt;12),AND(D34&lt;&gt;"",D34&gt;12),AND(F34&lt;&gt;"",F34&gt;12)),"Error: Greater than 12 months in one year entered","")</f>
        <v/>
      </c>
      <c r="I30" s="2000"/>
      <c r="J30" s="2000"/>
      <c r="K30" s="2000"/>
      <c r="L30" s="14"/>
      <c r="M30" s="14"/>
      <c r="N30" s="2"/>
      <c r="P30" s="428"/>
      <c r="Q30" s="426"/>
      <c r="R30" s="426"/>
      <c r="S30" s="426"/>
      <c r="T30" s="426"/>
      <c r="U30" s="426"/>
      <c r="V30" s="426"/>
      <c r="W30" s="426"/>
      <c r="X30" s="391"/>
      <c r="Y30" s="2"/>
      <c r="Z30" s="429"/>
      <c r="AA30" s="429"/>
      <c r="AB30" s="429"/>
      <c r="AC30" s="429"/>
      <c r="AD30" s="429"/>
      <c r="AE30" s="2"/>
      <c r="AF30" s="429"/>
      <c r="AG30" s="429"/>
      <c r="AH30" s="429"/>
      <c r="AI30" s="429"/>
      <c r="AJ30" s="429"/>
      <c r="AK30" s="212" t="s">
        <v>257</v>
      </c>
    </row>
    <row r="31" spans="1:37" ht="10.8" customHeight="1" thickBot="1" x14ac:dyDescent="0.35">
      <c r="A31" s="4"/>
      <c r="B31" s="1993" t="s">
        <v>299</v>
      </c>
      <c r="C31" s="1994"/>
      <c r="D31" s="1994"/>
      <c r="E31" s="1994"/>
      <c r="F31" s="1994"/>
      <c r="G31" s="1995"/>
      <c r="H31" s="2000"/>
      <c r="I31" s="2000"/>
      <c r="J31" s="2000"/>
      <c r="K31" s="2000"/>
      <c r="L31" s="14"/>
      <c r="M31" s="14"/>
      <c r="N31" s="2"/>
      <c r="P31" s="428"/>
      <c r="Q31" s="426"/>
      <c r="R31" s="426"/>
      <c r="S31" s="426"/>
      <c r="T31" s="426"/>
      <c r="U31" s="426"/>
      <c r="V31" s="426"/>
      <c r="W31" s="426"/>
      <c r="X31" s="391"/>
      <c r="Y31" s="2"/>
      <c r="Z31" s="429"/>
      <c r="AA31" s="429"/>
      <c r="AB31" s="429"/>
      <c r="AC31" s="429"/>
      <c r="AD31" s="429"/>
      <c r="AE31" s="2"/>
      <c r="AF31" s="429"/>
      <c r="AG31" s="429"/>
      <c r="AH31" s="429"/>
      <c r="AI31" s="429"/>
      <c r="AJ31" s="429"/>
      <c r="AK31" s="3"/>
    </row>
    <row r="32" spans="1:37" ht="9" customHeight="1" x14ac:dyDescent="0.3">
      <c r="A32" s="4"/>
      <c r="B32" s="1996" t="str">
        <f>CONCATENATE(M10," Start:")</f>
        <v>2024 Start:</v>
      </c>
      <c r="C32" s="1997"/>
      <c r="D32" s="405" t="str">
        <f>CONCATENATE(M10," End:")</f>
        <v>2024 End:</v>
      </c>
      <c r="E32" s="406" t="str">
        <f>CONCATENATE(J10," Start:")</f>
        <v>2025 Start:</v>
      </c>
      <c r="F32" s="405" t="str">
        <f>CONCATENATE(J10," End:")</f>
        <v>2025 End:</v>
      </c>
      <c r="G32" s="407" t="s">
        <v>178</v>
      </c>
      <c r="H32" s="2000"/>
      <c r="I32" s="2000"/>
      <c r="J32" s="2000"/>
      <c r="K32" s="2000"/>
      <c r="L32" s="14"/>
      <c r="M32" s="14"/>
      <c r="N32" s="2"/>
      <c r="P32" s="4"/>
      <c r="Q32" s="3"/>
      <c r="R32" s="3"/>
      <c r="S32" s="3"/>
      <c r="T32" s="3"/>
      <c r="U32" s="3"/>
      <c r="V32" s="3"/>
      <c r="W32" s="3"/>
      <c r="X32" s="3"/>
      <c r="Y32" s="3"/>
      <c r="Z32" s="205"/>
      <c r="AA32" s="205"/>
      <c r="AB32" s="205"/>
      <c r="AC32" s="205"/>
      <c r="AD32" s="205"/>
      <c r="AE32" s="3"/>
      <c r="AF32" s="205"/>
      <c r="AG32" s="205"/>
      <c r="AH32" s="205"/>
      <c r="AI32" s="205"/>
      <c r="AJ32" s="205"/>
      <c r="AK32" s="8"/>
    </row>
    <row r="33" spans="1:37" ht="12" customHeight="1" thickBot="1" x14ac:dyDescent="0.35">
      <c r="A33" s="4"/>
      <c r="B33" s="1998"/>
      <c r="C33" s="1999"/>
      <c r="D33" s="408"/>
      <c r="E33" s="409"/>
      <c r="F33" s="408"/>
      <c r="G33" s="410" t="str">
        <f>G34</f>
        <v/>
      </c>
      <c r="H33" s="2000"/>
      <c r="I33" s="2000"/>
      <c r="J33" s="2000"/>
      <c r="K33" s="2000"/>
      <c r="L33" s="14"/>
      <c r="M33" s="14"/>
      <c r="N33" s="2"/>
      <c r="P33" s="4"/>
      <c r="Q33" s="2"/>
      <c r="R33" s="10"/>
      <c r="S33" s="10"/>
      <c r="T33" s="10"/>
      <c r="U33" s="10"/>
      <c r="V33" s="10"/>
      <c r="W33" s="2"/>
      <c r="X33" s="2"/>
      <c r="Y33" s="3"/>
      <c r="Z33" s="6"/>
      <c r="AA33" s="6"/>
      <c r="AB33" s="6"/>
      <c r="AC33" s="1137"/>
      <c r="AD33" s="6"/>
      <c r="AE33" s="3"/>
      <c r="AF33" s="6"/>
      <c r="AG33" s="6"/>
      <c r="AH33" s="6"/>
      <c r="AI33" s="6"/>
      <c r="AJ33" s="6"/>
      <c r="AK33" s="12"/>
    </row>
    <row r="34" spans="1:37" ht="4.2" customHeight="1" x14ac:dyDescent="0.3">
      <c r="A34" s="4"/>
      <c r="B34" s="1981" t="str">
        <f>IF(AND(B33="",D33="",M24&lt;&gt;0),1,IF(AND(B33="",D33="",M24=0),"",IF(AND(B33="",D33&lt;&gt;""),"",IF(AND(B33&lt;&gt;"",D33=""),"",YEARFRAC(B33,D33+1,4)))))</f>
        <v/>
      </c>
      <c r="C34" s="1981"/>
      <c r="D34" s="412" t="str">
        <f>IF(O69=TRUE,"",IF(B34="","",ROUND(B34*12,2)))</f>
        <v/>
      </c>
      <c r="E34" s="413" t="str">
        <f>IF(AND(E33="",F33="",J24&lt;&gt;0),1,IF(AND(E33="",F33="",J24=0),"",IF(AND(E33="",F33&lt;&gt;""),"",IF(AND(E33&lt;&gt;"",F33=""),"",YEARFRAC(E33,F33+1,4)))))</f>
        <v/>
      </c>
      <c r="F34" s="412" t="str">
        <f>IF(E34="","",ROUND(E34*12,2))</f>
        <v/>
      </c>
      <c r="G34" s="414" t="str">
        <f>IF(AND(D34&lt;&gt;"",F34&lt;&gt;""),F34+D34,IF(AND(D34&lt;&gt;"",F34=""),D34,IF(AND(D34="",F34&lt;&gt;""),F34,"")))</f>
        <v/>
      </c>
      <c r="H34" s="2000"/>
      <c r="I34" s="2000"/>
      <c r="J34" s="2000"/>
      <c r="K34" s="2000"/>
      <c r="L34" s="14"/>
      <c r="M34" s="14"/>
      <c r="N34" s="2"/>
      <c r="P34" s="2035"/>
      <c r="Q34" s="2035"/>
      <c r="R34" s="2035"/>
      <c r="S34" s="2035"/>
      <c r="T34" s="2035"/>
      <c r="U34" s="2035"/>
      <c r="V34" s="2035"/>
      <c r="W34" s="2035"/>
      <c r="X34" s="3"/>
      <c r="Y34" s="3"/>
      <c r="AE34" s="3"/>
      <c r="AK34" s="3"/>
    </row>
    <row r="35" spans="1:37" ht="16.2" customHeight="1" thickBot="1" x14ac:dyDescent="0.35">
      <c r="A35" s="9" t="str">
        <f>IF(O1=2,"12. ","13. ")</f>
        <v xml:space="preserve">13. </v>
      </c>
      <c r="B35" s="1427" t="s">
        <v>25</v>
      </c>
      <c r="C35" s="1427"/>
      <c r="D35" s="1427"/>
      <c r="E35" s="1427"/>
      <c r="F35" s="1427"/>
      <c r="G35" s="1427"/>
      <c r="H35" s="2000"/>
      <c r="I35" s="2000"/>
      <c r="J35" s="2000"/>
      <c r="K35" s="2000"/>
      <c r="L35" s="2058">
        <f>IF(F29&gt;0,L28/F29,)</f>
        <v>0</v>
      </c>
      <c r="M35" s="2058"/>
      <c r="N35" s="202">
        <f>IF(N68=TRUE,0,L35)</f>
        <v>0</v>
      </c>
      <c r="O35" s="202"/>
      <c r="P35" s="8"/>
      <c r="Q35" s="417"/>
      <c r="R35" s="417"/>
      <c r="S35" s="430">
        <f>M10</f>
        <v>2024</v>
      </c>
      <c r="T35" s="430">
        <f>J10</f>
        <v>2025</v>
      </c>
      <c r="U35" s="434">
        <f>IF(AF28&lt;&gt;0,AF10,Z10)</f>
        <v>2026</v>
      </c>
      <c r="V35" s="2032" t="str">
        <f>IF(AF28&lt;&gt;0,Z10,"")</f>
        <v/>
      </c>
      <c r="W35" s="2032"/>
      <c r="X35" s="2047" t="s">
        <v>1367</v>
      </c>
      <c r="Y35" s="2047"/>
      <c r="Z35" s="2047"/>
      <c r="AA35" s="2047"/>
      <c r="AB35" s="2047"/>
      <c r="AC35" s="2047"/>
      <c r="AD35" s="2047" t="str">
        <f>IF(AF28&lt;&gt;0,(CONCATENATE("Effective Income + ",AF10," avg.")),"")</f>
        <v/>
      </c>
      <c r="AE35" s="2047"/>
      <c r="AF35" s="2047"/>
      <c r="AG35" s="2047"/>
      <c r="AH35" s="2047"/>
      <c r="AI35" s="2047"/>
      <c r="AK35" s="3"/>
    </row>
    <row r="36" spans="1:37" ht="16.2" thickTop="1" x14ac:dyDescent="0.3">
      <c r="A36" s="4"/>
      <c r="B36" s="3"/>
      <c r="C36" s="12"/>
      <c r="D36" s="3"/>
      <c r="E36" s="3"/>
      <c r="F36" s="3"/>
      <c r="G36" s="3"/>
      <c r="H36" s="2000"/>
      <c r="I36" s="2000"/>
      <c r="J36" s="2000"/>
      <c r="K36" s="2000"/>
      <c r="L36" s="2"/>
      <c r="M36" s="2"/>
      <c r="N36" s="69"/>
      <c r="O36" s="2"/>
      <c r="P36" s="2033" t="s">
        <v>815</v>
      </c>
      <c r="Q36" s="2033"/>
      <c r="R36" s="2033"/>
      <c r="S36" s="415">
        <f>M25</f>
        <v>0</v>
      </c>
      <c r="T36" s="415">
        <f>J25</f>
        <v>0</v>
      </c>
      <c r="U36" s="415">
        <f>IF(AF28&lt;&gt;0,AF28,Z28)</f>
        <v>0</v>
      </c>
      <c r="V36" s="2034">
        <f>IF(AF28&lt;&gt;0,Z28,0)</f>
        <v>0</v>
      </c>
      <c r="W36" s="2034"/>
      <c r="X36" s="2048">
        <f>L35*12</f>
        <v>0</v>
      </c>
      <c r="Y36" s="2048"/>
      <c r="Z36" s="2048"/>
      <c r="AA36" s="2048"/>
      <c r="AB36" s="2048"/>
      <c r="AC36" s="2048"/>
      <c r="AD36" s="2067">
        <f>IF(AF28&lt;&gt;0,((X36+U36)/2),0)</f>
        <v>0</v>
      </c>
      <c r="AE36" s="2067"/>
      <c r="AF36" s="2067"/>
      <c r="AG36" s="2067"/>
      <c r="AH36" s="2067"/>
      <c r="AI36" s="2067"/>
      <c r="AK36" s="3"/>
    </row>
    <row r="37" spans="1:37" ht="10.5" customHeight="1" x14ac:dyDescent="0.3">
      <c r="A37" s="2070" t="s">
        <v>846</v>
      </c>
      <c r="B37" s="2071"/>
      <c r="C37" s="3"/>
      <c r="D37" s="3"/>
      <c r="E37" s="3"/>
      <c r="F37" s="3"/>
      <c r="G37" s="3"/>
      <c r="H37" s="3"/>
      <c r="I37" s="3"/>
      <c r="J37" s="2"/>
      <c r="K37" s="2"/>
      <c r="L37" s="2"/>
      <c r="M37" s="2"/>
      <c r="N37" s="2"/>
      <c r="O37" s="2"/>
      <c r="P37" s="2030" t="str">
        <f>IF(M25&lt;&gt;0,CONCATENATE(M10," Tax Return vs. ", J10," Tax Return:"),"")</f>
        <v/>
      </c>
      <c r="Q37" s="2030"/>
      <c r="R37" s="2030"/>
      <c r="S37" s="2030"/>
      <c r="T37" s="2030"/>
      <c r="U37" s="2051" t="str">
        <f>IF(AND(J25&lt;&gt;0,J25&lt;M25,OR(G33="",G33=12,G33=24)),CONCATENATE(ROUND(((M25-J25)/M25)*100,2),"%"," Decline from '",M10," Tax Returns' to '",J10," Tax Returns'"),
IF(AND(J25&lt;&gt;0,G33&gt;12,G33&lt;24,J25&lt;M25),CONCATENATE(ROUND(((M25-J25)/M25)*100,2),"%"," Decline from '",M10," Tax Returns' to '",J10," Tax Returns'"),
IF(AND(J25&lt;&gt;0,J25&lt;M25),(CONCATENATE("Decline from '",M10," Tax Retunrs' to '",J10," Tax Returns'")),
IF(AND(J25&lt;&gt;0,J25&gt;M25,OR(G33="",G33=12,G33=24)),CONCATENATE(ROUND(((J25-M25)/M25)*100,2),"%"," Increase from '",M10," Tax Returns' to '",J10," Tax Returns'"),
IF(AND(J25&lt;&gt;0,G33&gt;12,G33&lt;24,J25&gt;M25),CONCATENATE(ROUND(((J25-M25)/M25)*100,2),"%"," Increase from '",M10," Tax Returns' to '",J10," Tax Returns'"),IF(AND(J25&lt;&gt;0,M25&lt;&gt;0,M25=J25),"No Change",""))))))</f>
        <v/>
      </c>
      <c r="V37" s="2051"/>
      <c r="W37" s="2051"/>
      <c r="X37" s="2051"/>
      <c r="Y37" s="2051"/>
      <c r="Z37" s="2051"/>
      <c r="AA37" s="2051"/>
      <c r="AB37" s="2051"/>
      <c r="AC37" s="2051"/>
      <c r="AD37" s="2051"/>
      <c r="AE37" s="2051"/>
      <c r="AF37" s="2051"/>
      <c r="AG37" s="2051"/>
      <c r="AH37" s="2051"/>
      <c r="AI37" s="2051"/>
      <c r="AJ37" s="2051"/>
    </row>
    <row r="38" spans="1:37" ht="54" customHeight="1" x14ac:dyDescent="0.3">
      <c r="A38" s="2072"/>
      <c r="B38" s="2073"/>
      <c r="C38" s="2076" t="str">
        <f>IF(J25&lt;M25,C39,IF(J25=M25,C41,C40))</f>
        <v>Caution: Business income stable but 2024 is being excluded and/or the number of months reviewed is less than .  Generally when income is stable 2024 should be included and a  month average of this income should be used, or you must omit the prior year to average over 12 months.  Review above and correct to clear the alert or explain in your notes.</v>
      </c>
      <c r="D38" s="2076"/>
      <c r="E38" s="2076"/>
      <c r="F38" s="2076"/>
      <c r="G38" s="2076"/>
      <c r="H38" s="2076"/>
      <c r="I38" s="2076"/>
      <c r="J38" s="2076"/>
      <c r="K38" s="2076"/>
      <c r="L38" s="2076"/>
      <c r="M38" s="2076"/>
      <c r="N38" s="2"/>
      <c r="O38" s="2"/>
      <c r="P38" s="2030"/>
      <c r="Q38" s="2030"/>
      <c r="R38" s="2030"/>
      <c r="S38" s="2030"/>
      <c r="T38" s="2030"/>
      <c r="U38" s="2051"/>
      <c r="V38" s="2051"/>
      <c r="W38" s="2051"/>
      <c r="X38" s="2051"/>
      <c r="Y38" s="2051"/>
      <c r="Z38" s="2051"/>
      <c r="AA38" s="2051"/>
      <c r="AB38" s="2051"/>
      <c r="AC38" s="2051"/>
      <c r="AD38" s="2051"/>
      <c r="AE38" s="2051"/>
      <c r="AF38" s="2051"/>
      <c r="AG38" s="2051"/>
      <c r="AH38" s="2051"/>
      <c r="AI38" s="2051"/>
      <c r="AJ38" s="2051"/>
    </row>
    <row r="39" spans="1:37" ht="12" customHeight="1" x14ac:dyDescent="0.3">
      <c r="A39" s="2072"/>
      <c r="B39" s="2073"/>
      <c r="C39" s="217" t="str">
        <f>CONCATENATE("Caution: Declining income is detected and ",M10, " is not being excluded and/or the number of months reviewed is greater than 12.  Generally with declining income ",M10, " should be excluded and the number of months reviewed should be 12.  Review above and correct to clear the alert or explain the justification in your notes below for not excluding ",M10, " and/or using more than 12 months reviewed.")</f>
        <v>Caution: Declining income is detected and 2024 is not being excluded and/or the number of months reviewed is greater than 12.  Generally with declining income 2024 should be excluded and the number of months reviewed should be 12.  Review above and correct to clear the alert or explain the justification in your notes below for not excluding 2024 and/or using more than 12 months reviewed.</v>
      </c>
      <c r="D39" s="1969" t="str">
        <f>IF(N1="VA","*Note - For VA loan residual calculations, Social security and Medicare deductions must be doubled from calculated figures on Schedule C businesses to account for IRS requirements.",
IF(OR(AND(OR(N1=0,N1="FHA"),$J$25&lt;&gt;0,$M$25&lt;&gt;0,(($M$25-$J$25)&gt;=($M$25*0.2))),AND(OR(N1=0,N1="FHA"),T36&lt;&gt;0,U36&lt;&gt;0,((T36-U36)&gt;=(T36*0.2))),AND(OR(N1=0,N1="FHA"),U36&lt;&gt;0,V36&lt;&gt;0,((U36-V36)&gt;=(U36*0.2))),AND(OR(N1=0,N1="FHA2"),X36&lt;&gt;0,AF28&lt;&gt;0,Z28&lt;&gt;0,((AD36-Z28)&gt;=(AD36*0.2)))),"*Self Employed with 20% or greater decline in business income.  FHA loans require Manual Downgrade AND Further Analysis if using income.",""))</f>
        <v/>
      </c>
      <c r="E39" s="1969"/>
      <c r="F39" s="1969"/>
      <c r="G39" s="1969"/>
      <c r="H39" s="343"/>
      <c r="I39" s="343"/>
      <c r="J39" s="2"/>
      <c r="K39" s="1768" t="s">
        <v>413</v>
      </c>
      <c r="L39" s="1768"/>
      <c r="M39" s="1768"/>
      <c r="N39" s="1768"/>
      <c r="O39" s="2"/>
      <c r="P39" s="2040" t="str">
        <f>IF(N1="FHA2",CONCATENATE("Effective Income vs. ",Z10," ",AC10,":"),
IF(AND(AF28=0,N1&lt;&gt;"FHA2"),CONCATENATE(J10," Tax Return - ",Z10," ",AC10,":"),CONCATENATE(J10," Tax Return - ",AF10," ",AI10,":")))</f>
        <v>2025 Tax Return - 2026 P&amp;L:</v>
      </c>
      <c r="Q39" s="2040"/>
      <c r="R39" s="2040"/>
      <c r="S39" s="2040"/>
      <c r="T39" s="2040"/>
      <c r="U39" s="1524" t="str">
        <f>IF(AND(N1="FHA2",L35=0),"",
IF(AND(N1="FHA2",X36&lt;&gt;0,Z28&lt;&gt;0,Z28&lt;X36),CONCATENATE(ROUND(((X36-Z28)/X36)*100,2),"%"," Decline from 'Effective income' to '",Z10,"'"),
IF(AND(N1="FHA2",X36&lt;&gt;0,Z28&lt;&gt;0,Z28&gt;X36),CONCATENATE(ROUND(((Z28-X36)/X36)*100,2),"%"," Increase from 'Effective income' to '",Z10,"'"),
IF(AND(N1="FHA2",X36&lt;&gt;0,Z28&lt;&gt;0,Z28=X36),"No Change",
IF(AND(J25&lt;&gt;0,Z28&lt;&gt;0,AF28=0,Z28&lt;J25),CONCATENATE(ROUND(((J25-Z28)/J25)*100,2),"%"," Decline from '",J10," Tax Returns' to '",Z10,"'"),
IF(AND(J25&lt;&gt;0,Z28&lt;&gt;0,AF28=0,Z28&gt;J25),CONCATENATE(ROUND(((Z28-J25)/J25)*100,2),"%"," Increase from '",J10," Tax Returns' to '",Z10,"'"),
IF(AND(J25&lt;&gt;0,Z28&lt;&gt;0,AF28=0,Z28=J25),"No Change",
IF(AND(J25&lt;&gt;0,AF28&lt;&gt;0,AF28&gt;J25),CONCATENATE(ROUND(((AF28-J25)/J25)*100,2),"%"," Increase from '",J10," Tax Returns' to '",AF10," ",AI10,"'"),
IF(AND(J25&lt;&gt;0,AF28&lt;&gt;0,AF28&lt;J25),CONCATENATE(ROUND(((J25-AF28)/J25)*100,2),"%"," Decline from '",J10," Tax Returns' to '",AF10," ",AI10,"'"),
IF(AND(J25&lt;&gt;0,AF28&lt;&gt;0,AF28=J25),"No Change",
""))))))))))</f>
        <v/>
      </c>
      <c r="V39" s="1524"/>
      <c r="W39" s="1524"/>
      <c r="X39" s="1524"/>
      <c r="Y39" s="1524"/>
      <c r="Z39" s="1524"/>
      <c r="AA39" s="1524"/>
      <c r="AB39" s="1524"/>
      <c r="AC39" s="1524"/>
      <c r="AD39" s="1524"/>
      <c r="AE39" s="1524"/>
      <c r="AF39" s="1524"/>
      <c r="AG39" s="1524"/>
      <c r="AH39" s="1524"/>
      <c r="AI39" s="1524"/>
      <c r="AJ39" s="1524"/>
      <c r="AK39" s="1525"/>
    </row>
    <row r="40" spans="1:37" ht="16.8" customHeight="1" x14ac:dyDescent="0.3">
      <c r="A40" s="2074"/>
      <c r="B40" s="2075"/>
      <c r="C40" s="217" t="str">
        <f>CONCATENATE("Caution: Business income increased but ",M10, " is being excluded and/or the number of months reviewed is other than ",G33,".  Generally when income increases ",M10, " should be included and a ",G33," month average of this income should be used.  Review above and correct to clear the alert or explain the justification in your notes below for not including ",M10, " and/or using other than ",G33," month reviewed.")</f>
        <v>Caution: Business income increased but 2024 is being excluded and/or the number of months reviewed is other than .  Generally when income increases 2024 should be included and a  month average of this income should be used.  Review above and correct to clear the alert or explain the justification in your notes below for not including 2024 and/or using other than  month reviewed.</v>
      </c>
      <c r="D40" s="1969"/>
      <c r="E40" s="1969"/>
      <c r="F40" s="1969"/>
      <c r="G40" s="1969"/>
      <c r="H40" s="343"/>
      <c r="I40" s="343"/>
      <c r="J40" s="2"/>
      <c r="K40" s="1768"/>
      <c r="L40" s="1768"/>
      <c r="M40" s="1768"/>
      <c r="N40" s="1768"/>
      <c r="O40" s="2"/>
      <c r="P40" s="2040"/>
      <c r="Q40" s="2040"/>
      <c r="R40" s="2040"/>
      <c r="S40" s="2040"/>
      <c r="T40" s="2040"/>
      <c r="U40" s="1524"/>
      <c r="V40" s="1524"/>
      <c r="W40" s="1524"/>
      <c r="X40" s="1524"/>
      <c r="Y40" s="1524"/>
      <c r="Z40" s="1524"/>
      <c r="AA40" s="1524"/>
      <c r="AB40" s="1524"/>
      <c r="AC40" s="1524"/>
      <c r="AD40" s="1524"/>
      <c r="AE40" s="1524"/>
      <c r="AF40" s="1524"/>
      <c r="AG40" s="1524"/>
      <c r="AH40" s="1524"/>
      <c r="AI40" s="1524"/>
      <c r="AJ40" s="1524"/>
      <c r="AK40" s="1525"/>
    </row>
    <row r="41" spans="1:37" ht="13.2" customHeight="1" x14ac:dyDescent="0.3">
      <c r="A41" s="469"/>
      <c r="B41" s="469"/>
      <c r="C41" s="411" t="str">
        <f>CONCATENATE("Caution: Business income stable but ",M10, " is being excluded and/or the number of months reviewed is less than ",G33,".  Generally when income is stable ",M10, " should be included and a ",G33," month average of this income should be used, or you must omit the prior year to average over 12 months.  Review above and correct to clear the alert or explain in your notes.")</f>
        <v>Caution: Business income stable but 2024 is being excluded and/or the number of months reviewed is less than .  Generally when income is stable 2024 should be included and a  month average of this income should be used, or you must omit the prior year to average over 12 months.  Review above and correct to clear the alert or explain in your notes.</v>
      </c>
      <c r="D41" s="1969"/>
      <c r="E41" s="1969"/>
      <c r="F41" s="1969"/>
      <c r="G41" s="1969"/>
      <c r="H41" s="343"/>
      <c r="I41" s="343"/>
      <c r="J41" s="2"/>
      <c r="K41" s="1768"/>
      <c r="L41" s="1768"/>
      <c r="M41" s="1768"/>
      <c r="N41" s="1768"/>
      <c r="O41" s="2"/>
      <c r="P41" s="2052" t="str">
        <f>IF(AF28=0,"",
IF(N1="FHA2",CONCATENATE("Effective Income vs. ",AF10," ",AI10,":"),
CONCATENATE(AF10," ",AI10," vs. ",Z10," ",AC10,":")))</f>
        <v/>
      </c>
      <c r="Q41" s="2052"/>
      <c r="R41" s="2052"/>
      <c r="S41" s="2052"/>
      <c r="T41" s="2052"/>
      <c r="U41" s="2053" t="str">
        <f>IF(AND(N1="FHA2",L35=0),"",
IF(AND(N1="FHA2",X36&lt;&gt;0,Z28&lt;&gt;0,AF28&lt;&gt;0,AF28&lt;X36),CONCATENATE(ROUND(((X36-AF28)/X36)*100,2),"%"," Decline from 'Effective' income to '",AF10,"'"),
IF(AND(N1="FHA2",X36&lt;&gt;0,Z28&lt;&gt;0,AF28&lt;&gt;0,AF28&gt;X36),CONCATENATE(ROUND(((AF28-X36)/X36)*100,2),"%"," Increase from 'Effective' income to '",AF10,"'"),
IF(AND(N1="FHA2",X36&lt;&gt;0,Z28&lt;&gt;0,AF28&lt;&gt;0,AF28=X36),"No Change",
IF(AND(Z28&lt;&gt;0,AF28&lt;&gt;0,AF28&gt;Z28),CONCATENATE(ROUND(((AF28-Z28)/AF28)*100,2),"%"," Decline from '",AF10," ",AI10,"' to '",Z10," ",AC10,"'"),
IF(AND(Z28&lt;&gt;0,AF28&lt;&gt;0,AF28&lt;Z28),CONCATENATE(ROUND(((Z28-AF28)/AF28)*100,2),"%"," Increase from '",AF10," ",AI10,"' to '",Z10," ",AC10,"'"),
IF(AND(Z28&lt;&gt;0,AF28&lt;&gt;0,AF28=Z28),"No Change",
"")))))))</f>
        <v/>
      </c>
      <c r="V41" s="2053"/>
      <c r="W41" s="2053"/>
      <c r="X41" s="2053"/>
      <c r="Y41" s="2053"/>
      <c r="Z41" s="2053"/>
      <c r="AA41" s="2053"/>
      <c r="AB41" s="2053"/>
      <c r="AC41" s="2053"/>
      <c r="AD41" s="2053"/>
      <c r="AE41" s="2053"/>
      <c r="AF41" s="2053"/>
      <c r="AG41" s="2053"/>
      <c r="AH41" s="2053"/>
      <c r="AI41" s="2053"/>
      <c r="AJ41" s="2053"/>
      <c r="AK41" s="2053"/>
    </row>
    <row r="42" spans="1:37" ht="12" customHeight="1" x14ac:dyDescent="0.3">
      <c r="A42" s="1475" t="s">
        <v>1080</v>
      </c>
      <c r="B42" s="1475"/>
      <c r="C42" s="1475"/>
      <c r="D42" s="1969"/>
      <c r="E42" s="1969"/>
      <c r="F42" s="1969"/>
      <c r="G42" s="1969"/>
      <c r="H42" s="343"/>
      <c r="I42" s="343"/>
      <c r="J42" s="17"/>
      <c r="K42" s="1768"/>
      <c r="L42" s="1768"/>
      <c r="M42" s="1768"/>
      <c r="N42" s="1768"/>
      <c r="P42" s="2052"/>
      <c r="Q42" s="2052"/>
      <c r="R42" s="2052"/>
      <c r="S42" s="2052"/>
      <c r="T42" s="2052"/>
      <c r="U42" s="2053"/>
      <c r="V42" s="2053"/>
      <c r="W42" s="2053"/>
      <c r="X42" s="2053"/>
      <c r="Y42" s="2053"/>
      <c r="Z42" s="2053"/>
      <c r="AA42" s="2053"/>
      <c r="AB42" s="2053"/>
      <c r="AC42" s="2053"/>
      <c r="AD42" s="2053"/>
      <c r="AE42" s="2053"/>
      <c r="AF42" s="2053"/>
      <c r="AG42" s="2053"/>
      <c r="AH42" s="2053"/>
      <c r="AI42" s="2053"/>
      <c r="AJ42" s="2053"/>
      <c r="AK42" s="2053"/>
    </row>
    <row r="43" spans="1:37" ht="15" customHeight="1" x14ac:dyDescent="0.35">
      <c r="A43" s="1325"/>
      <c r="B43" s="1325"/>
      <c r="C43" s="1325"/>
      <c r="D43" s="1325"/>
      <c r="E43" s="1325"/>
      <c r="F43" s="1325"/>
      <c r="G43" s="1325"/>
      <c r="H43" s="1325"/>
      <c r="I43" s="1325"/>
      <c r="J43" s="1325"/>
      <c r="K43" s="1325"/>
      <c r="L43" s="1325"/>
      <c r="M43" s="1325"/>
      <c r="N43" s="1325"/>
      <c r="O43" s="1325"/>
      <c r="P43" s="2065" t="str">
        <f>IF(AND(AF28&lt;&gt;0,N1="FHA2"),CONCATENATE("Effective Inc. + ",AF10," ",AI10," vs. ",Z10," ",AC10,":"),"")</f>
        <v/>
      </c>
      <c r="Q43" s="2065"/>
      <c r="R43" s="2065"/>
      <c r="S43" s="2065"/>
      <c r="T43" s="2065"/>
      <c r="U43" s="2066" t="str">
        <f>IF(AND(N1="FHA2",L35=0),"",
IF(AND(N1="FHA2",X36&lt;&gt;0,Z28&lt;&gt;0,AF28&lt;&gt;0,Z28&lt;AD36),CONCATENATE(ROUND(((AD36-Z28)/AD36)*100,2),"%"," Decline from 'Effective income + ",AF10,"' to '",Z10,"'"),
IF(AND(N1="FHA2",X36&lt;&gt;0,Z28&lt;&gt;0,AF28&lt;&gt;0,Z28&gt;AD36),CONCATENATE(ROUND(((Z28-AD36)/AD36)*100,2),"%"," Increase from 'Effective income + ",AF10,"' to '",Z10,"'"),
IF(AND(N1="FHA2",X36&lt;&gt;0,Z28&lt;&gt;0,AF28&lt;&gt;0,Z28=AD36),"No Change",""))))</f>
        <v/>
      </c>
      <c r="V43" s="2066"/>
      <c r="W43" s="2066"/>
      <c r="X43" s="2066"/>
      <c r="Y43" s="2066"/>
      <c r="Z43" s="2066"/>
      <c r="AA43" s="2066"/>
      <c r="AB43" s="2066"/>
      <c r="AC43" s="2066"/>
      <c r="AD43" s="2066"/>
      <c r="AE43" s="2066"/>
      <c r="AF43" s="2066"/>
      <c r="AG43" s="2066"/>
      <c r="AH43" s="2066"/>
      <c r="AI43" s="2066"/>
      <c r="AJ43" s="2066"/>
      <c r="AK43" s="2066"/>
    </row>
    <row r="44" spans="1:37" ht="15" customHeight="1" x14ac:dyDescent="0.3">
      <c r="A44" s="1325"/>
      <c r="B44" s="1325"/>
      <c r="C44" s="1325"/>
      <c r="D44" s="1325"/>
      <c r="E44" s="1325"/>
      <c r="F44" s="1325"/>
      <c r="G44" s="1325"/>
      <c r="H44" s="1325"/>
      <c r="I44" s="1325"/>
      <c r="J44" s="1325"/>
      <c r="K44" s="1325"/>
      <c r="L44" s="1325"/>
      <c r="M44" s="1325"/>
      <c r="N44" s="1325"/>
      <c r="O44" s="1325"/>
      <c r="P44" s="2049" t="s">
        <v>1019</v>
      </c>
      <c r="Q44" s="2049"/>
      <c r="R44" s="2049"/>
      <c r="S44" s="2049"/>
      <c r="T44" s="2049"/>
      <c r="U44" s="2049"/>
      <c r="V44" s="2049"/>
      <c r="W44" s="2049"/>
      <c r="X44" s="2049"/>
      <c r="Y44" s="2049"/>
      <c r="Z44" s="2049"/>
      <c r="AA44" s="2049"/>
      <c r="AB44" s="2049"/>
      <c r="AC44" s="2049"/>
      <c r="AD44" s="2049"/>
      <c r="AE44" s="2049"/>
      <c r="AF44" s="2049"/>
      <c r="AG44" s="2049"/>
      <c r="AH44" s="2049"/>
      <c r="AI44" s="2049"/>
      <c r="AJ44" s="2049"/>
    </row>
    <row r="45" spans="1:37" ht="15" customHeight="1" x14ac:dyDescent="0.3">
      <c r="A45" s="1325"/>
      <c r="B45" s="1325"/>
      <c r="C45" s="1325"/>
      <c r="D45" s="1325"/>
      <c r="E45" s="1325"/>
      <c r="F45" s="1325"/>
      <c r="G45" s="1325"/>
      <c r="H45" s="1325"/>
      <c r="I45" s="1325"/>
      <c r="J45" s="1325"/>
      <c r="K45" s="1325"/>
      <c r="L45" s="1325"/>
      <c r="M45" s="1325"/>
      <c r="N45" s="1325"/>
      <c r="O45" s="1325"/>
      <c r="P45" s="2064" t="str">
        <f>IF(AND(AF28&lt;&gt;0,J25&lt;&gt;0,AF28&lt;J25,Z28&gt;=AF28),CONCATENATE("Underwriting and Approval Requirement:
The '",AF10,"' for an extended or not yet filed tax return shows a decline of income from ",J10,". 
Convention loans: Refer to Fannie/Freddie Covid Guidelines. 
Gov loans: Even though the income has stabilized now based on the '",Z10,"' they would need to file the returns with the IRS in order to use income from this business.
(recalculated using the newly filed returns and ",J10,")"),"")</f>
        <v/>
      </c>
      <c r="Q45" s="2064"/>
      <c r="R45" s="2064"/>
      <c r="S45" s="2064"/>
      <c r="T45" s="2064"/>
      <c r="U45" s="2064"/>
      <c r="V45" s="2064"/>
      <c r="W45" s="2064"/>
      <c r="X45" s="2064"/>
      <c r="Y45" s="2064"/>
      <c r="Z45" s="2064"/>
      <c r="AA45" s="2064"/>
      <c r="AB45" s="2064"/>
      <c r="AC45" s="2064"/>
      <c r="AD45" s="2064"/>
      <c r="AE45" s="2064"/>
      <c r="AF45" s="2064"/>
      <c r="AG45" s="2064"/>
      <c r="AH45" s="2064"/>
      <c r="AI45" s="2064"/>
      <c r="AJ45" s="2064"/>
      <c r="AK45" s="29"/>
    </row>
    <row r="46" spans="1:37" ht="4.8" customHeight="1" x14ac:dyDescent="0.3">
      <c r="A46" s="1072"/>
      <c r="B46" s="19"/>
      <c r="C46" s="19"/>
      <c r="D46" s="19"/>
      <c r="E46" s="19"/>
      <c r="F46" s="19"/>
      <c r="G46" s="19"/>
      <c r="H46" s="19"/>
      <c r="I46" s="19"/>
      <c r="J46" s="19"/>
      <c r="K46" s="19"/>
      <c r="L46" s="19"/>
      <c r="M46" s="19"/>
      <c r="N46" s="19"/>
      <c r="P46" s="2064"/>
      <c r="Q46" s="2064"/>
      <c r="R46" s="2064"/>
      <c r="S46" s="2064"/>
      <c r="T46" s="2064"/>
      <c r="U46" s="2064"/>
      <c r="V46" s="2064"/>
      <c r="W46" s="2064"/>
      <c r="X46" s="2064"/>
      <c r="Y46" s="2064"/>
      <c r="Z46" s="2064"/>
      <c r="AA46" s="2064"/>
      <c r="AB46" s="2064"/>
      <c r="AC46" s="2064"/>
      <c r="AD46" s="2064"/>
      <c r="AE46" s="2064"/>
      <c r="AF46" s="2064"/>
      <c r="AG46" s="2064"/>
      <c r="AH46" s="2064"/>
      <c r="AI46" s="2064"/>
      <c r="AJ46" s="2064"/>
    </row>
    <row r="47" spans="1:37" ht="15" customHeight="1" x14ac:dyDescent="0.3">
      <c r="A47" s="1475" t="s">
        <v>223</v>
      </c>
      <c r="B47" s="1475"/>
      <c r="C47" s="1475"/>
      <c r="D47" s="1475"/>
      <c r="E47" s="19"/>
      <c r="F47" s="19"/>
      <c r="G47" s="19"/>
      <c r="H47" s="19"/>
      <c r="I47" s="19"/>
      <c r="J47" s="19"/>
      <c r="K47" s="19"/>
      <c r="L47" s="19"/>
      <c r="M47" s="19"/>
      <c r="N47" s="19"/>
      <c r="P47" s="2064"/>
      <c r="Q47" s="2064"/>
      <c r="R47" s="2064"/>
      <c r="S47" s="2064"/>
      <c r="T47" s="2064"/>
      <c r="U47" s="2064"/>
      <c r="V47" s="2064"/>
      <c r="W47" s="2064"/>
      <c r="X47" s="2064"/>
      <c r="Y47" s="2064"/>
      <c r="Z47" s="2064"/>
      <c r="AA47" s="2064"/>
      <c r="AB47" s="2064"/>
      <c r="AC47" s="2064"/>
      <c r="AD47" s="2064"/>
      <c r="AE47" s="2064"/>
      <c r="AF47" s="2064"/>
      <c r="AG47" s="2064"/>
      <c r="AH47" s="2064"/>
      <c r="AI47" s="2064"/>
      <c r="AJ47" s="2064"/>
    </row>
    <row r="48" spans="1:37" ht="13.2" customHeight="1" x14ac:dyDescent="0.35">
      <c r="A48" s="1903" t="s">
        <v>753</v>
      </c>
      <c r="B48" s="1903"/>
      <c r="C48" s="1903"/>
      <c r="D48" s="1903"/>
      <c r="E48" s="1903"/>
      <c r="F48" s="1903"/>
      <c r="G48" s="1903"/>
      <c r="H48" s="1903"/>
      <c r="I48" s="1903"/>
      <c r="J48" s="1903"/>
      <c r="K48" s="1903"/>
      <c r="L48" s="1903"/>
      <c r="M48" s="1903"/>
      <c r="N48" s="1903"/>
      <c r="O48" s="1903"/>
      <c r="P48" s="2064"/>
      <c r="Q48" s="2064"/>
      <c r="R48" s="2064"/>
      <c r="S48" s="2064"/>
      <c r="T48" s="2064"/>
      <c r="U48" s="2064"/>
      <c r="V48" s="2064"/>
      <c r="W48" s="2064"/>
      <c r="X48" s="2064"/>
      <c r="Y48" s="2064"/>
      <c r="Z48" s="2064"/>
      <c r="AA48" s="2064"/>
      <c r="AB48" s="2064"/>
      <c r="AC48" s="2064"/>
      <c r="AD48" s="2064"/>
      <c r="AE48" s="2064"/>
      <c r="AF48" s="2064"/>
      <c r="AG48" s="2064"/>
      <c r="AH48" s="2064"/>
      <c r="AI48" s="2064"/>
      <c r="AJ48" s="2064"/>
      <c r="AK48" s="424"/>
    </row>
    <row r="49" spans="1:37" ht="13.2" customHeight="1" x14ac:dyDescent="0.3">
      <c r="A49" s="1903" t="s">
        <v>751</v>
      </c>
      <c r="B49" s="1903"/>
      <c r="C49" s="1903"/>
      <c r="D49" s="1903"/>
      <c r="E49" s="1903"/>
      <c r="F49" s="1903"/>
      <c r="G49" s="1903"/>
      <c r="H49" s="1903"/>
      <c r="I49" s="1903"/>
      <c r="J49" s="1903"/>
      <c r="K49" s="1903"/>
      <c r="L49" s="1903"/>
      <c r="M49" s="1903"/>
      <c r="N49" s="1903"/>
      <c r="O49" s="1903"/>
      <c r="P49" s="2064"/>
      <c r="Q49" s="2064"/>
      <c r="R49" s="2064"/>
      <c r="S49" s="2064"/>
      <c r="T49" s="2064"/>
      <c r="U49" s="2064"/>
      <c r="V49" s="2064"/>
      <c r="W49" s="2064"/>
      <c r="X49" s="2064"/>
      <c r="Y49" s="2064"/>
      <c r="Z49" s="2064"/>
      <c r="AA49" s="2064"/>
      <c r="AB49" s="2064"/>
      <c r="AC49" s="2064"/>
      <c r="AD49" s="2064"/>
      <c r="AE49" s="2064"/>
      <c r="AF49" s="2064"/>
      <c r="AG49" s="2064"/>
      <c r="AH49" s="2064"/>
      <c r="AI49" s="2064"/>
      <c r="AJ49" s="2064"/>
      <c r="AK49" s="435"/>
    </row>
    <row r="50" spans="1:37" ht="13.2" customHeight="1" x14ac:dyDescent="0.3">
      <c r="A50" s="1903" t="s">
        <v>752</v>
      </c>
      <c r="B50" s="1903"/>
      <c r="C50" s="1903"/>
      <c r="D50" s="1903"/>
      <c r="E50" s="1903"/>
      <c r="F50" s="1903"/>
      <c r="G50" s="1903"/>
      <c r="H50" s="1903"/>
      <c r="I50" s="1903"/>
      <c r="J50" s="1903"/>
      <c r="K50" s="1903"/>
      <c r="L50" s="1903"/>
      <c r="M50" s="1903"/>
      <c r="N50" s="1903"/>
      <c r="O50" s="1903"/>
      <c r="P50" s="2064"/>
      <c r="Q50" s="2064"/>
      <c r="R50" s="2064"/>
      <c r="S50" s="2064"/>
      <c r="T50" s="2064"/>
      <c r="U50" s="2064"/>
      <c r="V50" s="2064"/>
      <c r="W50" s="2064"/>
      <c r="X50" s="2064"/>
      <c r="Y50" s="2064"/>
      <c r="Z50" s="2064"/>
      <c r="AA50" s="2064"/>
      <c r="AB50" s="2064"/>
      <c r="AC50" s="2064"/>
      <c r="AD50" s="2064"/>
      <c r="AE50" s="2064"/>
      <c r="AF50" s="2064"/>
      <c r="AG50" s="2064"/>
      <c r="AH50" s="2064"/>
      <c r="AI50" s="2064"/>
      <c r="AJ50" s="2064"/>
      <c r="AK50" s="435"/>
    </row>
    <row r="51" spans="1:37" ht="13.2" customHeight="1" x14ac:dyDescent="0.3">
      <c r="A51" s="2077" t="s">
        <v>774</v>
      </c>
      <c r="B51" s="2077"/>
      <c r="C51" s="2077"/>
      <c r="D51" s="2077"/>
      <c r="E51" s="2077"/>
      <c r="F51" s="2077"/>
      <c r="G51" s="2077"/>
      <c r="H51" s="2077"/>
      <c r="I51" s="2077"/>
      <c r="J51" s="2077"/>
      <c r="K51" s="2077"/>
      <c r="L51" s="2077"/>
      <c r="M51" s="2077"/>
      <c r="N51" s="2077"/>
      <c r="O51" s="2077"/>
      <c r="P51" s="2064"/>
      <c r="Q51" s="2064"/>
      <c r="R51" s="2064"/>
      <c r="S51" s="2064"/>
      <c r="T51" s="2064"/>
      <c r="U51" s="2064"/>
      <c r="V51" s="2064"/>
      <c r="W51" s="2064"/>
      <c r="X51" s="2064"/>
      <c r="Y51" s="2064"/>
      <c r="Z51" s="2064"/>
      <c r="AA51" s="2064"/>
      <c r="AB51" s="2064"/>
      <c r="AC51" s="2064"/>
      <c r="AD51" s="2064"/>
      <c r="AE51" s="2064"/>
      <c r="AF51" s="2064"/>
      <c r="AG51" s="2064"/>
      <c r="AH51" s="2064"/>
      <c r="AI51" s="2064"/>
      <c r="AJ51" s="2064"/>
      <c r="AK51" s="435"/>
    </row>
    <row r="52" spans="1:37" ht="13.2" customHeight="1" x14ac:dyDescent="0.3">
      <c r="A52" s="2077" t="s">
        <v>755</v>
      </c>
      <c r="B52" s="2077"/>
      <c r="C52" s="2077"/>
      <c r="D52" s="2077"/>
      <c r="E52" s="2077"/>
      <c r="F52" s="2077"/>
      <c r="G52" s="2077"/>
      <c r="H52" s="2077"/>
      <c r="I52" s="2077"/>
      <c r="J52" s="2077"/>
      <c r="K52" s="2077"/>
      <c r="L52" s="2077"/>
      <c r="M52" s="2077"/>
      <c r="N52" s="2077"/>
      <c r="O52" s="2077"/>
      <c r="P52" s="2064"/>
      <c r="Q52" s="2064"/>
      <c r="R52" s="2064"/>
      <c r="S52" s="2064"/>
      <c r="T52" s="2064"/>
      <c r="U52" s="2064"/>
      <c r="V52" s="2064"/>
      <c r="W52" s="2064"/>
      <c r="X52" s="2064"/>
      <c r="Y52" s="2064"/>
      <c r="Z52" s="2064"/>
      <c r="AA52" s="2064"/>
      <c r="AB52" s="2064"/>
      <c r="AC52" s="2064"/>
      <c r="AD52" s="2064"/>
      <c r="AE52" s="2064"/>
      <c r="AF52" s="2064"/>
      <c r="AG52" s="2064"/>
      <c r="AH52" s="2064"/>
      <c r="AI52" s="2064"/>
      <c r="AJ52" s="2064"/>
      <c r="AK52" s="435"/>
    </row>
    <row r="53" spans="1:37" ht="6.6" customHeight="1" x14ac:dyDescent="0.3">
      <c r="A53" s="32"/>
      <c r="B53" s="32"/>
      <c r="C53" s="32"/>
      <c r="D53" s="32"/>
      <c r="E53" s="32"/>
      <c r="F53" s="32"/>
      <c r="G53" s="32"/>
      <c r="H53" s="32"/>
      <c r="I53" s="32"/>
      <c r="J53" s="32"/>
      <c r="K53" s="32"/>
      <c r="L53" s="32"/>
      <c r="M53" s="32"/>
      <c r="N53" s="32"/>
      <c r="O53" s="32"/>
      <c r="P53" s="2064"/>
      <c r="Q53" s="2064"/>
      <c r="R53" s="2064"/>
      <c r="S53" s="2064"/>
      <c r="T53" s="2064"/>
      <c r="U53" s="2064"/>
      <c r="V53" s="2064"/>
      <c r="W53" s="2064"/>
      <c r="X53" s="2064"/>
      <c r="Y53" s="2064"/>
      <c r="Z53" s="2064"/>
      <c r="AA53" s="2064"/>
      <c r="AB53" s="2064"/>
      <c r="AC53" s="2064"/>
      <c r="AD53" s="2064"/>
      <c r="AE53" s="2064"/>
      <c r="AF53" s="2064"/>
      <c r="AG53" s="2064"/>
      <c r="AH53" s="2064"/>
      <c r="AI53" s="2064"/>
      <c r="AJ53" s="2064"/>
      <c r="AK53" s="435"/>
    </row>
    <row r="54" spans="1:37" ht="13.2" customHeight="1" x14ac:dyDescent="0.3">
      <c r="A54" s="2077" t="s">
        <v>841</v>
      </c>
      <c r="B54" s="2077"/>
      <c r="C54" s="2077"/>
      <c r="D54" s="2077"/>
      <c r="E54" s="2077"/>
      <c r="F54" s="2077"/>
      <c r="G54" s="2077"/>
      <c r="H54" s="2077"/>
      <c r="I54" s="2077"/>
      <c r="J54" s="2077"/>
      <c r="K54" s="2077"/>
      <c r="L54" s="2077"/>
      <c r="M54" s="2077"/>
      <c r="N54" s="2077"/>
      <c r="O54" s="2077"/>
      <c r="AK54" s="435"/>
    </row>
    <row r="55" spans="1:37" ht="13.2" customHeight="1" x14ac:dyDescent="0.3">
      <c r="A55" s="2077" t="s">
        <v>1020</v>
      </c>
      <c r="B55" s="2077"/>
      <c r="C55" s="2077"/>
      <c r="D55" s="2077"/>
      <c r="E55" s="2077"/>
      <c r="F55" s="2077"/>
      <c r="G55" s="2077"/>
      <c r="H55" s="2077"/>
      <c r="I55" s="2077"/>
      <c r="J55" s="2077"/>
      <c r="K55" s="2077"/>
      <c r="L55" s="2077"/>
      <c r="M55" s="2077"/>
      <c r="N55" s="2077"/>
      <c r="O55" s="2077"/>
      <c r="P55" s="435"/>
      <c r="Q55" s="435"/>
      <c r="R55" s="435"/>
      <c r="S55" s="435"/>
      <c r="T55" s="435"/>
      <c r="U55" s="435"/>
      <c r="V55" s="435"/>
      <c r="W55" s="435"/>
      <c r="X55" s="435"/>
      <c r="Y55" s="435"/>
      <c r="Z55" s="435"/>
      <c r="AA55" s="435"/>
      <c r="AB55" s="435"/>
      <c r="AC55" s="435"/>
      <c r="AD55" s="435"/>
      <c r="AE55" s="435"/>
      <c r="AF55" s="435"/>
      <c r="AG55" s="435"/>
      <c r="AH55" s="435"/>
      <c r="AI55" s="435"/>
      <c r="AJ55" s="435"/>
      <c r="AK55" s="435"/>
    </row>
    <row r="56" spans="1:37" ht="6.6" customHeight="1" x14ac:dyDescent="0.3">
      <c r="A56" s="32"/>
      <c r="B56" s="32"/>
      <c r="C56" s="32"/>
      <c r="D56" s="32"/>
      <c r="E56" s="32"/>
      <c r="F56" s="32"/>
      <c r="G56" s="32"/>
      <c r="H56" s="32"/>
      <c r="I56" s="32"/>
      <c r="J56" s="32"/>
      <c r="K56" s="32"/>
      <c r="L56" s="32"/>
      <c r="M56" s="32"/>
      <c r="N56" s="32"/>
      <c r="O56" s="32"/>
      <c r="P56" s="435"/>
      <c r="Q56" s="435"/>
      <c r="R56" s="435"/>
      <c r="S56" s="435"/>
      <c r="T56" s="435"/>
      <c r="U56" s="435"/>
      <c r="V56" s="435"/>
      <c r="W56" s="435"/>
      <c r="X56" s="435"/>
      <c r="Y56" s="435"/>
      <c r="Z56" s="435"/>
      <c r="AA56" s="435"/>
      <c r="AB56" s="435"/>
      <c r="AC56" s="435"/>
      <c r="AD56" s="435"/>
      <c r="AE56" s="435"/>
      <c r="AF56" s="435"/>
      <c r="AG56" s="435"/>
      <c r="AH56" s="435"/>
      <c r="AI56" s="435"/>
      <c r="AJ56" s="435"/>
      <c r="AK56" s="435"/>
    </row>
    <row r="57" spans="1:37" ht="13.2" customHeight="1" x14ac:dyDescent="0.3">
      <c r="A57" s="2077" t="s">
        <v>1384</v>
      </c>
      <c r="B57" s="2077"/>
      <c r="C57" s="2077"/>
      <c r="D57" s="2077"/>
      <c r="E57" s="2077"/>
      <c r="F57" s="2077"/>
      <c r="G57" s="2077"/>
      <c r="H57" s="2077"/>
      <c r="I57" s="2077"/>
      <c r="J57" s="2077"/>
      <c r="K57" s="2077"/>
      <c r="L57" s="2077"/>
      <c r="M57" s="2077"/>
      <c r="N57" s="2077"/>
      <c r="O57" s="2077"/>
      <c r="R57" s="1969" t="str">
        <f>IF(D39&lt;&gt;"","*Self Employed with 20% or greater decline in business income.  FHA loans require Manual Downgrade AND Further Analysis if using income.","")</f>
        <v/>
      </c>
      <c r="S57" s="1969"/>
      <c r="T57" s="1969"/>
      <c r="U57" s="1969"/>
    </row>
    <row r="58" spans="1:37" ht="19.8" customHeight="1" x14ac:dyDescent="0.3">
      <c r="A58" s="530" t="s">
        <v>1388</v>
      </c>
      <c r="B58" s="2026" t="s">
        <v>1383</v>
      </c>
      <c r="C58" s="2026"/>
      <c r="D58" s="2026"/>
      <c r="E58" s="2026"/>
      <c r="F58" s="2086" t="s">
        <v>1398</v>
      </c>
      <c r="G58" s="2086"/>
      <c r="H58" s="2086"/>
      <c r="I58" s="2086"/>
      <c r="J58" s="2086"/>
      <c r="K58" s="2086"/>
      <c r="L58" s="2086"/>
      <c r="M58" s="2086"/>
      <c r="N58" s="2086"/>
      <c r="Q58" s="422"/>
      <c r="R58" s="1969"/>
      <c r="S58" s="1969"/>
      <c r="T58" s="1969"/>
      <c r="U58" s="1969"/>
      <c r="V58" s="422"/>
      <c r="W58" s="422"/>
      <c r="X58" s="422"/>
      <c r="Y58" s="422"/>
      <c r="Z58" s="422"/>
      <c r="AA58" s="422"/>
      <c r="AB58" s="422"/>
      <c r="AC58" s="422"/>
      <c r="AD58" s="422"/>
      <c r="AE58" s="422"/>
      <c r="AF58" s="422"/>
      <c r="AG58" s="422"/>
      <c r="AH58" s="422"/>
      <c r="AI58" s="422"/>
      <c r="AJ58" s="422"/>
      <c r="AK58" s="400"/>
    </row>
    <row r="59" spans="1:37" ht="13.2" customHeight="1" x14ac:dyDescent="0.3">
      <c r="A59" s="2078" t="s">
        <v>1385</v>
      </c>
      <c r="B59" s="2078"/>
      <c r="C59" s="2078"/>
      <c r="D59" s="2078" t="s">
        <v>28</v>
      </c>
      <c r="E59" s="2078"/>
      <c r="F59" s="2078"/>
      <c r="G59" s="2078"/>
      <c r="H59" s="2078"/>
      <c r="I59" s="2078"/>
      <c r="J59" s="2078"/>
      <c r="K59" s="2078"/>
      <c r="L59" s="2078"/>
      <c r="M59" s="2078"/>
      <c r="N59" s="2078"/>
      <c r="O59" s="2078"/>
      <c r="P59" s="422"/>
      <c r="Q59" s="422"/>
      <c r="R59" s="1969"/>
      <c r="S59" s="1969"/>
      <c r="T59" s="1969"/>
      <c r="U59" s="1969"/>
      <c r="V59" s="423"/>
      <c r="W59" s="422"/>
      <c r="X59" s="422"/>
      <c r="Y59" s="422"/>
      <c r="Z59" s="422"/>
      <c r="AA59" s="422"/>
      <c r="AB59" s="422"/>
      <c r="AC59" s="422"/>
      <c r="AD59" s="422"/>
      <c r="AE59" s="422"/>
      <c r="AF59" s="422"/>
      <c r="AG59" s="422"/>
      <c r="AH59" s="422"/>
      <c r="AI59" s="422"/>
      <c r="AJ59" s="422"/>
    </row>
    <row r="60" spans="1:37" ht="13.2" customHeight="1" x14ac:dyDescent="0.3">
      <c r="A60" s="1903" t="s">
        <v>250</v>
      </c>
      <c r="B60" s="1903"/>
      <c r="C60" s="1903"/>
      <c r="D60" s="1903" t="s">
        <v>28</v>
      </c>
      <c r="E60" s="1903"/>
      <c r="F60" s="1903"/>
      <c r="G60" s="1903"/>
      <c r="H60" s="1903"/>
      <c r="I60" s="1903"/>
      <c r="J60" s="1903"/>
      <c r="K60" s="1903"/>
      <c r="L60" s="1903"/>
      <c r="M60" s="1903"/>
      <c r="N60" s="1903"/>
      <c r="O60" s="1903"/>
      <c r="P60" s="1407"/>
      <c r="Q60" s="1407"/>
      <c r="R60" s="423"/>
      <c r="S60" s="423"/>
      <c r="T60" s="423"/>
      <c r="U60" s="423"/>
      <c r="V60" s="423"/>
      <c r="W60" s="423"/>
      <c r="X60" s="423"/>
      <c r="Y60" s="423"/>
      <c r="Z60" s="423"/>
      <c r="AA60" s="423"/>
      <c r="AB60" s="423"/>
      <c r="AC60" s="1860"/>
      <c r="AD60" s="1860"/>
      <c r="AE60" s="2039"/>
      <c r="AF60" s="2039"/>
      <c r="AG60" s="2039"/>
      <c r="AH60" s="2039"/>
      <c r="AI60" s="2039"/>
      <c r="AJ60" s="2039"/>
    </row>
    <row r="61" spans="1:37" ht="13.2" customHeight="1" x14ac:dyDescent="0.3">
      <c r="A61" s="1903" t="s">
        <v>287</v>
      </c>
      <c r="B61" s="1903"/>
      <c r="C61" s="1903"/>
      <c r="D61" s="1903" t="s">
        <v>28</v>
      </c>
      <c r="E61" s="1903"/>
      <c r="F61" s="1903"/>
      <c r="G61" s="1903"/>
      <c r="H61" s="1903"/>
      <c r="I61" s="1903"/>
      <c r="J61" s="1903"/>
      <c r="K61" s="1903"/>
      <c r="L61" s="1903"/>
      <c r="M61" s="1903"/>
      <c r="N61" s="1903"/>
      <c r="O61" s="1903"/>
      <c r="P61" s="1475" t="s">
        <v>1074</v>
      </c>
      <c r="Q61" s="1475"/>
      <c r="R61" s="1475"/>
      <c r="S61" s="1475"/>
      <c r="T61" s="1475"/>
      <c r="U61" s="423"/>
      <c r="V61" s="423"/>
      <c r="W61" s="423"/>
      <c r="X61" s="423"/>
      <c r="Y61" s="423"/>
      <c r="Z61" s="423"/>
      <c r="AA61" s="423"/>
      <c r="AB61" s="423"/>
      <c r="AC61" s="2038"/>
      <c r="AD61" s="2038"/>
      <c r="AE61" s="2039"/>
      <c r="AF61" s="2039"/>
      <c r="AG61" s="2039"/>
      <c r="AH61" s="2039"/>
      <c r="AI61" s="2039"/>
      <c r="AJ61" s="2039"/>
    </row>
    <row r="62" spans="1:37" ht="13.2" customHeight="1" x14ac:dyDescent="0.3">
      <c r="A62" s="2077" t="s">
        <v>251</v>
      </c>
      <c r="B62" s="2077"/>
      <c r="C62" s="2077"/>
      <c r="D62" s="2077"/>
      <c r="E62" s="2077"/>
      <c r="F62" s="2077"/>
      <c r="G62" s="2077"/>
      <c r="H62" s="2077"/>
      <c r="I62" s="2077"/>
      <c r="J62" s="2077"/>
      <c r="K62" s="2077"/>
      <c r="L62" s="2077"/>
      <c r="M62" s="2077"/>
      <c r="N62" s="2077"/>
      <c r="O62" s="2077"/>
      <c r="P62" s="1325"/>
      <c r="Q62" s="1325"/>
      <c r="R62" s="1325"/>
      <c r="S62" s="1325"/>
      <c r="T62" s="1325"/>
      <c r="U62" s="1325"/>
      <c r="V62" s="1325"/>
      <c r="W62" s="1325"/>
      <c r="X62" s="1325"/>
      <c r="Y62" s="1325"/>
      <c r="Z62" s="1325"/>
      <c r="AA62" s="1325"/>
      <c r="AB62" s="1325"/>
      <c r="AC62" s="1325"/>
      <c r="AD62" s="1325"/>
      <c r="AE62" s="1325"/>
      <c r="AF62" s="1325"/>
      <c r="AG62" s="1325"/>
      <c r="AH62" s="1325"/>
      <c r="AI62" s="1325"/>
      <c r="AJ62" s="1325"/>
      <c r="AK62" s="1325"/>
    </row>
    <row r="63" spans="1:37" ht="13.2" customHeight="1" x14ac:dyDescent="0.3">
      <c r="A63" s="2077" t="s">
        <v>286</v>
      </c>
      <c r="B63" s="2077"/>
      <c r="C63" s="2077"/>
      <c r="D63" s="2077"/>
      <c r="E63" s="2077"/>
      <c r="F63" s="2077"/>
      <c r="G63" s="2077"/>
      <c r="H63" s="2077"/>
      <c r="I63" s="2077"/>
      <c r="J63" s="2077"/>
      <c r="K63" s="2077"/>
      <c r="L63" s="2077"/>
      <c r="M63" s="2077"/>
      <c r="N63" s="2077"/>
      <c r="O63" s="2077"/>
      <c r="P63" s="1325"/>
      <c r="Q63" s="1325"/>
      <c r="R63" s="1325"/>
      <c r="S63" s="1325"/>
      <c r="T63" s="1325"/>
      <c r="U63" s="1325"/>
      <c r="V63" s="1325"/>
      <c r="W63" s="1325"/>
      <c r="X63" s="1325"/>
      <c r="Y63" s="1325"/>
      <c r="Z63" s="1325"/>
      <c r="AA63" s="1325"/>
      <c r="AB63" s="1325"/>
      <c r="AC63" s="1325"/>
      <c r="AD63" s="1325"/>
      <c r="AE63" s="1325"/>
      <c r="AF63" s="1325"/>
      <c r="AG63" s="1325"/>
      <c r="AH63" s="1325"/>
      <c r="AI63" s="1325"/>
      <c r="AJ63" s="1325"/>
      <c r="AK63" s="1325"/>
    </row>
    <row r="64" spans="1:37" ht="6.6" customHeight="1" x14ac:dyDescent="0.3">
      <c r="P64" s="1325"/>
      <c r="Q64" s="1325"/>
      <c r="R64" s="1325"/>
      <c r="S64" s="1325"/>
      <c r="T64" s="1325"/>
      <c r="U64" s="1325"/>
      <c r="V64" s="1325"/>
      <c r="W64" s="1325"/>
      <c r="X64" s="1325"/>
      <c r="Y64" s="1325"/>
      <c r="Z64" s="1325"/>
      <c r="AA64" s="1325"/>
      <c r="AB64" s="1325"/>
      <c r="AC64" s="1325"/>
      <c r="AD64" s="1325"/>
      <c r="AE64" s="1325"/>
      <c r="AF64" s="1325"/>
      <c r="AG64" s="1325"/>
      <c r="AH64" s="1325"/>
      <c r="AI64" s="1325"/>
      <c r="AJ64" s="1325"/>
      <c r="AK64" s="1325"/>
    </row>
    <row r="65" spans="1:37" ht="13.2" customHeight="1" x14ac:dyDescent="0.3">
      <c r="A65" s="1903" t="s">
        <v>1382</v>
      </c>
      <c r="B65" s="1903"/>
      <c r="C65" s="1903"/>
      <c r="D65" s="1903" t="s">
        <v>28</v>
      </c>
      <c r="E65" s="1903"/>
      <c r="F65" s="1903"/>
      <c r="G65" s="1903"/>
      <c r="H65" s="1903"/>
      <c r="I65" s="1903"/>
      <c r="J65" s="1903"/>
      <c r="K65" s="1903"/>
      <c r="L65" s="1903"/>
      <c r="M65" s="1903"/>
      <c r="N65" s="1903"/>
      <c r="O65" s="1903"/>
      <c r="P65" s="1325"/>
      <c r="Q65" s="1325"/>
      <c r="R65" s="1325"/>
      <c r="S65" s="1325"/>
      <c r="T65" s="1325"/>
      <c r="U65" s="1325"/>
      <c r="V65" s="1325"/>
      <c r="W65" s="1325"/>
      <c r="X65" s="1325"/>
      <c r="Y65" s="1325"/>
      <c r="Z65" s="1325"/>
      <c r="AA65" s="1325"/>
      <c r="AB65" s="1325"/>
      <c r="AC65" s="1325"/>
      <c r="AD65" s="1325"/>
      <c r="AE65" s="1325"/>
      <c r="AF65" s="1325"/>
      <c r="AG65" s="1325"/>
      <c r="AH65" s="1325"/>
      <c r="AI65" s="1325"/>
      <c r="AJ65" s="1325"/>
      <c r="AK65" s="1325"/>
    </row>
    <row r="66" spans="1:37" ht="13.8" customHeight="1" x14ac:dyDescent="0.3">
      <c r="A66" s="1903" t="s">
        <v>1381</v>
      </c>
      <c r="B66" s="1903"/>
      <c r="C66" s="1903"/>
      <c r="D66" s="1903"/>
      <c r="E66" s="1903"/>
      <c r="F66" s="1903"/>
      <c r="G66" s="1903"/>
      <c r="H66" s="1903"/>
      <c r="I66" s="1903"/>
      <c r="J66" s="1903"/>
      <c r="K66" s="1903"/>
      <c r="L66" s="1903"/>
      <c r="M66" s="1903"/>
      <c r="N66" s="1903"/>
      <c r="O66" s="1903"/>
      <c r="P66" s="625"/>
      <c r="Q66" s="19"/>
      <c r="R66" s="19"/>
      <c r="S66" s="19"/>
      <c r="T66" s="19"/>
      <c r="U66" s="19"/>
      <c r="V66" s="19"/>
      <c r="W66" s="19"/>
      <c r="X66" s="19"/>
      <c r="Y66" s="19"/>
      <c r="Z66" s="19"/>
      <c r="AA66" s="19"/>
      <c r="AB66" s="19"/>
      <c r="AC66" s="19"/>
      <c r="AD66" s="19"/>
      <c r="AE66" s="19"/>
      <c r="AF66" s="19"/>
      <c r="AG66" s="19"/>
      <c r="AH66" s="19"/>
      <c r="AI66" s="19"/>
      <c r="AJ66" s="19"/>
      <c r="AK66" s="19"/>
    </row>
    <row r="67" spans="1:37" ht="13.8" customHeight="1" x14ac:dyDescent="0.3">
      <c r="A67" s="1903" t="s">
        <v>1380</v>
      </c>
      <c r="B67" s="1903"/>
      <c r="C67" s="1903"/>
      <c r="D67" s="1903"/>
      <c r="E67" s="1903"/>
      <c r="F67" s="1903"/>
      <c r="G67" s="1903"/>
      <c r="H67" s="1903"/>
      <c r="I67" s="1903"/>
      <c r="J67" s="1903"/>
      <c r="K67" s="1903"/>
      <c r="L67" s="1903"/>
      <c r="M67" s="1903"/>
      <c r="N67" s="1903"/>
      <c r="O67" s="1903"/>
      <c r="P67" s="28"/>
      <c r="Q67" s="28"/>
      <c r="R67" s="28"/>
      <c r="S67" s="28"/>
      <c r="T67" s="28"/>
      <c r="U67" s="28"/>
      <c r="V67" s="28"/>
      <c r="W67" s="28"/>
      <c r="X67" s="28"/>
      <c r="Y67" s="28"/>
      <c r="Z67" s="28"/>
      <c r="AA67" s="28"/>
      <c r="AB67" s="28"/>
      <c r="AC67" s="28"/>
      <c r="AD67" s="28"/>
      <c r="AE67" s="28"/>
      <c r="AF67" s="28"/>
      <c r="AG67" s="28"/>
      <c r="AH67" s="28"/>
      <c r="AI67" s="28"/>
      <c r="AJ67" s="28"/>
    </row>
    <row r="68" spans="1:37" hidden="1" x14ac:dyDescent="0.3">
      <c r="L68" s="1043" t="b">
        <v>0</v>
      </c>
      <c r="M68" s="1156" t="b">
        <v>0</v>
      </c>
      <c r="N68" s="1046" t="b">
        <v>0</v>
      </c>
      <c r="O68" s="1161" t="b">
        <f>IF(AND(M68=TRUE,OR(N1="Conventional",N1="Other")),TRUE,FALSE)</f>
        <v>0</v>
      </c>
      <c r="P68" s="15"/>
      <c r="AJ68" s="47" t="b">
        <v>0</v>
      </c>
    </row>
    <row r="69" spans="1:37" hidden="1" x14ac:dyDescent="0.3">
      <c r="M69" s="1162" t="b">
        <v>0</v>
      </c>
      <c r="N69" s="1046" t="b">
        <v>0</v>
      </c>
      <c r="O69" s="1165" t="b">
        <f>IF(AND(M69=TRUE,OR(N1="Conventional",N1="Other"),N2="Yes, 1 yr returns confirmed"),TRUE,FALSE)</f>
        <v>0</v>
      </c>
      <c r="P69" s="15"/>
      <c r="AK69" s="390" t="b">
        <v>0</v>
      </c>
    </row>
    <row r="70" spans="1:37" ht="15" customHeight="1" x14ac:dyDescent="0.3">
      <c r="A70" s="1482" t="str">
        <f ca="1">REPLACE(CELL("filename",A70),1,FIND("]",CELL("filename",A70)),"")</f>
        <v>Sch C</v>
      </c>
      <c r="B70" s="1482"/>
      <c r="C70" s="1482"/>
      <c r="D70" s="1482"/>
    </row>
    <row r="72" spans="1:37" ht="18" customHeight="1" x14ac:dyDescent="0.3">
      <c r="M72" s="1419" t="str">
        <f>Version</f>
        <v>Version 2026.1</v>
      </c>
      <c r="N72" s="1419"/>
      <c r="O72" s="1419"/>
      <c r="Y72" s="1419" t="str">
        <f>Version</f>
        <v>Version 2026.1</v>
      </c>
      <c r="Z72" s="1419"/>
      <c r="AA72" s="1419"/>
      <c r="AB72" s="1419"/>
      <c r="AC72" s="1419"/>
      <c r="AD72" s="1419"/>
      <c r="AE72" s="1419"/>
      <c r="AF72" s="1419"/>
      <c r="AG72" s="1419"/>
      <c r="AH72" s="1419"/>
      <c r="AI72" s="1419"/>
      <c r="AJ72" s="1419"/>
    </row>
    <row r="73" spans="1:37" ht="42" customHeight="1" x14ac:dyDescent="0.3"/>
  </sheetData>
  <sheetProtection algorithmName="SHA-512" hashValue="bkrcyPs1jT0oWsIKXLRTXLmTb5SAGK6Fxqn2L47ZgLI463n4/bXMJHJLvvDCKjzhgCEl/9WhshcSshC6Xgm9ag==" saltValue="zNIOJriFHR1OKfFY8Yjufg==" spinCount="100000" sheet="1" objects="1" scenarios="1" selectLockedCells="1"/>
  <customSheetViews>
    <customSheetView guid="{F6F8AA9B-E24B-473E-B61F-666F74B21956}" scale="90" showPageBreaks="1" showGridLines="0" view="pageLayout">
      <selection activeCell="C7" sqref="C7:F7"/>
      <pageMargins left="0.25" right="0.25" top="0.25" bottom="0.25" header="0.3" footer="0.3"/>
      <pageSetup orientation="portrait" r:id="rId1"/>
    </customSheetView>
  </customSheetViews>
  <mergeCells count="176">
    <mergeCell ref="Q1:R1"/>
    <mergeCell ref="F3:J4"/>
    <mergeCell ref="N2:N3"/>
    <mergeCell ref="K2:M2"/>
    <mergeCell ref="Y72:AJ72"/>
    <mergeCell ref="A60:O60"/>
    <mergeCell ref="J5:O7"/>
    <mergeCell ref="B17:H17"/>
    <mergeCell ref="J11:K11"/>
    <mergeCell ref="M11:N11"/>
    <mergeCell ref="A18:B18"/>
    <mergeCell ref="J14:K14"/>
    <mergeCell ref="M14:N14"/>
    <mergeCell ref="J15:K15"/>
    <mergeCell ref="J8:O9"/>
    <mergeCell ref="J10:K10"/>
    <mergeCell ref="M10:N10"/>
    <mergeCell ref="J12:K12"/>
    <mergeCell ref="M12:N12"/>
    <mergeCell ref="J13:K13"/>
    <mergeCell ref="M13:N13"/>
    <mergeCell ref="G16:H16"/>
    <mergeCell ref="B16:F16"/>
    <mergeCell ref="F58:N58"/>
    <mergeCell ref="A10:I10"/>
    <mergeCell ref="A6:C6"/>
    <mergeCell ref="A8:C8"/>
    <mergeCell ref="B13:H13"/>
    <mergeCell ref="B14:H14"/>
    <mergeCell ref="B15:H15"/>
    <mergeCell ref="M15:N15"/>
    <mergeCell ref="C23:G23"/>
    <mergeCell ref="J23:K23"/>
    <mergeCell ref="J16:K16"/>
    <mergeCell ref="M16:N16"/>
    <mergeCell ref="M22:N22"/>
    <mergeCell ref="B12:H12"/>
    <mergeCell ref="J19:K19"/>
    <mergeCell ref="M19:N19"/>
    <mergeCell ref="M23:N23"/>
    <mergeCell ref="B11:H11"/>
    <mergeCell ref="D6:H6"/>
    <mergeCell ref="D8:H8"/>
    <mergeCell ref="F19:G19"/>
    <mergeCell ref="B19:E19"/>
    <mergeCell ref="B22:I22"/>
    <mergeCell ref="M72:O72"/>
    <mergeCell ref="A43:O45"/>
    <mergeCell ref="A42:C42"/>
    <mergeCell ref="K39:N42"/>
    <mergeCell ref="D39:G42"/>
    <mergeCell ref="A37:B40"/>
    <mergeCell ref="C38:M38"/>
    <mergeCell ref="A50:O50"/>
    <mergeCell ref="A51:O51"/>
    <mergeCell ref="A52:O52"/>
    <mergeCell ref="A65:O65"/>
    <mergeCell ref="A66:O66"/>
    <mergeCell ref="A67:O67"/>
    <mergeCell ref="A47:D47"/>
    <mergeCell ref="A48:O48"/>
    <mergeCell ref="A49:O49"/>
    <mergeCell ref="A59:O59"/>
    <mergeCell ref="A70:D70"/>
    <mergeCell ref="A62:O62"/>
    <mergeCell ref="A54:O54"/>
    <mergeCell ref="A55:O55"/>
    <mergeCell ref="A61:O61"/>
    <mergeCell ref="A63:O63"/>
    <mergeCell ref="A57:O57"/>
    <mergeCell ref="B28:H28"/>
    <mergeCell ref="G29:H29"/>
    <mergeCell ref="L28:M28"/>
    <mergeCell ref="J25:K25"/>
    <mergeCell ref="M25:N25"/>
    <mergeCell ref="G25:I25"/>
    <mergeCell ref="B29:E29"/>
    <mergeCell ref="L29:M29"/>
    <mergeCell ref="D26:I26"/>
    <mergeCell ref="J24:K24"/>
    <mergeCell ref="P45:AJ53"/>
    <mergeCell ref="P43:T43"/>
    <mergeCell ref="U43:AK43"/>
    <mergeCell ref="AG13:AI13"/>
    <mergeCell ref="Z16:AD16"/>
    <mergeCell ref="Z17:AD17"/>
    <mergeCell ref="AF16:AJ16"/>
    <mergeCell ref="M24:N24"/>
    <mergeCell ref="J22:K22"/>
    <mergeCell ref="AD36:AI36"/>
    <mergeCell ref="P8:R8"/>
    <mergeCell ref="S8:W8"/>
    <mergeCell ref="AI11:AJ11"/>
    <mergeCell ref="AA12:AC12"/>
    <mergeCell ref="AG12:AI12"/>
    <mergeCell ref="Z21:AD21"/>
    <mergeCell ref="AF19:AJ19"/>
    <mergeCell ref="Z28:AD29"/>
    <mergeCell ref="AF28:AJ29"/>
    <mergeCell ref="P28:P29"/>
    <mergeCell ref="S11:U11"/>
    <mergeCell ref="S10:U10"/>
    <mergeCell ref="R10:R11"/>
    <mergeCell ref="V11:X11"/>
    <mergeCell ref="F2:J2"/>
    <mergeCell ref="K4:O4"/>
    <mergeCell ref="U37:AJ38"/>
    <mergeCell ref="P41:T42"/>
    <mergeCell ref="U41:AK42"/>
    <mergeCell ref="H30:K36"/>
    <mergeCell ref="B31:G31"/>
    <mergeCell ref="B32:C32"/>
    <mergeCell ref="B33:C33"/>
    <mergeCell ref="B34:C34"/>
    <mergeCell ref="B35:G35"/>
    <mergeCell ref="K26:M26"/>
    <mergeCell ref="B24:H24"/>
    <mergeCell ref="J20:K20"/>
    <mergeCell ref="M20:N20"/>
    <mergeCell ref="J21:K21"/>
    <mergeCell ref="M21:N21"/>
    <mergeCell ref="B20:H20"/>
    <mergeCell ref="B21:H21"/>
    <mergeCell ref="AF21:AJ21"/>
    <mergeCell ref="AF17:AJ17"/>
    <mergeCell ref="AD35:AI35"/>
    <mergeCell ref="P2:AK3"/>
    <mergeCell ref="L35:M35"/>
    <mergeCell ref="AI61:AJ61"/>
    <mergeCell ref="P4:Z4"/>
    <mergeCell ref="P6:R6"/>
    <mergeCell ref="S6:W6"/>
    <mergeCell ref="P39:T40"/>
    <mergeCell ref="U39:AJ40"/>
    <mergeCell ref="AK39:AK40"/>
    <mergeCell ref="Q28:W29"/>
    <mergeCell ref="Z10:AB10"/>
    <mergeCell ref="AF10:AH10"/>
    <mergeCell ref="Z11:AA11"/>
    <mergeCell ref="AC11:AD11"/>
    <mergeCell ref="AF11:AG11"/>
    <mergeCell ref="Q13:U14"/>
    <mergeCell ref="AA13:AC13"/>
    <mergeCell ref="X35:AC35"/>
    <mergeCell ref="X36:AC36"/>
    <mergeCell ref="P60:Q60"/>
    <mergeCell ref="AC60:AD60"/>
    <mergeCell ref="AE60:AF60"/>
    <mergeCell ref="AG60:AH60"/>
    <mergeCell ref="AI60:AJ60"/>
    <mergeCell ref="R57:U59"/>
    <mergeCell ref="P44:AJ44"/>
    <mergeCell ref="B58:E58"/>
    <mergeCell ref="P62:AK65"/>
    <mergeCell ref="P61:T61"/>
    <mergeCell ref="Z18:AD18"/>
    <mergeCell ref="AF18:AJ18"/>
    <mergeCell ref="P15:S15"/>
    <mergeCell ref="Z15:AD15"/>
    <mergeCell ref="AF15:AJ15"/>
    <mergeCell ref="R20:V20"/>
    <mergeCell ref="Z20:AD20"/>
    <mergeCell ref="AF20:AJ20"/>
    <mergeCell ref="P37:T38"/>
    <mergeCell ref="Q21:V21"/>
    <mergeCell ref="R19:V19"/>
    <mergeCell ref="Z19:AD19"/>
    <mergeCell ref="V35:W35"/>
    <mergeCell ref="P36:R36"/>
    <mergeCell ref="V36:W36"/>
    <mergeCell ref="P34:W34"/>
    <mergeCell ref="Z22:AD27"/>
    <mergeCell ref="AF22:AJ27"/>
    <mergeCell ref="AC61:AD61"/>
    <mergeCell ref="AE61:AF61"/>
    <mergeCell ref="AG61:AH61"/>
  </mergeCells>
  <conditionalFormatting sqref="J13:K13">
    <cfRule type="expression" dxfId="751" priority="115">
      <formula>$J$13&lt;&gt;0</formula>
    </cfRule>
  </conditionalFormatting>
  <conditionalFormatting sqref="M13:N13">
    <cfRule type="expression" dxfId="750" priority="114">
      <formula>$M$13&lt;&gt;0</formula>
    </cfRule>
  </conditionalFormatting>
  <conditionalFormatting sqref="J22:K22">
    <cfRule type="expression" dxfId="749" priority="113">
      <formula>$J$22&lt;&gt;0</formula>
    </cfRule>
  </conditionalFormatting>
  <conditionalFormatting sqref="M22:N22">
    <cfRule type="expression" dxfId="748" priority="112">
      <formula>$M$22&lt;&gt;0</formula>
    </cfRule>
  </conditionalFormatting>
  <conditionalFormatting sqref="L22">
    <cfRule type="expression" dxfId="747" priority="103">
      <formula>$J$22&lt;&gt;0</formula>
    </cfRule>
  </conditionalFormatting>
  <conditionalFormatting sqref="O22">
    <cfRule type="expression" dxfId="746" priority="102">
      <formula>$M$22&lt;&gt;0</formula>
    </cfRule>
  </conditionalFormatting>
  <conditionalFormatting sqref="L35:M35">
    <cfRule type="expression" dxfId="745" priority="97">
      <formula>$N$68=TRUE</formula>
    </cfRule>
  </conditionalFormatting>
  <conditionalFormatting sqref="K26">
    <cfRule type="expression" dxfId="744" priority="92">
      <formula>$M$25=0</formula>
    </cfRule>
    <cfRule type="expression" dxfId="743" priority="93">
      <formula>AND($J$25&lt;&gt;0,$M$25&lt;&gt;0,$J$25&lt;$M$25)</formula>
    </cfRule>
    <cfRule type="expression" dxfId="742" priority="94">
      <formula>AND(OR($F$29=12,$F$29=24,$F$29=0),$J$25&lt;&gt;0,$M$25&lt;&gt;0,$J$25&lt;$M$25)</formula>
    </cfRule>
  </conditionalFormatting>
  <conditionalFormatting sqref="K26:M26">
    <cfRule type="expression" dxfId="741" priority="91">
      <formula>OR(AND($J$25&lt;&gt;0,$M$25&lt;&gt;0,$J$25&lt;$M$25,$N$69=FALSE,$F$29&gt;0), AND($J$25&lt;&gt;0,$M$25&lt;&gt;0,$J$25&lt;$M$25,$N$69=TRUE,$F$29&gt;12))</formula>
    </cfRule>
  </conditionalFormatting>
  <conditionalFormatting sqref="C26">
    <cfRule type="expression" dxfId="740" priority="38" stopIfTrue="1">
      <formula>$O$69=TRUE</formula>
    </cfRule>
    <cfRule type="expression" dxfId="739" priority="88">
      <formula>AND($J$25&lt;&gt;0,$M$25&lt;&gt;0,$J$25=$M$25,$F$29=$G$33,$F$29&lt;&gt;"",$F$29&lt;&gt;12,$N$69=TRUE)</formula>
    </cfRule>
    <cfRule type="expression" dxfId="738" priority="89">
      <formula>OR(AND($J$25&lt;&gt;0,$M$25&lt;&gt;0,$J$25&gt;$M$25,$N$69=TRUE),AND($J$25&lt;&gt;0,$M$25&lt;&gt;$J$25&lt;$M$25,$F$29&lt;&gt;"",$N$69=FALSE),AND($J$25&lt;&gt;0,$M$25&lt;&gt;0,$J$25=$M$25,$F$29=12,$F$29&lt;&gt;"",$N$69=FALSE),AND($J$25&lt;&gt;0,$M$25&lt;&gt;0,$J$25&lt;$M$25,$F$29&lt;&gt;"",$N$69&lt;&gt;TRUE))</formula>
    </cfRule>
    <cfRule type="expression" dxfId="737" priority="90">
      <formula>AND($J$25&lt;&gt;0,$M$25&lt;&gt;0,$J$25&lt;$M$25)</formula>
    </cfRule>
  </conditionalFormatting>
  <conditionalFormatting sqref="F29">
    <cfRule type="expression" dxfId="736" priority="40">
      <formula>AND($O$69=TRUE,$F$29&gt;12)</formula>
    </cfRule>
    <cfRule type="expression" dxfId="735" priority="87">
      <formula>OR(AND($J$25&lt;&gt;0,$M$25&lt;&gt;0,$J$25&lt;$M$25,$F$29&gt;12),AND($J$25&lt;&gt;0,$M$25&lt;&gt;0,$J$25&gt;$M$25,$F$29&lt;&gt;$G$33,$F$29&lt;&gt;""),AND($J$25&lt;&gt;0,$M$25&lt;&gt;0,$M$25=$J$25,$F$29&gt;12,$F$29&lt;&gt;"",$N$69=TRUE),AND($J$25&lt;&gt;0,$M$25&lt;&gt;0,$M$25=$J$25,$F$29&lt;&gt;$G$33,$F$29&lt;&gt;"",$N$69=FALSE))</formula>
    </cfRule>
  </conditionalFormatting>
  <conditionalFormatting sqref="K39:N42">
    <cfRule type="expression" dxfId="734" priority="84">
      <formula>AND(A70&lt;&gt;"Sch C",A70&lt;&gt;"Sch C (2)",A70&lt;&gt;"Sch C (3)",A70&lt;&gt;"Sch C (4)")</formula>
    </cfRule>
  </conditionalFormatting>
  <conditionalFormatting sqref="J25:K25">
    <cfRule type="expression" dxfId="733" priority="83">
      <formula>AND($F$34&lt;12,$F$34&lt;&gt;"")</formula>
    </cfRule>
  </conditionalFormatting>
  <conditionalFormatting sqref="M25:N25">
    <cfRule type="expression" dxfId="732" priority="81">
      <formula>AND($D$34&lt;12,$D$34&lt;&gt;"")</formula>
    </cfRule>
  </conditionalFormatting>
  <conditionalFormatting sqref="G25:I25">
    <cfRule type="expression" dxfId="731" priority="80">
      <formula>OR($G$33="",$G$33=12,$G$33=24)</formula>
    </cfRule>
  </conditionalFormatting>
  <conditionalFormatting sqref="AK30">
    <cfRule type="expression" dxfId="730" priority="74">
      <formula>$M$30&lt;&gt;0</formula>
    </cfRule>
  </conditionalFormatting>
  <conditionalFormatting sqref="AA13:AC13">
    <cfRule type="expression" dxfId="729" priority="44">
      <formula>AND($AC$11&lt;&gt;"",$AC$11&lt;$Z$11)</formula>
    </cfRule>
    <cfRule type="expression" dxfId="728" priority="73">
      <formula>AND($AB$14&gt;12,$AC$11&lt;&gt;"")</formula>
    </cfRule>
  </conditionalFormatting>
  <conditionalFormatting sqref="AG13:AI13">
    <cfRule type="expression" dxfId="727" priority="72">
      <formula>AND($AH$14&gt;12,$AI$11&lt;&gt;"")</formula>
    </cfRule>
  </conditionalFormatting>
  <conditionalFormatting sqref="U37">
    <cfRule type="expression" dxfId="726" priority="68">
      <formula>AND($M$25&lt;&gt;0,$J$25&lt;$M$25)</formula>
    </cfRule>
    <cfRule type="expression" dxfId="725" priority="71">
      <formula>$M$25=0</formula>
    </cfRule>
  </conditionalFormatting>
  <conditionalFormatting sqref="Z22">
    <cfRule type="expression" dxfId="724" priority="70">
      <formula>$Z$22="Error, Correct Dates"</formula>
    </cfRule>
  </conditionalFormatting>
  <conditionalFormatting sqref="AF22">
    <cfRule type="expression" dxfId="723" priority="69">
      <formula>OR($AF$22="Error, Correct Dates",$AF$22="Error, Move Most Recent Filed Returns To Left Column on the 1065 Worksheet")</formula>
    </cfRule>
  </conditionalFormatting>
  <conditionalFormatting sqref="U39">
    <cfRule type="expression" dxfId="722" priority="751">
      <formula>OR(AND($AF$28=0,$Z$28&lt;$J$25),AND($AF$28&lt;&gt;0,$AF$28&lt;$J$25))</formula>
    </cfRule>
  </conditionalFormatting>
  <conditionalFormatting sqref="U41">
    <cfRule type="expression" dxfId="721" priority="753">
      <formula>AND($AF$28&lt;&gt;0,$Z$28&lt;$AF$28)</formula>
    </cfRule>
  </conditionalFormatting>
  <conditionalFormatting sqref="B33:C33">
    <cfRule type="expression" dxfId="720" priority="62">
      <formula>AND($B$33="",$D$33&lt;&gt;"")</formula>
    </cfRule>
  </conditionalFormatting>
  <conditionalFormatting sqref="D33">
    <cfRule type="expression" dxfId="719" priority="61">
      <formula>AND($D$33="",$B$33&lt;&gt;"")</formula>
    </cfRule>
  </conditionalFormatting>
  <conditionalFormatting sqref="F33">
    <cfRule type="expression" dxfId="718" priority="59">
      <formula>AND($F$33="",$E$33&lt;&gt;"")</formula>
    </cfRule>
  </conditionalFormatting>
  <conditionalFormatting sqref="R57:U59 D39:G42">
    <cfRule type="expression" dxfId="717" priority="58">
      <formula>$R$57&lt;&gt;""</formula>
    </cfRule>
  </conditionalFormatting>
  <conditionalFormatting sqref="Q13:U14">
    <cfRule type="expression" dxfId="716" priority="57">
      <formula>OR($Q$13="Most recent Filed returns must be entered in the left column on the 1065 Worksheet and year updated at top.",$Q$13="Error, Tax Years and P&amp;L years are not entered correctly; see the Instructions tab under P&amp;L's")</formula>
    </cfRule>
  </conditionalFormatting>
  <conditionalFormatting sqref="A37:B40">
    <cfRule type="expression" dxfId="715" priority="55">
      <formula>AND(OR($F$29=12,$F$29=24,$F$29=0),$J$25&lt;&gt;0,$M$25&lt;&gt;0,$J$25&lt;$M$25)</formula>
    </cfRule>
    <cfRule type="expression" dxfId="714" priority="56">
      <formula>AND($J$25&lt;&gt;0,$M$25&lt;&gt;0,$J$25&lt;$M$25)</formula>
    </cfRule>
  </conditionalFormatting>
  <conditionalFormatting sqref="J5 J8">
    <cfRule type="expression" dxfId="713" priority="53">
      <formula>$O$68=TRUE</formula>
    </cfRule>
  </conditionalFormatting>
  <conditionalFormatting sqref="J12:J16 J19 J22:J23 C23 M12:M16 M19 M22:M23">
    <cfRule type="expression" dxfId="712" priority="52">
      <formula>$O$68=TRUE</formula>
    </cfRule>
  </conditionalFormatting>
  <conditionalFormatting sqref="J11:K11 M11:N11 F29 C26 B33:F33 J8 A37:B40">
    <cfRule type="expression" dxfId="711" priority="48">
      <formula>$O$68=TRUE</formula>
    </cfRule>
  </conditionalFormatting>
  <conditionalFormatting sqref="Z11:AA11 Z10:AB10">
    <cfRule type="expression" dxfId="710" priority="43">
      <formula>$Z$10&lt;&gt;$W$12</formula>
    </cfRule>
  </conditionalFormatting>
  <conditionalFormatting sqref="Z15:AD15">
    <cfRule type="expression" dxfId="709" priority="42">
      <formula>$Z$15&lt;&gt;""</formula>
    </cfRule>
  </conditionalFormatting>
  <conditionalFormatting sqref="M11:N16 M19:N19 M22:N23 B33:D33">
    <cfRule type="expression" dxfId="708" priority="39" stopIfTrue="1">
      <formula>$O$69=TRUE</formula>
    </cfRule>
  </conditionalFormatting>
  <conditionalFormatting sqref="M10:N10">
    <cfRule type="expression" dxfId="707" priority="37">
      <formula>$O$69=TRUE</formula>
    </cfRule>
  </conditionalFormatting>
  <conditionalFormatting sqref="L16 A16:B16 O16 I16 G16">
    <cfRule type="expression" dxfId="706" priority="35">
      <formula>$O$1=2</formula>
    </cfRule>
  </conditionalFormatting>
  <conditionalFormatting sqref="M16:N16 J16:K16">
    <cfRule type="expression" dxfId="705" priority="34">
      <formula>$O$1=2</formula>
    </cfRule>
  </conditionalFormatting>
  <conditionalFormatting sqref="A65:O67">
    <cfRule type="expression" dxfId="704" priority="1844">
      <formula>OR($J$22&lt;&gt;0,$M$22&lt;&gt;0)</formula>
    </cfRule>
  </conditionalFormatting>
  <conditionalFormatting sqref="A48:O55">
    <cfRule type="expression" dxfId="703" priority="1846">
      <formula>$M$13&lt;&gt;0</formula>
    </cfRule>
    <cfRule type="expression" dxfId="702" priority="1847">
      <formula>$J$13&lt;&gt;0</formula>
    </cfRule>
  </conditionalFormatting>
  <conditionalFormatting sqref="C38:M38">
    <cfRule type="expression" dxfId="701" priority="1850">
      <formula>OR(AND($J$25&lt;&gt;0,$M$25&lt;&gt;0,$J$25&lt;$M$25,$N$69=FALSE,$F$29&gt;0), AND($J$25&lt;&gt;0,$M$25&lt;&gt;0,$J$25&lt;$M$25,$N$69=TRUE,$F$29&gt;12),AND($J$25&lt;&gt;0,$M$25&lt;&gt;0,$J$25&lt;$M$25,$F$29&gt;12),AND($J$25&lt;&gt;0,$M$25&lt;&gt;0,$J$25&gt;$M$25,$F$29&lt;&gt;$G$33,$F$29&lt;&gt;""),AND($J$25&lt;&gt;0,$M$25&lt;&gt;0,$M$25=$J$25,$F$29&gt;12,$F$29&lt;&gt;"",$N$69=TRUE),AND($J$25&lt;&gt;0,$M$25&lt;&gt;0,$M$25=$J$25,$F$29&lt;&gt;$G$33,$F$29&lt;&gt;"",$N$69=FALSE),AND($J$25&lt;&gt;0,$M$25&lt;&gt;0,$J$25&gt;$M$25,$N$69=TRUE),AND($J$25&lt;&gt;0,$M$25&lt;&gt;$J$25&lt;$M$25,$F$29&lt;&gt;"",$N$69=FALSE),AND($J$25&lt;&gt;0,$M$25&lt;&gt;0,$J$25=$M$25,$F$29=12,$F$29&lt;&gt;"",$N$69=FALSE),AND($J$25&lt;&gt;0,$M$25&lt;&gt;0,$J$25=$M$25,$F$29=$G$33,$F$29&lt;&gt;"",$F$29&lt;&gt;12,$N$69=TRUE),AND($J$25&lt;&gt;0,$M$25&lt;&gt;0,$J$25&lt;$M$25,$F$29&lt;&gt;"",$N$69&lt;&gt;TRUE))</formula>
    </cfRule>
  </conditionalFormatting>
  <conditionalFormatting sqref="E33">
    <cfRule type="expression" dxfId="700" priority="1854">
      <formula>AND($E$33="",$F$33&lt;&gt;"")</formula>
    </cfRule>
  </conditionalFormatting>
  <conditionalFormatting sqref="A10">
    <cfRule type="expression" dxfId="699" priority="1862">
      <formula>$O$68=TRUE</formula>
    </cfRule>
  </conditionalFormatting>
  <conditionalFormatting sqref="A11:H15 A22:I22 A23:G23 A17:H18 A16:B16 G16 A20:H21 A19:B19 F19">
    <cfRule type="expression" dxfId="698" priority="1871">
      <formula>$O$68=TRUE</formula>
    </cfRule>
  </conditionalFormatting>
  <conditionalFormatting sqref="U39:AJ40">
    <cfRule type="expression" dxfId="697" priority="23">
      <formula>$U$39="No Change"</formula>
    </cfRule>
    <cfRule type="expression" dxfId="696" priority="24">
      <formula>AND(N1="FHA",X36&lt;&gt;0,Z28&lt;&gt;0,Z28&lt;X36)</formula>
    </cfRule>
    <cfRule type="expression" dxfId="695" priority="33">
      <formula>AND(N1="FHA",X36&lt;&gt;0,Z28&lt;&gt;0,Z28&gt;X36)</formula>
    </cfRule>
  </conditionalFormatting>
  <conditionalFormatting sqref="U41:AK42">
    <cfRule type="expression" dxfId="694" priority="25">
      <formula>$U$41="No Change"</formula>
    </cfRule>
    <cfRule type="expression" dxfId="693" priority="26">
      <formula>AND(N1="FHA",X36&lt;&gt;0,Z28&lt;&gt;0,AF28&lt;&gt;0,AF28&lt;X36)</formula>
    </cfRule>
    <cfRule type="expression" dxfId="692" priority="32">
      <formula>AND(N1="FHA",X36&lt;&gt;0,Z28&lt;&gt;0,AF28&lt;&gt;0,AF28&gt;X36)</formula>
    </cfRule>
  </conditionalFormatting>
  <conditionalFormatting sqref="U43:AK43">
    <cfRule type="expression" dxfId="691" priority="28">
      <formula>$U$43="No Change"</formula>
    </cfRule>
    <cfRule type="expression" dxfId="690" priority="30">
      <formula>AND(N1="FHA",X36&lt;&gt;0,Z28&lt;&gt;0,AF28&lt;&gt;0,Z28&lt;AD36)</formula>
    </cfRule>
    <cfRule type="expression" dxfId="689" priority="31">
      <formula>AND(N1="FHA",X36&lt;&gt;0,Z28&lt;&gt;0,AF28&lt;&gt;0,Z28&gt;AD36)</formula>
    </cfRule>
  </conditionalFormatting>
  <conditionalFormatting sqref="AD36:AI36">
    <cfRule type="expression" dxfId="688" priority="22">
      <formula>$AD$35=""</formula>
    </cfRule>
  </conditionalFormatting>
  <conditionalFormatting sqref="AD35:AI35">
    <cfRule type="expression" dxfId="687" priority="21">
      <formula>$AF$28=0</formula>
    </cfRule>
  </conditionalFormatting>
  <conditionalFormatting sqref="V36:W36">
    <cfRule type="expression" dxfId="686" priority="20">
      <formula>$V$35=""</formula>
    </cfRule>
  </conditionalFormatting>
  <conditionalFormatting sqref="K2:M2">
    <cfRule type="expression" dxfId="685" priority="2338">
      <formula>AND($M$69=TRUE,$N$2&lt;&gt;"")</formula>
    </cfRule>
    <cfRule type="expression" dxfId="684" priority="2339">
      <formula>AND($M$69=TRUE,$N$2="")</formula>
    </cfRule>
  </conditionalFormatting>
  <conditionalFormatting sqref="K3">
    <cfRule type="expression" dxfId="683" priority="2340">
      <formula>AND($M$69=TRUE,$N$2&lt;&gt;"")</formula>
    </cfRule>
    <cfRule type="expression" dxfId="682" priority="2341">
      <formula>AND($M$69=TRUE,$N$2="")</formula>
    </cfRule>
  </conditionalFormatting>
  <conditionalFormatting sqref="N2:N3">
    <cfRule type="expression" dxfId="681" priority="2346">
      <formula>$M$69=TRUE</formula>
    </cfRule>
  </conditionalFormatting>
  <conditionalFormatting sqref="K4:O4">
    <cfRule type="expression" dxfId="680" priority="9">
      <formula>AND($N$1&lt;&gt;"Conventional",$N$1&lt;&gt;"Other")</formula>
    </cfRule>
  </conditionalFormatting>
  <conditionalFormatting sqref="F19:G19">
    <cfRule type="expression" dxfId="679" priority="8">
      <formula>$J$19&lt;&gt;""</formula>
    </cfRule>
  </conditionalFormatting>
  <conditionalFormatting sqref="A57:O57">
    <cfRule type="expression" dxfId="678" priority="6">
      <formula>$M$13&lt;&gt;0</formula>
    </cfRule>
    <cfRule type="expression" dxfId="677" priority="7">
      <formula>$J$13&lt;&gt;0</formula>
    </cfRule>
  </conditionalFormatting>
  <conditionalFormatting sqref="K2:N3">
    <cfRule type="expression" dxfId="676" priority="1">
      <formula>AND($N$1&lt;&gt;"Conventional",$N$1&lt;&gt;"Other")</formula>
    </cfRule>
  </conditionalFormatting>
  <conditionalFormatting sqref="L3:M3">
    <cfRule type="expression" dxfId="675" priority="2">
      <formula>AND($M$69=TRUE,$N$2&lt;&gt;"")</formula>
    </cfRule>
    <cfRule type="expression" dxfId="674" priority="3">
      <formula>AND($M$69=TRUE,$N$2="")</formula>
    </cfRule>
  </conditionalFormatting>
  <dataValidations disablePrompts="1" count="3">
    <dataValidation type="decimal" operator="greaterThanOrEqual" allowBlank="1" showInputMessage="1" showErrorMessage="1" errorTitle="Invalid Entry" error="A negative figure cannot be entered in this field.  The worksheet subtracts any amount entered in this field as it is for nonrecurring income that should be backed out of the cash flow. Please see worksheet instruction *" sqref="J13:K13" xr:uid="{00000000-0002-0000-0F00-000000000000}">
      <formula1>0</formula1>
    </dataValidation>
    <dataValidation type="decimal" operator="greaterThanOrEqual" allowBlank="1" showInputMessage="1" showErrorMessage="1" errorTitle="Invalid Entry" error="A negative figure cannot be entered in this field.  The worksheet subtracts any amount entered in this field as it is for nonrecurring income that should be backed out of the cash flow. Please see worksheet instruction *_x000a_" sqref="M13:N13" xr:uid="{00000000-0002-0000-0F00-000001000000}">
      <formula1>0</formula1>
    </dataValidation>
    <dataValidation type="list" allowBlank="1" showInputMessage="1" showErrorMessage="1" sqref="N2:N3" xr:uid="{3731BEBA-D08E-4D8A-9F5C-AD53A07FBEE2}">
      <formula1>$AM$1:$AM$3</formula1>
    </dataValidation>
  </dataValidations>
  <hyperlinks>
    <hyperlink ref="B58" r:id="rId2" xr:uid="{73A4B37A-BE87-4280-A42C-FB61A55B6707}"/>
    <hyperlink ref="M3" r:id="rId3" location="N" xr:uid="{0F0383A7-E519-4A4C-A442-2953ED8855DA}"/>
    <hyperlink ref="L3" r:id="rId4" location="P2131" xr:uid="{8C87EDAD-B289-4C8C-AB12-A8DE91D2B61F}"/>
  </hyperlinks>
  <printOptions horizontalCentered="1"/>
  <pageMargins left="0.25" right="0.25" top="0.25" bottom="0.25" header="0.3" footer="0.3"/>
  <pageSetup paperSize="5" scale="95" fitToWidth="0"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altText="Exclude 2011 from Total Adjusted Income and Monthly Business Income Below">
                <anchor moveWithCells="1">
                  <from>
                    <xdr:col>2</xdr:col>
                    <xdr:colOff>30480</xdr:colOff>
                    <xdr:row>24</xdr:row>
                    <xdr:rowOff>60960</xdr:rowOff>
                  </from>
                  <to>
                    <xdr:col>8</xdr:col>
                    <xdr:colOff>68580</xdr:colOff>
                    <xdr:row>26</xdr:row>
                    <xdr:rowOff>68580</xdr:rowOff>
                  </to>
                </anchor>
              </controlPr>
            </control>
          </mc:Choice>
        </mc:AlternateContent>
        <mc:AlternateContent xmlns:mc="http://schemas.openxmlformats.org/markup-compatibility/2006">
          <mc:Choice Requires="x14">
            <control shapeId="3074" r:id="rId9" name="Check Box 2">
              <controlPr defaultSize="0" autoFill="0" autoLine="0" autoPict="0">
                <anchor moveWithCells="1">
                  <from>
                    <xdr:col>11</xdr:col>
                    <xdr:colOff>38100</xdr:colOff>
                    <xdr:row>35</xdr:row>
                    <xdr:rowOff>22860</xdr:rowOff>
                  </from>
                  <to>
                    <xdr:col>13</xdr:col>
                    <xdr:colOff>0</xdr:colOff>
                    <xdr:row>36</xdr:row>
                    <xdr:rowOff>45720</xdr:rowOff>
                  </to>
                </anchor>
              </controlPr>
            </control>
          </mc:Choice>
        </mc:AlternateContent>
        <mc:AlternateContent xmlns:mc="http://schemas.openxmlformats.org/markup-compatibility/2006">
          <mc:Choice Requires="x14">
            <control shapeId="3099" r:id="rId10" name="Check Box 27">
              <controlPr defaultSize="0" autoFill="0" autoLine="0" autoPict="0">
                <anchor moveWithCells="1">
                  <from>
                    <xdr:col>10</xdr:col>
                    <xdr:colOff>83820</xdr:colOff>
                    <xdr:row>3</xdr:row>
                    <xdr:rowOff>205740</xdr:rowOff>
                  </from>
                  <to>
                    <xdr:col>10</xdr:col>
                    <xdr:colOff>289560</xdr:colOff>
                    <xdr:row>4</xdr:row>
                    <xdr:rowOff>0</xdr:rowOff>
                  </to>
                </anchor>
              </controlPr>
            </control>
          </mc:Choice>
        </mc:AlternateContent>
        <mc:AlternateContent xmlns:mc="http://schemas.openxmlformats.org/markup-compatibility/2006">
          <mc:Choice Requires="x14">
            <control shapeId="3100" r:id="rId11" name="Check Box 28">
              <controlPr defaultSize="0" autoFill="0" autoLine="0" autoPict="0">
                <anchor moveWithCells="1">
                  <from>
                    <xdr:col>10</xdr:col>
                    <xdr:colOff>83820</xdr:colOff>
                    <xdr:row>3</xdr:row>
                    <xdr:rowOff>7620</xdr:rowOff>
                  </from>
                  <to>
                    <xdr:col>10</xdr:col>
                    <xdr:colOff>289560</xdr:colOff>
                    <xdr:row>3</xdr:row>
                    <xdr:rowOff>205740</xdr:rowOff>
                  </to>
                </anchor>
              </controlPr>
            </control>
          </mc:Choice>
        </mc:AlternateContent>
        <mc:AlternateContent xmlns:mc="http://schemas.openxmlformats.org/markup-compatibility/2006">
          <mc:Choice Requires="x14">
            <control shapeId="3104" r:id="rId12" name="Button 32">
              <controlPr defaultSize="0" print="0" autoFill="0" autoPict="0" macro="[0]!IW_Copy">
                <anchor moveWithCells="1" sizeWithCells="1">
                  <from>
                    <xdr:col>1</xdr:col>
                    <xdr:colOff>137160</xdr:colOff>
                    <xdr:row>0</xdr:row>
                    <xdr:rowOff>7620</xdr:rowOff>
                  </from>
                  <to>
                    <xdr:col>2</xdr:col>
                    <xdr:colOff>152400</xdr:colOff>
                    <xdr:row>1</xdr:row>
                    <xdr:rowOff>114300</xdr:rowOff>
                  </to>
                </anchor>
              </controlPr>
            </control>
          </mc:Choice>
        </mc:AlternateContent>
        <mc:AlternateContent xmlns:mc="http://schemas.openxmlformats.org/markup-compatibility/2006">
          <mc:Choice Requires="x14">
            <control shapeId="3105" r:id="rId13" name="Button 33">
              <controlPr defaultSize="0" print="0" autoFill="0" autoPict="0" macro="[0]!IW_Home">
                <anchor moveWithCells="1" sizeWithCells="1">
                  <from>
                    <xdr:col>0</xdr:col>
                    <xdr:colOff>0</xdr:colOff>
                    <xdr:row>0</xdr:row>
                    <xdr:rowOff>7620</xdr:rowOff>
                  </from>
                  <to>
                    <xdr:col>1</xdr:col>
                    <xdr:colOff>83820</xdr:colOff>
                    <xdr:row>1</xdr:row>
                    <xdr:rowOff>114300</xdr:rowOff>
                  </to>
                </anchor>
              </controlPr>
            </control>
          </mc:Choice>
        </mc:AlternateContent>
        <mc:AlternateContent xmlns:mc="http://schemas.openxmlformats.org/markup-compatibility/2006">
          <mc:Choice Requires="x14">
            <control shapeId="3106" r:id="rId14" name="Button 34">
              <controlPr defaultSize="0" print="0" autoFill="0" autoPict="0" macro="[0]!SchC_Clear">
                <anchor moveWithCells="1" sizeWithCells="1">
                  <from>
                    <xdr:col>2</xdr:col>
                    <xdr:colOff>205740</xdr:colOff>
                    <xdr:row>0</xdr:row>
                    <xdr:rowOff>7620</xdr:rowOff>
                  </from>
                  <to>
                    <xdr:col>3</xdr:col>
                    <xdr:colOff>381000</xdr:colOff>
                    <xdr:row>1</xdr:row>
                    <xdr:rowOff>114300</xdr:rowOff>
                  </to>
                </anchor>
              </controlPr>
            </control>
          </mc:Choice>
        </mc:AlternateContent>
        <mc:AlternateContent xmlns:mc="http://schemas.openxmlformats.org/markup-compatibility/2006">
          <mc:Choice Requires="x14">
            <control shapeId="3107" r:id="rId15" name="Button 35">
              <controlPr defaultSize="0" print="0" autoFill="0" autoPict="0" macro="[0]!SchC_OmidHide">
                <anchor moveWithCells="1" sizeWithCells="1">
                  <from>
                    <xdr:col>0</xdr:col>
                    <xdr:colOff>7620</xdr:colOff>
                    <xdr:row>1</xdr:row>
                    <xdr:rowOff>160020</xdr:rowOff>
                  </from>
                  <to>
                    <xdr:col>2</xdr:col>
                    <xdr:colOff>60960</xdr:colOff>
                    <xdr:row>1</xdr:row>
                    <xdr:rowOff>457200</xdr:rowOff>
                  </to>
                </anchor>
              </controlPr>
            </control>
          </mc:Choice>
        </mc:AlternateContent>
        <mc:AlternateContent xmlns:mc="http://schemas.openxmlformats.org/markup-compatibility/2006">
          <mc:Choice Requires="x14">
            <control shapeId="3108" r:id="rId16" name="Check Box 36">
              <controlPr defaultSize="0" autoFill="0" autoLine="0" autoPict="0" macro="[0]!SchC_ShowHidePL">
                <anchor moveWithCells="1">
                  <from>
                    <xdr:col>0</xdr:col>
                    <xdr:colOff>0</xdr:colOff>
                    <xdr:row>36</xdr:row>
                    <xdr:rowOff>22860</xdr:rowOff>
                  </from>
                  <to>
                    <xdr:col>0</xdr:col>
                    <xdr:colOff>152400</xdr:colOff>
                    <xdr:row>37</xdr:row>
                    <xdr:rowOff>53340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AD626-F18D-4703-A4F0-ADF6DB823E56}">
  <sheetPr codeName="Sheet7">
    <tabColor theme="3" tint="0.79998168889431442"/>
  </sheetPr>
  <dimension ref="A1:AN138"/>
  <sheetViews>
    <sheetView showGridLines="0" showRowColHeaders="0" showRuler="0" view="pageLayout" zoomScale="90" zoomScaleNormal="100" zoomScalePageLayoutView="90" workbookViewId="0">
      <selection activeCell="D6" sqref="D6:H6"/>
      <extLst>
        <ext xmlns:xlsdti="http://schemas.microsoft.com/office/spreadsheetml/2023/showDataTypeIcons" uri="{77bfe23e-c014-4d31-8a63-9c772dbf06b6}">
          <xlsdti:showDataTypeIcons visible="0"/>
        </ext>
      </extLst>
    </sheetView>
  </sheetViews>
  <sheetFormatPr defaultColWidth="9.109375" defaultRowHeight="14.4" x14ac:dyDescent="0.3"/>
  <cols>
    <col min="1" max="1" width="6.33203125" style="15" customWidth="1"/>
    <col min="2" max="2" width="5.88671875" customWidth="1"/>
    <col min="3" max="3" width="3.88671875" customWidth="1"/>
    <col min="5" max="6" width="9.109375" customWidth="1"/>
    <col min="7" max="7" width="14.21875" customWidth="1"/>
    <col min="8" max="8" width="10" customWidth="1"/>
    <col min="9" max="9" width="1.33203125" customWidth="1"/>
    <col min="10" max="11" width="8.5546875" customWidth="1"/>
    <col min="12" max="12" width="9.21875" customWidth="1"/>
    <col min="13" max="13" width="8.77734375" customWidth="1"/>
    <col min="14" max="14" width="8.44140625" customWidth="1"/>
    <col min="15" max="15" width="3.109375" customWidth="1"/>
    <col min="16" max="16" width="7.109375" hidden="1" customWidth="1"/>
    <col min="17" max="17" width="4.88671875" hidden="1" customWidth="1"/>
    <col min="18" max="18" width="4.21875" hidden="1" customWidth="1"/>
    <col min="19" max="19" width="10.6640625" hidden="1" customWidth="1"/>
    <col min="20" max="20" width="11.109375" hidden="1" customWidth="1"/>
    <col min="21" max="21" width="11.33203125" hidden="1" customWidth="1"/>
    <col min="22" max="22" width="6.44140625" hidden="1" customWidth="1"/>
    <col min="23" max="23" width="5.21875" hidden="1" customWidth="1"/>
    <col min="24" max="24" width="17.77734375" hidden="1" customWidth="1"/>
    <col min="25" max="25" width="1.21875" hidden="1" customWidth="1"/>
    <col min="26" max="26" width="1.109375" hidden="1" customWidth="1"/>
    <col min="27" max="27" width="6.88671875" hidden="1" customWidth="1"/>
    <col min="28" max="28" width="1.109375" hidden="1" customWidth="1"/>
    <col min="29" max="29" width="6.88671875" hidden="1" customWidth="1"/>
    <col min="30" max="30" width="1.109375" hidden="1" customWidth="1"/>
    <col min="31" max="31" width="6.6640625" hidden="1" customWidth="1"/>
    <col min="32" max="32" width="1.109375" hidden="1" customWidth="1"/>
    <col min="33" max="33" width="6.88671875" hidden="1" customWidth="1"/>
    <col min="34" max="34" width="1.109375" hidden="1" customWidth="1"/>
    <col min="35" max="35" width="6.88671875" hidden="1" customWidth="1"/>
    <col min="36" max="36" width="1.21875" hidden="1" customWidth="1"/>
    <col min="37" max="37" width="1.33203125" hidden="1" customWidth="1"/>
    <col min="38" max="38" width="18.5546875" hidden="1" customWidth="1"/>
    <col min="39" max="39" width="9.109375" hidden="1" customWidth="1"/>
    <col min="40" max="40" width="34" hidden="1" customWidth="1"/>
    <col min="41" max="41" width="23" customWidth="1"/>
  </cols>
  <sheetData>
    <row r="1" spans="1:39" ht="15" customHeight="1" x14ac:dyDescent="0.3">
      <c r="K1" s="544"/>
      <c r="L1" s="36"/>
      <c r="M1" s="36"/>
      <c r="N1" s="47">
        <f>'I&amp;D Worksheet'!J8</f>
        <v>0</v>
      </c>
      <c r="O1" s="47">
        <f>IF(OR(N1="VA",N1="FHA",N1="USDA"),2,1)</f>
        <v>1</v>
      </c>
      <c r="P1" s="15"/>
      <c r="Q1" s="1791"/>
      <c r="R1" s="1791"/>
      <c r="S1" s="1791"/>
      <c r="AL1" s="1155"/>
    </row>
    <row r="2" spans="1:39" ht="36" customHeight="1" x14ac:dyDescent="0.5">
      <c r="B2" s="354"/>
      <c r="C2" s="354"/>
      <c r="D2" s="354"/>
      <c r="E2" s="354"/>
      <c r="F2" s="1321" t="s">
        <v>31</v>
      </c>
      <c r="G2" s="1321"/>
      <c r="H2" s="1321"/>
      <c r="I2" s="1321"/>
      <c r="J2" s="1321"/>
      <c r="K2" s="1969" t="s">
        <v>1397</v>
      </c>
      <c r="L2" s="2011"/>
      <c r="M2" s="2011"/>
      <c r="N2" s="2082"/>
      <c r="O2" s="354"/>
      <c r="P2" s="1207" t="s">
        <v>803</v>
      </c>
      <c r="Q2" s="1207"/>
      <c r="R2" s="1207"/>
      <c r="S2" s="1207"/>
      <c r="T2" s="1207"/>
      <c r="U2" s="1207"/>
      <c r="V2" s="1207"/>
      <c r="W2" s="1207"/>
      <c r="X2" s="1207"/>
      <c r="Y2" s="1207"/>
      <c r="Z2" s="1207"/>
      <c r="AA2" s="1207"/>
      <c r="AB2" s="1207"/>
      <c r="AC2" s="1207"/>
      <c r="AD2" s="1207"/>
      <c r="AE2" s="1207"/>
      <c r="AF2" s="1207"/>
      <c r="AG2" s="1207"/>
      <c r="AH2" s="1207"/>
      <c r="AI2" s="1207"/>
      <c r="AJ2" s="1207"/>
      <c r="AK2" s="1207"/>
      <c r="AL2" s="1169" t="str">
        <f>IF(AND(OR(N1="Conventional",N1="Other"),M69=TRUE),"Yes, 1 yr returns confirmed","")</f>
        <v/>
      </c>
    </row>
    <row r="3" spans="1:39" ht="15" customHeight="1" x14ac:dyDescent="0.45">
      <c r="B3" s="355"/>
      <c r="C3" s="355"/>
      <c r="D3" s="355"/>
      <c r="E3" s="355"/>
      <c r="F3" s="1970" t="s">
        <v>32</v>
      </c>
      <c r="G3" s="1970"/>
      <c r="H3" s="1970"/>
      <c r="I3" s="1970"/>
      <c r="J3" s="1970"/>
      <c r="K3" s="1150" t="s">
        <v>1375</v>
      </c>
      <c r="L3" s="1171" t="s">
        <v>941</v>
      </c>
      <c r="M3" s="1172" t="s">
        <v>942</v>
      </c>
      <c r="N3" s="2082"/>
      <c r="O3" s="355"/>
      <c r="P3" s="1207"/>
      <c r="Q3" s="1207"/>
      <c r="R3" s="1207"/>
      <c r="S3" s="1207"/>
      <c r="T3" s="1207"/>
      <c r="U3" s="1207"/>
      <c r="V3" s="1207"/>
      <c r="W3" s="1207"/>
      <c r="X3" s="1207"/>
      <c r="Y3" s="1207"/>
      <c r="Z3" s="1207"/>
      <c r="AA3" s="1207"/>
      <c r="AB3" s="1207"/>
      <c r="AC3" s="1207"/>
      <c r="AD3" s="1207"/>
      <c r="AE3" s="1207"/>
      <c r="AF3" s="1207"/>
      <c r="AG3" s="1207"/>
      <c r="AH3" s="1207"/>
      <c r="AI3" s="1207"/>
      <c r="AJ3" s="1207"/>
      <c r="AK3" s="1207"/>
      <c r="AL3" s="1155" t="str">
        <f>IF(AND(OR(N1="Conventional",N1="Other"),M69=TRUE),"No","")</f>
        <v/>
      </c>
    </row>
    <row r="4" spans="1:39" ht="31.8" customHeight="1" x14ac:dyDescent="0.3">
      <c r="A4"/>
      <c r="F4" s="1970"/>
      <c r="G4" s="1970"/>
      <c r="H4" s="1970"/>
      <c r="I4" s="1970"/>
      <c r="J4" s="1970"/>
      <c r="K4" s="2050" t="s">
        <v>1236</v>
      </c>
      <c r="L4" s="1923"/>
      <c r="M4" s="1923"/>
      <c r="N4" s="1923"/>
      <c r="O4" s="8"/>
      <c r="P4" s="1791"/>
      <c r="Q4" s="1791"/>
      <c r="R4" s="1791"/>
      <c r="S4" s="1791"/>
      <c r="T4" s="1791"/>
      <c r="U4" s="1791"/>
      <c r="V4" s="1791"/>
      <c r="W4" s="1791"/>
      <c r="X4" s="1791"/>
      <c r="Y4" s="1791"/>
      <c r="Z4" s="1791"/>
      <c r="AD4" s="2"/>
      <c r="AE4" s="2"/>
      <c r="AF4" s="2"/>
      <c r="AG4" s="2"/>
      <c r="AH4" s="2"/>
      <c r="AI4" s="2"/>
      <c r="AJ4" s="2"/>
      <c r="AM4" s="476" t="s">
        <v>1391</v>
      </c>
    </row>
    <row r="5" spans="1:39" ht="7.2" customHeight="1" x14ac:dyDescent="0.3">
      <c r="A5"/>
      <c r="D5" s="2"/>
      <c r="E5" s="2"/>
      <c r="F5" s="2"/>
      <c r="G5" s="2"/>
      <c r="H5" s="2"/>
      <c r="I5" s="2"/>
      <c r="J5" s="1948" t="s">
        <v>1227</v>
      </c>
      <c r="K5" s="1948"/>
      <c r="L5" s="1948"/>
      <c r="M5" s="1948"/>
      <c r="N5" s="1948"/>
      <c r="O5" s="1948"/>
      <c r="S5" s="2"/>
      <c r="T5" s="2"/>
      <c r="U5" s="2"/>
      <c r="V5" s="2"/>
      <c r="W5" s="2"/>
      <c r="X5" s="2"/>
      <c r="Y5" s="2"/>
      <c r="Z5" s="2"/>
      <c r="AA5" s="2"/>
      <c r="AB5" s="2"/>
      <c r="AC5" s="2"/>
      <c r="AD5" s="2"/>
      <c r="AE5" s="2"/>
      <c r="AF5" s="2"/>
      <c r="AG5" s="2"/>
      <c r="AH5" s="2"/>
      <c r="AI5" s="2"/>
      <c r="AJ5" s="2"/>
    </row>
    <row r="6" spans="1:39" ht="15.6" x14ac:dyDescent="0.3">
      <c r="A6" s="1407" t="s">
        <v>37</v>
      </c>
      <c r="B6" s="1407"/>
      <c r="C6" s="1407"/>
      <c r="D6" s="1359"/>
      <c r="E6" s="1359"/>
      <c r="F6" s="1359"/>
      <c r="G6" s="1359"/>
      <c r="H6" s="1359"/>
      <c r="I6" s="53" t="str">
        <f>IF(D6="","",D6)</f>
        <v/>
      </c>
      <c r="J6" s="1948"/>
      <c r="K6" s="1948"/>
      <c r="L6" s="1948"/>
      <c r="M6" s="1948"/>
      <c r="N6" s="1948"/>
      <c r="O6" s="1948"/>
      <c r="P6" s="1407" t="s">
        <v>37</v>
      </c>
      <c r="Q6" s="1407"/>
      <c r="R6" s="1407"/>
      <c r="S6" s="1412" t="str">
        <f>IF(D6&lt;&gt;"",D6,"")</f>
        <v/>
      </c>
      <c r="T6" s="1412"/>
      <c r="U6" s="1412"/>
      <c r="V6" s="1412"/>
      <c r="W6" s="1412"/>
      <c r="X6" s="91"/>
      <c r="Y6" s="53"/>
      <c r="Z6" s="2"/>
      <c r="AA6" s="2"/>
      <c r="AB6" s="2"/>
      <c r="AC6" s="2"/>
      <c r="AD6" s="2"/>
      <c r="AE6" s="2"/>
      <c r="AF6" s="2"/>
      <c r="AG6" s="2"/>
      <c r="AH6" s="2"/>
      <c r="AI6" s="2"/>
      <c r="AJ6" s="2"/>
      <c r="AM6" s="1157" t="s">
        <v>1392</v>
      </c>
    </row>
    <row r="7" spans="1:39" ht="7.5" customHeight="1" x14ac:dyDescent="0.3">
      <c r="A7" s="4"/>
      <c r="B7" s="4"/>
      <c r="C7" s="4"/>
      <c r="D7" s="10"/>
      <c r="E7" s="10"/>
      <c r="F7" s="10"/>
      <c r="G7" s="10"/>
      <c r="H7" s="10"/>
      <c r="I7" s="2"/>
      <c r="J7" s="1948"/>
      <c r="K7" s="1948"/>
      <c r="L7" s="1948"/>
      <c r="M7" s="1948"/>
      <c r="N7" s="1948"/>
      <c r="O7" s="1948"/>
      <c r="P7" s="4"/>
      <c r="Q7" s="4"/>
      <c r="R7" s="4"/>
      <c r="S7" s="10"/>
      <c r="T7" s="10"/>
      <c r="U7" s="10"/>
      <c r="V7" s="10"/>
      <c r="W7" s="10"/>
      <c r="X7" s="10"/>
      <c r="Y7" s="2"/>
      <c r="Z7" s="2"/>
      <c r="AA7" s="2"/>
      <c r="AB7" s="2"/>
      <c r="AC7" s="2"/>
      <c r="AD7" s="2"/>
      <c r="AE7" s="2"/>
      <c r="AF7" s="2"/>
      <c r="AG7" s="2"/>
      <c r="AH7" s="2"/>
      <c r="AI7" s="2"/>
      <c r="AJ7" s="2"/>
    </row>
    <row r="8" spans="1:39" ht="15.6" x14ac:dyDescent="0.3">
      <c r="A8" s="1407" t="s">
        <v>35</v>
      </c>
      <c r="B8" s="1407"/>
      <c r="C8" s="1407"/>
      <c r="D8" s="1359"/>
      <c r="E8" s="1359"/>
      <c r="F8" s="1359"/>
      <c r="G8" s="1359"/>
      <c r="H8" s="1359"/>
      <c r="I8" s="46" t="str">
        <f>IF(D8="","",D8)</f>
        <v/>
      </c>
      <c r="J8" s="1969" t="s">
        <v>1292</v>
      </c>
      <c r="K8" s="1716"/>
      <c r="L8" s="1716"/>
      <c r="M8" s="1716"/>
      <c r="N8" s="1716"/>
      <c r="O8" s="1716"/>
      <c r="P8" s="1407" t="s">
        <v>35</v>
      </c>
      <c r="Q8" s="1407"/>
      <c r="R8" s="1407"/>
      <c r="S8" s="1412" t="str">
        <f>IF(D8&lt;&gt;"",D8,"")</f>
        <v/>
      </c>
      <c r="T8" s="1412"/>
      <c r="U8" s="1412"/>
      <c r="V8" s="1412"/>
      <c r="W8" s="1412"/>
      <c r="X8" s="91"/>
      <c r="Y8" s="2"/>
      <c r="Z8" s="46" t="str">
        <f>IF(S8="","",S8)</f>
        <v/>
      </c>
      <c r="AA8" s="46"/>
      <c r="AB8" s="46"/>
      <c r="AC8" s="46"/>
      <c r="AD8" s="2"/>
      <c r="AE8" s="2"/>
      <c r="AF8" s="2"/>
      <c r="AG8" s="2"/>
      <c r="AH8" s="2"/>
      <c r="AI8" s="2"/>
      <c r="AJ8" s="2"/>
    </row>
    <row r="9" spans="1:39" ht="14.4" customHeight="1" x14ac:dyDescent="0.3">
      <c r="A9"/>
      <c r="J9" s="1716"/>
      <c r="K9" s="1716"/>
      <c r="L9" s="1716"/>
      <c r="M9" s="1716"/>
      <c r="N9" s="1716"/>
      <c r="O9" s="1716"/>
      <c r="AG9" s="36">
        <f>AF10-2000</f>
        <v>25</v>
      </c>
    </row>
    <row r="10" spans="1:39" ht="18" x14ac:dyDescent="0.3">
      <c r="A10" s="2108" t="str">
        <f>IF(O69=TRUE," Total Adjusted Partnership Income (W2+K1+1065) form Vendor wkst:","Form 1040 &amp; W2's:")</f>
        <v>Form 1040 &amp; W2's:</v>
      </c>
      <c r="B10" s="2108"/>
      <c r="C10" s="2108"/>
      <c r="D10" s="2108"/>
      <c r="E10" s="2108"/>
      <c r="F10" s="2108"/>
      <c r="G10" s="2108"/>
      <c r="H10" s="2108"/>
      <c r="I10" s="2108"/>
      <c r="J10" s="1988">
        <v>2025</v>
      </c>
      <c r="K10" s="1988"/>
      <c r="L10" s="2"/>
      <c r="M10" s="1987">
        <f>J10-1</f>
        <v>2024</v>
      </c>
      <c r="N10" s="1987"/>
      <c r="P10" s="1174"/>
      <c r="Q10" s="1174"/>
      <c r="R10" s="2063" t="b">
        <v>0</v>
      </c>
      <c r="S10" s="1960" t="s">
        <v>1415</v>
      </c>
      <c r="T10" s="1960"/>
      <c r="U10" s="1960"/>
      <c r="V10" s="2"/>
      <c r="W10" s="2"/>
      <c r="X10" s="2"/>
      <c r="Y10" s="2"/>
      <c r="Z10" s="2041">
        <v>2026</v>
      </c>
      <c r="AA10" s="2041"/>
      <c r="AB10" s="2041"/>
      <c r="AC10" s="404" t="s">
        <v>816</v>
      </c>
      <c r="AD10" s="416"/>
      <c r="AE10" s="393"/>
      <c r="AF10" s="2042">
        <f>Z10-1</f>
        <v>2025</v>
      </c>
      <c r="AG10" s="2042"/>
      <c r="AH10" s="2042"/>
      <c r="AI10" s="436" t="s">
        <v>816</v>
      </c>
      <c r="AJ10" s="437"/>
    </row>
    <row r="11" spans="1:39" ht="15.6" x14ac:dyDescent="0.3">
      <c r="A11" s="4" t="s">
        <v>1</v>
      </c>
      <c r="B11" s="1701" t="s">
        <v>548</v>
      </c>
      <c r="C11" s="1701"/>
      <c r="D11" s="1701"/>
      <c r="E11" s="1701"/>
      <c r="F11" s="1701"/>
      <c r="G11" s="1701"/>
      <c r="H11" s="1701"/>
      <c r="I11" s="1701"/>
      <c r="J11" s="1957"/>
      <c r="K11" s="1957"/>
      <c r="L11" s="3"/>
      <c r="M11" s="1957"/>
      <c r="N11" s="1957"/>
      <c r="O11" s="3"/>
      <c r="P11" s="4"/>
      <c r="R11" s="2063"/>
      <c r="S11" s="2134" t="s">
        <v>1416</v>
      </c>
      <c r="T11" s="2134"/>
      <c r="U11" s="2134"/>
      <c r="V11" s="1419" t="s">
        <v>805</v>
      </c>
      <c r="W11" s="1419"/>
      <c r="X11" s="1419"/>
      <c r="Y11" s="186"/>
      <c r="Z11" s="2043">
        <v>46023</v>
      </c>
      <c r="AA11" s="2043"/>
      <c r="AB11" s="388"/>
      <c r="AC11" s="2043"/>
      <c r="AD11" s="2043"/>
      <c r="AE11" s="3"/>
      <c r="AF11" s="2044" t="str">
        <f>CONCATENATE("1/1/",AG9)</f>
        <v>1/1/25</v>
      </c>
      <c r="AG11" s="2044"/>
      <c r="AH11" s="388"/>
      <c r="AI11" s="2044" t="str">
        <f>CONCATENATE("12/31/",AG9)</f>
        <v>12/31/25</v>
      </c>
      <c r="AJ11" s="2044"/>
      <c r="AK11" s="3"/>
    </row>
    <row r="12" spans="1:39" ht="15.6" x14ac:dyDescent="0.3">
      <c r="A12" s="4" t="s">
        <v>2</v>
      </c>
      <c r="B12" s="1701" t="s">
        <v>1285</v>
      </c>
      <c r="C12" s="1701"/>
      <c r="D12" s="1701"/>
      <c r="E12" s="1701"/>
      <c r="F12" s="1701"/>
      <c r="G12" s="1701"/>
      <c r="H12" s="1701"/>
      <c r="I12" s="3" t="s">
        <v>14</v>
      </c>
      <c r="J12" s="1957"/>
      <c r="K12" s="1957"/>
      <c r="L12" s="12" t="s">
        <v>1289</v>
      </c>
      <c r="M12" s="1957"/>
      <c r="N12" s="1957"/>
      <c r="O12" s="3" t="s">
        <v>13</v>
      </c>
      <c r="P12" s="4"/>
      <c r="Q12" s="2"/>
      <c r="R12" s="2"/>
      <c r="S12" s="2"/>
      <c r="T12" s="2"/>
      <c r="U12" s="2"/>
      <c r="V12" s="2"/>
      <c r="W12" s="732">
        <f>YEAR(Z11)</f>
        <v>2026</v>
      </c>
      <c r="X12" s="2"/>
      <c r="Y12" s="3"/>
      <c r="Z12" s="6"/>
      <c r="AA12" s="2059" t="s">
        <v>97</v>
      </c>
      <c r="AB12" s="2059"/>
      <c r="AC12" s="2059"/>
      <c r="AD12" s="389"/>
      <c r="AE12" s="2"/>
      <c r="AF12" s="389"/>
      <c r="AG12" s="2059" t="s">
        <v>97</v>
      </c>
      <c r="AH12" s="2059"/>
      <c r="AI12" s="2059"/>
      <c r="AJ12" s="6"/>
      <c r="AK12" s="3"/>
    </row>
    <row r="13" spans="1:39" ht="15.6" customHeight="1" x14ac:dyDescent="0.3">
      <c r="A13" s="4" t="s">
        <v>3</v>
      </c>
      <c r="B13" s="2" t="s">
        <v>239</v>
      </c>
      <c r="C13" s="2080"/>
      <c r="D13" s="2080"/>
      <c r="E13" s="2080"/>
      <c r="F13" s="2080"/>
      <c r="G13" s="2080"/>
      <c r="H13" s="2"/>
      <c r="I13" s="3"/>
      <c r="J13" s="1957"/>
      <c r="K13" s="1957"/>
      <c r="L13" s="3"/>
      <c r="M13" s="1957"/>
      <c r="N13" s="1957"/>
      <c r="O13" s="3"/>
      <c r="Q13" s="2045" t="str">
        <f>IF(AND(AF36&lt;&gt;0,J47=0,M47&lt;&gt;0),"Most recent Filed returns must be entered in the left column on the 1065 Worksheet and year updated at top.",IF(AND(AF36&lt;&gt;0,AF10&lt;&gt;(J10+1)),"Error, Tax Years and P&amp;L years are not entered correctly; see the Instructions tab under P&amp;L's",IF(AND(AF36=0,Z36&lt;&gt;0,Z10&lt;&gt;(J10+1)),"Error, Tax Years and P&amp;L years are not entered correctly; see the Instructions tab under P&amp;L's","")))</f>
        <v/>
      </c>
      <c r="R13" s="2045"/>
      <c r="S13" s="2045"/>
      <c r="T13" s="2045"/>
      <c r="U13" s="2045"/>
      <c r="V13" s="401"/>
      <c r="W13" s="401"/>
      <c r="X13" s="2"/>
      <c r="Y13" s="3"/>
      <c r="Z13" s="6"/>
      <c r="AA13" s="2046" t="str">
        <f>IF(OR(Z11="",AC11=""),"=",CONCATENATE(ROUND(AC14,2)," Months"))</f>
        <v>=</v>
      </c>
      <c r="AB13" s="2046"/>
      <c r="AC13" s="2046"/>
      <c r="AE13" s="3"/>
      <c r="AF13" s="6"/>
      <c r="AG13" s="2046" t="str">
        <f>IF(OR(AF11="",AI11=""),"=",CONCATENATE(ROUND(AI14,2)," Months"))</f>
        <v>12 Months</v>
      </c>
      <c r="AH13" s="2046"/>
      <c r="AI13" s="2046"/>
      <c r="AK13" s="3"/>
    </row>
    <row r="14" spans="1:39" ht="7.5" customHeight="1" x14ac:dyDescent="0.3">
      <c r="A14" s="4"/>
      <c r="B14" s="2"/>
      <c r="C14" s="2"/>
      <c r="D14" s="2"/>
      <c r="E14" s="2"/>
      <c r="F14" s="2"/>
      <c r="G14" s="2"/>
      <c r="H14" s="2"/>
      <c r="I14" s="3"/>
      <c r="J14" s="11"/>
      <c r="K14" s="11"/>
      <c r="L14" s="3"/>
      <c r="M14" s="11"/>
      <c r="N14" s="11"/>
      <c r="O14" s="3"/>
      <c r="P14" s="401"/>
      <c r="Q14" s="2045"/>
      <c r="R14" s="2045"/>
      <c r="S14" s="2045"/>
      <c r="T14" s="2045"/>
      <c r="U14" s="2045"/>
      <c r="V14" s="401"/>
      <c r="W14" s="401"/>
      <c r="X14" s="2"/>
      <c r="Z14" s="11"/>
      <c r="AA14" s="220">
        <f>YEARFRAC(Z11,AC11+1,4)</f>
        <v>126</v>
      </c>
      <c r="AB14" s="394" t="str">
        <f>IF(OR(Z11="",AC11=""),"=",(ROUND(AC14,2)))</f>
        <v>=</v>
      </c>
      <c r="AC14" s="221">
        <f>AA14*12</f>
        <v>1512</v>
      </c>
      <c r="AD14" s="11"/>
      <c r="AE14" s="3"/>
      <c r="AF14" s="11"/>
      <c r="AG14" s="220">
        <f>YEARFRAC(AF11,AI11+1,4)</f>
        <v>1</v>
      </c>
      <c r="AH14" s="394">
        <f>IF(OR(AF11="",AI11=""),"=",(ROUND(AI14,2)))</f>
        <v>12</v>
      </c>
      <c r="AI14" s="221">
        <f>AG14*12</f>
        <v>12</v>
      </c>
      <c r="AJ14" s="11"/>
      <c r="AK14" s="3"/>
    </row>
    <row r="15" spans="1:39" ht="15.6" x14ac:dyDescent="0.3">
      <c r="A15" s="1398" t="s">
        <v>38</v>
      </c>
      <c r="B15" s="1398"/>
      <c r="C15" s="1398"/>
      <c r="D15" s="2"/>
      <c r="E15" s="2"/>
      <c r="F15" s="2136"/>
      <c r="G15" s="2136"/>
      <c r="H15" s="2136"/>
      <c r="I15" s="3"/>
      <c r="J15" s="11"/>
      <c r="K15" s="11"/>
      <c r="L15" s="3"/>
      <c r="M15" s="11"/>
      <c r="N15" s="11"/>
      <c r="O15" s="3"/>
      <c r="Q15" s="2045"/>
      <c r="R15" s="2045"/>
      <c r="S15" s="2045"/>
      <c r="T15" s="2045"/>
      <c r="U15" s="2045"/>
      <c r="Z15" s="1517" t="str">
        <f>IF(Z10&lt;&gt;W12,"Error: Years don’t match",IF(AND(AC11&lt;&gt;"",AC11&lt;Z11),"Error: &lt; 1 day",IF(AND(AB14&gt;12,AC11&lt;&gt;""),"Error: &gt; 12 Mo","")))</f>
        <v/>
      </c>
      <c r="AA15" s="1517"/>
      <c r="AB15" s="1517"/>
      <c r="AC15" s="1517"/>
      <c r="AD15" s="1517"/>
      <c r="AF15" s="1912" t="str">
        <f>IF(AND(AH14&gt;12,AI11&lt;&gt;""),"Error: &gt; 12 Mo","")</f>
        <v/>
      </c>
      <c r="AG15" s="1912"/>
      <c r="AH15" s="1912"/>
      <c r="AI15" s="1912"/>
      <c r="AJ15" s="1912"/>
    </row>
    <row r="16" spans="1:39" ht="15.6" customHeight="1" x14ac:dyDescent="0.3">
      <c r="A16" s="4" t="s">
        <v>4</v>
      </c>
      <c r="B16" s="1701" t="s">
        <v>1196</v>
      </c>
      <c r="C16" s="1701"/>
      <c r="D16" s="1701"/>
      <c r="E16" s="1701"/>
      <c r="F16" s="2136"/>
      <c r="G16" s="2136"/>
      <c r="H16" s="2136"/>
      <c r="I16" s="889"/>
      <c r="J16" s="1985"/>
      <c r="K16" s="1985"/>
      <c r="L16" s="3"/>
      <c r="M16" s="1985"/>
      <c r="N16" s="1985"/>
      <c r="O16" s="3"/>
      <c r="P16" s="2027" t="s">
        <v>804</v>
      </c>
      <c r="Q16" s="2027"/>
      <c r="R16" s="2027"/>
      <c r="S16" s="2027"/>
      <c r="T16" s="2"/>
      <c r="U16" s="2"/>
      <c r="V16" s="2"/>
      <c r="W16" s="2"/>
      <c r="X16" s="2"/>
      <c r="Y16" s="3"/>
      <c r="Z16" s="11"/>
      <c r="AA16" s="11"/>
      <c r="AB16" s="11"/>
      <c r="AC16" s="11"/>
      <c r="AD16" s="11"/>
      <c r="AE16" s="3"/>
      <c r="AF16" s="11"/>
      <c r="AG16" s="11"/>
      <c r="AH16" s="11"/>
      <c r="AI16" s="11"/>
      <c r="AJ16" s="11"/>
      <c r="AK16" s="3"/>
    </row>
    <row r="17" spans="1:37" ht="15.6" x14ac:dyDescent="0.3">
      <c r="A17" s="4" t="s">
        <v>5</v>
      </c>
      <c r="B17" s="1701" t="s">
        <v>33</v>
      </c>
      <c r="C17" s="1701"/>
      <c r="D17" s="1701"/>
      <c r="E17" s="1701"/>
      <c r="F17" s="2136"/>
      <c r="G17" s="2136"/>
      <c r="H17" s="2136"/>
      <c r="I17" s="889"/>
      <c r="J17" s="1985"/>
      <c r="K17" s="1985"/>
      <c r="L17" s="3"/>
      <c r="M17" s="1985"/>
      <c r="N17" s="1985"/>
      <c r="O17" s="3"/>
      <c r="P17" s="4" t="s">
        <v>1</v>
      </c>
      <c r="Q17" s="2" t="s">
        <v>811</v>
      </c>
      <c r="R17" s="2"/>
      <c r="S17" s="2"/>
      <c r="T17" s="2"/>
      <c r="U17" s="2"/>
      <c r="V17" s="2"/>
      <c r="W17" s="2"/>
      <c r="X17" s="2"/>
      <c r="Y17" s="3"/>
      <c r="Z17" s="2126"/>
      <c r="AA17" s="2126"/>
      <c r="AB17" s="2126"/>
      <c r="AC17" s="2126"/>
      <c r="AD17" s="2126"/>
      <c r="AE17" s="3"/>
      <c r="AF17" s="2126"/>
      <c r="AG17" s="2126"/>
      <c r="AH17" s="2126"/>
      <c r="AI17" s="2126"/>
      <c r="AJ17" s="2126"/>
      <c r="AK17" s="3"/>
    </row>
    <row r="18" spans="1:37" ht="15.6" x14ac:dyDescent="0.3">
      <c r="A18" s="4" t="s">
        <v>6</v>
      </c>
      <c r="B18" s="1701" t="s">
        <v>1063</v>
      </c>
      <c r="C18" s="1701"/>
      <c r="D18" s="1701"/>
      <c r="E18" s="1701"/>
      <c r="F18" s="1701"/>
      <c r="G18" s="1701"/>
      <c r="H18" s="1701"/>
      <c r="I18" s="3"/>
      <c r="J18" s="1985"/>
      <c r="K18" s="1985"/>
      <c r="L18" s="3"/>
      <c r="M18" s="1985"/>
      <c r="N18" s="1985"/>
      <c r="O18" s="3"/>
      <c r="P18" s="4"/>
      <c r="Q18" s="2130" t="s">
        <v>1093</v>
      </c>
      <c r="R18" s="2130"/>
      <c r="S18" s="2130"/>
      <c r="T18" s="2130"/>
      <c r="U18" s="2130"/>
      <c r="V18" s="2130"/>
      <c r="W18" s="2"/>
      <c r="X18" s="2"/>
      <c r="Y18" s="3"/>
      <c r="Z18" s="2127"/>
      <c r="AA18" s="2127"/>
      <c r="AB18" s="2127"/>
      <c r="AC18" s="2127"/>
      <c r="AD18" s="2127"/>
      <c r="AE18" s="3"/>
      <c r="AF18" s="2127"/>
      <c r="AG18" s="2127"/>
      <c r="AH18" s="2127"/>
      <c r="AI18" s="2127"/>
      <c r="AJ18" s="2127"/>
      <c r="AK18" s="3"/>
    </row>
    <row r="19" spans="1:37" ht="15.6" x14ac:dyDescent="0.3">
      <c r="A19" s="4" t="s">
        <v>7</v>
      </c>
      <c r="B19" s="2" t="s">
        <v>239</v>
      </c>
      <c r="C19" s="2080"/>
      <c r="D19" s="2080"/>
      <c r="E19" s="2080"/>
      <c r="F19" s="2080"/>
      <c r="G19" s="2080"/>
      <c r="H19" s="2"/>
      <c r="I19" s="3"/>
      <c r="J19" s="1957"/>
      <c r="K19" s="1957"/>
      <c r="L19" s="3"/>
      <c r="M19" s="1957"/>
      <c r="N19" s="1957"/>
      <c r="O19" s="3"/>
      <c r="P19" s="4" t="s">
        <v>2</v>
      </c>
      <c r="Q19" s="2" t="s">
        <v>239</v>
      </c>
      <c r="R19" s="2080"/>
      <c r="S19" s="2080"/>
      <c r="T19" s="2080"/>
      <c r="U19" s="2080"/>
      <c r="V19" s="2080"/>
      <c r="W19" s="2"/>
      <c r="X19" s="2"/>
      <c r="Y19" s="3"/>
      <c r="Z19" s="1917"/>
      <c r="AA19" s="1917"/>
      <c r="AB19" s="1917"/>
      <c r="AC19" s="1917"/>
      <c r="AD19" s="1917"/>
      <c r="AE19" s="3"/>
      <c r="AF19" s="1917"/>
      <c r="AG19" s="1917"/>
      <c r="AH19" s="1917"/>
      <c r="AI19" s="1917"/>
      <c r="AJ19" s="1917"/>
      <c r="AK19" s="3"/>
    </row>
    <row r="20" spans="1:37" ht="15.75" customHeight="1" thickBot="1" x14ac:dyDescent="0.35">
      <c r="A20" s="4" t="s">
        <v>8</v>
      </c>
      <c r="B20" s="1427" t="s">
        <v>267</v>
      </c>
      <c r="C20" s="1427"/>
      <c r="D20" s="1427"/>
      <c r="E20" s="1427"/>
      <c r="F20" s="1427"/>
      <c r="G20" s="1427"/>
      <c r="H20" s="1427"/>
      <c r="I20" s="3"/>
      <c r="J20" s="2128">
        <f>J11-J12+J13+J16+J17+J18+J19</f>
        <v>0</v>
      </c>
      <c r="K20" s="2128"/>
      <c r="L20" s="870">
        <f>J16+J17+J18+J19</f>
        <v>0</v>
      </c>
      <c r="M20" s="2128">
        <f>IF(N69=TRUE,0,M11-M12+M13+M16+M17+M18+M19)</f>
        <v>0</v>
      </c>
      <c r="N20" s="2128"/>
      <c r="O20" s="870">
        <f>M16+M17+M18+M19</f>
        <v>0</v>
      </c>
      <c r="P20" s="4" t="s">
        <v>3</v>
      </c>
      <c r="Q20" s="3" t="s">
        <v>267</v>
      </c>
      <c r="R20" s="3"/>
      <c r="S20" s="3"/>
      <c r="T20" s="3"/>
      <c r="U20" s="3"/>
      <c r="V20" s="3"/>
      <c r="W20" s="3"/>
      <c r="X20" s="3"/>
      <c r="Y20" s="3"/>
      <c r="Z20" s="2122">
        <f>Z17+Z19</f>
        <v>0</v>
      </c>
      <c r="AA20" s="2122"/>
      <c r="AB20" s="2122"/>
      <c r="AC20" s="2122"/>
      <c r="AD20" s="2122"/>
      <c r="AE20" s="3"/>
      <c r="AF20" s="2122">
        <f>AF17+AF19</f>
        <v>0</v>
      </c>
      <c r="AG20" s="2122"/>
      <c r="AH20" s="2122"/>
      <c r="AI20" s="2122"/>
      <c r="AJ20" s="2122"/>
      <c r="AK20" s="3"/>
    </row>
    <row r="21" spans="1:37" ht="10.5" customHeight="1" thickTop="1" x14ac:dyDescent="0.3">
      <c r="A21" s="4"/>
      <c r="B21" s="3"/>
      <c r="C21" s="3"/>
      <c r="D21" s="3"/>
      <c r="E21" s="3"/>
      <c r="F21" s="3"/>
      <c r="G21" s="3"/>
      <c r="H21" s="3"/>
      <c r="I21" s="3"/>
      <c r="J21" s="22"/>
      <c r="K21" s="22"/>
      <c r="L21" s="3"/>
      <c r="M21" s="22"/>
      <c r="N21" s="22"/>
      <c r="O21" s="3"/>
      <c r="P21" s="4"/>
      <c r="Q21" s="3"/>
      <c r="R21" s="3"/>
      <c r="S21" s="3"/>
      <c r="T21" s="3"/>
      <c r="U21" s="3"/>
      <c r="V21" s="3"/>
      <c r="W21" s="3"/>
      <c r="X21" s="3"/>
      <c r="Y21" s="3"/>
      <c r="Z21" s="22"/>
      <c r="AA21" s="22"/>
      <c r="AB21" s="22"/>
      <c r="AC21" s="22"/>
      <c r="AD21" s="22"/>
      <c r="AE21" s="3"/>
      <c r="AF21" s="22"/>
      <c r="AG21" s="22"/>
      <c r="AH21" s="22"/>
      <c r="AI21" s="22"/>
      <c r="AJ21" s="22"/>
      <c r="AK21" s="3"/>
    </row>
    <row r="22" spans="1:37" ht="15.75" customHeight="1" x14ac:dyDescent="0.4">
      <c r="B22" s="3"/>
      <c r="C22" s="2105" t="s">
        <v>467</v>
      </c>
      <c r="D22" s="2105"/>
      <c r="E22" s="2105"/>
      <c r="F22" s="2105"/>
      <c r="G22" s="2105"/>
      <c r="H22" s="2105"/>
      <c r="I22" s="2105"/>
      <c r="J22" s="2105"/>
      <c r="K22" s="2105"/>
      <c r="L22" s="2105"/>
      <c r="M22" s="2105"/>
      <c r="N22" s="3"/>
      <c r="O22" s="3"/>
      <c r="P22" s="15"/>
      <c r="Q22" s="3"/>
      <c r="R22" s="3"/>
      <c r="S22" s="3"/>
      <c r="T22" s="3"/>
      <c r="U22" s="3"/>
      <c r="V22" s="3"/>
      <c r="W22" s="3"/>
      <c r="X22" s="3"/>
      <c r="Y22" s="3"/>
      <c r="Z22" s="3"/>
      <c r="AA22" s="3"/>
      <c r="AB22" s="3"/>
      <c r="AC22" s="3"/>
      <c r="AD22" s="3"/>
      <c r="AE22" s="3"/>
      <c r="AF22" s="3"/>
      <c r="AG22" s="12"/>
      <c r="AH22" s="12"/>
      <c r="AI22" s="12"/>
      <c r="AJ22" s="3"/>
      <c r="AK22" s="3"/>
    </row>
    <row r="23" spans="1:37" ht="14.25" customHeight="1" x14ac:dyDescent="0.4">
      <c r="A23" s="1356" t="s">
        <v>300</v>
      </c>
      <c r="B23" s="1356"/>
      <c r="C23" s="1356"/>
      <c r="D23" s="1356"/>
      <c r="E23" s="1356"/>
      <c r="F23" s="1356"/>
      <c r="G23" s="1356"/>
      <c r="H23" s="1356"/>
      <c r="I23" s="1356"/>
      <c r="J23" s="1356"/>
      <c r="K23" s="1356"/>
      <c r="L23" s="1356"/>
      <c r="M23" s="1356"/>
      <c r="N23" s="1356"/>
      <c r="O23" s="1356"/>
      <c r="P23" s="56"/>
      <c r="Q23" s="56"/>
      <c r="R23" s="56"/>
      <c r="S23" s="56"/>
      <c r="T23" s="56"/>
      <c r="U23" s="56"/>
      <c r="V23" s="56"/>
      <c r="W23" s="56"/>
      <c r="X23" s="56"/>
      <c r="Y23" s="56"/>
      <c r="Z23" s="56"/>
      <c r="AA23" s="56"/>
      <c r="AB23" s="56"/>
      <c r="AC23" s="56"/>
      <c r="AD23" s="56"/>
      <c r="AE23" s="56"/>
      <c r="AF23" s="56"/>
      <c r="AG23" s="56"/>
      <c r="AH23" s="56"/>
      <c r="AI23" s="56"/>
      <c r="AJ23" s="56"/>
      <c r="AK23" s="56"/>
    </row>
    <row r="24" spans="1:37" ht="6.75" customHeight="1" x14ac:dyDescent="0.3">
      <c r="A24" s="4"/>
      <c r="B24" s="56"/>
      <c r="C24" s="56"/>
      <c r="D24" s="56"/>
      <c r="E24" s="56"/>
      <c r="F24" s="56"/>
      <c r="G24" s="56"/>
      <c r="H24" s="56"/>
      <c r="I24" s="56"/>
      <c r="J24" s="56"/>
      <c r="K24" s="56"/>
      <c r="L24" s="56"/>
      <c r="M24" s="56"/>
      <c r="N24" s="56"/>
      <c r="O24" s="56"/>
      <c r="P24" s="4"/>
      <c r="Q24" s="56"/>
      <c r="R24" s="56"/>
      <c r="S24" s="56"/>
      <c r="T24" s="56"/>
      <c r="U24" s="56"/>
      <c r="V24" s="56"/>
      <c r="W24" s="56"/>
      <c r="X24" s="56"/>
      <c r="Y24" s="56"/>
      <c r="Z24" s="56"/>
      <c r="AA24" s="56"/>
      <c r="AB24" s="56"/>
      <c r="AC24" s="56"/>
      <c r="AD24" s="56"/>
      <c r="AE24" s="56"/>
      <c r="AF24" s="56"/>
      <c r="AG24" s="56"/>
      <c r="AH24" s="56"/>
      <c r="AI24" s="56"/>
      <c r="AJ24" s="56"/>
      <c r="AK24" s="56"/>
    </row>
    <row r="25" spans="1:37" ht="15.6" x14ac:dyDescent="0.3">
      <c r="A25" s="1398" t="s">
        <v>34</v>
      </c>
      <c r="B25" s="1398"/>
      <c r="C25" s="1398"/>
      <c r="D25" s="2106" t="str">
        <f>IF(O1=2,"","(For Fannie, only complete lines 9-17 if ownership is 25% or Greater)")</f>
        <v>(For Fannie, only complete lines 9-17 if ownership is 25% or Greater)</v>
      </c>
      <c r="E25" s="2106"/>
      <c r="F25" s="2106"/>
      <c r="G25" s="2106"/>
      <c r="H25" s="2106"/>
      <c r="I25" s="2106"/>
      <c r="J25" s="375">
        <f>J26*-1</f>
        <v>0</v>
      </c>
      <c r="K25" s="11"/>
      <c r="L25" s="3"/>
      <c r="M25" s="375">
        <f>M26*-1</f>
        <v>0</v>
      </c>
      <c r="N25" s="11"/>
      <c r="O25" s="3"/>
      <c r="P25" s="1364" t="s">
        <v>810</v>
      </c>
      <c r="Q25" s="1398"/>
      <c r="R25" s="1398"/>
      <c r="S25" s="2"/>
      <c r="T25" s="2"/>
      <c r="U25" s="2"/>
      <c r="V25" s="2"/>
      <c r="W25" s="2"/>
      <c r="X25" s="2"/>
      <c r="Y25" s="3"/>
      <c r="Z25" s="375">
        <f>Z26*-1</f>
        <v>0</v>
      </c>
      <c r="AA25" s="375"/>
      <c r="AB25" s="375"/>
      <c r="AC25" s="375"/>
      <c r="AD25" s="11"/>
      <c r="AE25" s="3"/>
      <c r="AF25" s="375">
        <f>AF26*-1</f>
        <v>0</v>
      </c>
      <c r="AG25" s="375"/>
      <c r="AH25" s="375"/>
      <c r="AI25" s="375"/>
      <c r="AJ25" s="11"/>
      <c r="AK25" s="3"/>
    </row>
    <row r="26" spans="1:37" ht="15.6" x14ac:dyDescent="0.3">
      <c r="A26" s="4" t="s">
        <v>9</v>
      </c>
      <c r="B26" s="1701" t="s">
        <v>1231</v>
      </c>
      <c r="C26" s="1701"/>
      <c r="D26" s="1701"/>
      <c r="E26" s="1701"/>
      <c r="F26" s="1701"/>
      <c r="G26" s="1701"/>
      <c r="H26" s="1701"/>
      <c r="I26" s="3" t="s">
        <v>14</v>
      </c>
      <c r="J26" s="1985"/>
      <c r="K26" s="1985"/>
      <c r="L26" s="12" t="s">
        <v>1289</v>
      </c>
      <c r="M26" s="2123"/>
      <c r="N26" s="2123"/>
      <c r="O26" s="92" t="s">
        <v>13</v>
      </c>
      <c r="P26" s="4" t="s">
        <v>4</v>
      </c>
      <c r="Q26" s="1876" t="s">
        <v>807</v>
      </c>
      <c r="R26" s="1876"/>
      <c r="S26" s="1876"/>
      <c r="T26" s="1876"/>
      <c r="U26" s="1876"/>
      <c r="V26" s="1876"/>
      <c r="W26" s="1876"/>
      <c r="X26" s="1876"/>
      <c r="Y26" s="1876"/>
      <c r="Z26" s="1985"/>
      <c r="AA26" s="1985"/>
      <c r="AB26" s="1985"/>
      <c r="AC26" s="1985"/>
      <c r="AD26" s="1985"/>
      <c r="AE26" s="3"/>
      <c r="AF26" s="2123"/>
      <c r="AG26" s="2123"/>
      <c r="AH26" s="2123"/>
      <c r="AI26" s="2123"/>
      <c r="AJ26" s="2123"/>
      <c r="AK26" s="12"/>
    </row>
    <row r="27" spans="1:37" ht="15.6" x14ac:dyDescent="0.3">
      <c r="A27" s="4" t="s">
        <v>10</v>
      </c>
      <c r="B27" s="1701" t="s">
        <v>756</v>
      </c>
      <c r="C27" s="1701"/>
      <c r="D27" s="1701"/>
      <c r="E27" s="1701"/>
      <c r="F27" s="1701"/>
      <c r="G27" s="1701"/>
      <c r="H27" s="1701"/>
      <c r="I27" s="3" t="s">
        <v>14</v>
      </c>
      <c r="J27" s="1985"/>
      <c r="K27" s="1985"/>
      <c r="L27" s="12" t="s">
        <v>1289</v>
      </c>
      <c r="M27" s="1985"/>
      <c r="N27" s="1985"/>
      <c r="O27" s="92" t="s">
        <v>13</v>
      </c>
      <c r="P27" s="4" t="s">
        <v>5</v>
      </c>
      <c r="Q27" s="1701" t="s">
        <v>792</v>
      </c>
      <c r="R27" s="1701"/>
      <c r="S27" s="1701"/>
      <c r="T27" s="1701"/>
      <c r="U27" s="1701"/>
      <c r="V27" s="1701"/>
      <c r="W27" s="1701"/>
      <c r="X27" s="2"/>
      <c r="Y27" s="3"/>
      <c r="Z27" s="1985"/>
      <c r="AA27" s="1985"/>
      <c r="AB27" s="1985"/>
      <c r="AC27" s="1985"/>
      <c r="AD27" s="1985"/>
      <c r="AE27" s="3"/>
      <c r="AF27" s="1985"/>
      <c r="AG27" s="1985"/>
      <c r="AH27" s="1985"/>
      <c r="AI27" s="1985"/>
      <c r="AJ27" s="1985"/>
      <c r="AK27" s="12"/>
    </row>
    <row r="28" spans="1:37" ht="15.6" x14ac:dyDescent="0.3">
      <c r="A28" s="4" t="s">
        <v>11</v>
      </c>
      <c r="B28" s="1701" t="s">
        <v>252</v>
      </c>
      <c r="C28" s="1701"/>
      <c r="D28" s="1701"/>
      <c r="E28" s="1701"/>
      <c r="F28" s="1701"/>
      <c r="G28" s="1701"/>
      <c r="H28" s="1701"/>
      <c r="I28" s="3"/>
      <c r="J28" s="1985"/>
      <c r="K28" s="1985"/>
      <c r="L28" s="3"/>
      <c r="M28" s="1985"/>
      <c r="N28" s="1985"/>
      <c r="O28" s="92"/>
      <c r="P28" s="4" t="s">
        <v>6</v>
      </c>
      <c r="Q28" s="1701" t="s">
        <v>806</v>
      </c>
      <c r="R28" s="1701"/>
      <c r="S28" s="1701"/>
      <c r="T28" s="1701"/>
      <c r="U28" s="1701"/>
      <c r="V28" s="1701"/>
      <c r="W28" s="1701"/>
      <c r="X28" s="2"/>
      <c r="Y28" s="3"/>
      <c r="Z28" s="1985"/>
      <c r="AA28" s="1985"/>
      <c r="AB28" s="1985"/>
      <c r="AC28" s="1985"/>
      <c r="AD28" s="1985"/>
      <c r="AE28" s="3"/>
      <c r="AF28" s="1985"/>
      <c r="AG28" s="1985"/>
      <c r="AH28" s="1985"/>
      <c r="AI28" s="1985"/>
      <c r="AJ28" s="1985"/>
      <c r="AK28" s="3"/>
    </row>
    <row r="29" spans="1:37" ht="15.6" x14ac:dyDescent="0.3">
      <c r="A29" s="4" t="s">
        <v>29</v>
      </c>
      <c r="B29" s="1701" t="s">
        <v>36</v>
      </c>
      <c r="C29" s="1701"/>
      <c r="D29" s="1701"/>
      <c r="E29" s="1701"/>
      <c r="F29" s="1701"/>
      <c r="G29" s="1701"/>
      <c r="H29" s="1701"/>
      <c r="I29" s="3"/>
      <c r="J29" s="1985"/>
      <c r="K29" s="1985"/>
      <c r="L29" s="3"/>
      <c r="M29" s="1985"/>
      <c r="N29" s="1985"/>
      <c r="O29" s="92"/>
      <c r="P29" s="4" t="s">
        <v>7</v>
      </c>
      <c r="Q29" s="2" t="s">
        <v>239</v>
      </c>
      <c r="R29" s="2031"/>
      <c r="S29" s="2031"/>
      <c r="T29" s="2031"/>
      <c r="U29" s="2031"/>
      <c r="V29" s="2031"/>
      <c r="W29" s="2"/>
      <c r="X29" s="2"/>
      <c r="Y29" s="3"/>
      <c r="Z29" s="1985"/>
      <c r="AA29" s="1985"/>
      <c r="AB29" s="1985"/>
      <c r="AC29" s="1985"/>
      <c r="AD29" s="1985"/>
      <c r="AE29" s="3"/>
      <c r="AF29" s="1985"/>
      <c r="AG29" s="1985"/>
      <c r="AH29" s="1985"/>
      <c r="AI29" s="1985"/>
      <c r="AJ29" s="1985"/>
      <c r="AK29" s="3"/>
    </row>
    <row r="30" spans="1:37" ht="15.6" x14ac:dyDescent="0.3">
      <c r="A30" s="4" t="s">
        <v>39</v>
      </c>
      <c r="B30" s="1701" t="s">
        <v>259</v>
      </c>
      <c r="C30" s="1701"/>
      <c r="D30" s="1701"/>
      <c r="E30" s="1701"/>
      <c r="F30" s="1701"/>
      <c r="G30" s="1701"/>
      <c r="H30" s="1701"/>
      <c r="I30" s="1701"/>
      <c r="J30" s="2104"/>
      <c r="K30" s="2104"/>
      <c r="L30" s="212" t="s">
        <v>257</v>
      </c>
      <c r="M30" s="2104"/>
      <c r="N30" s="2104"/>
      <c r="O30" s="213" t="s">
        <v>257</v>
      </c>
      <c r="P30" s="4" t="s">
        <v>8</v>
      </c>
      <c r="Q30" s="2" t="s">
        <v>239</v>
      </c>
      <c r="R30" s="2080"/>
      <c r="S30" s="2080"/>
      <c r="T30" s="2080"/>
      <c r="U30" s="2080"/>
      <c r="V30" s="2080"/>
      <c r="W30" s="2"/>
      <c r="X30" s="2"/>
      <c r="Y30" s="2"/>
      <c r="Z30" s="2104"/>
      <c r="AA30" s="2104"/>
      <c r="AB30" s="2104"/>
      <c r="AC30" s="2104"/>
      <c r="AD30" s="2104"/>
      <c r="AE30" s="212"/>
      <c r="AF30" s="2104"/>
      <c r="AG30" s="2104"/>
      <c r="AH30" s="2104"/>
      <c r="AI30" s="2104"/>
      <c r="AJ30" s="2104"/>
      <c r="AK30" s="212" t="s">
        <v>257</v>
      </c>
    </row>
    <row r="31" spans="1:37" ht="15.6" customHeight="1" x14ac:dyDescent="0.3">
      <c r="A31" s="4" t="s">
        <v>40</v>
      </c>
      <c r="B31" s="1701" t="s">
        <v>64</v>
      </c>
      <c r="C31" s="1701"/>
      <c r="D31" s="1701"/>
      <c r="E31" s="1701"/>
      <c r="F31" s="1701"/>
      <c r="G31" s="1701"/>
      <c r="H31" s="1701"/>
      <c r="I31" s="1228" t="s">
        <v>14</v>
      </c>
      <c r="J31" s="2096"/>
      <c r="K31" s="2096"/>
      <c r="L31" s="1228" t="s">
        <v>1290</v>
      </c>
      <c r="M31" s="2096"/>
      <c r="N31" s="2096"/>
      <c r="O31" s="1809" t="s">
        <v>13</v>
      </c>
      <c r="P31" s="23" t="s">
        <v>9</v>
      </c>
      <c r="Q31" s="1427" t="s">
        <v>41</v>
      </c>
      <c r="R31" s="1427"/>
      <c r="S31" s="1427"/>
      <c r="T31" s="1427"/>
      <c r="U31" s="1427"/>
      <c r="V31" s="1427"/>
      <c r="W31" s="1427"/>
      <c r="X31" s="3"/>
      <c r="Y31" s="3"/>
      <c r="Z31" s="2103">
        <f>Z26+Z27+Z28+Z29+Z30</f>
        <v>0</v>
      </c>
      <c r="AA31" s="2103"/>
      <c r="AB31" s="2103"/>
      <c r="AC31" s="2103"/>
      <c r="AD31" s="2103"/>
      <c r="AE31" s="3"/>
      <c r="AF31" s="2103">
        <f>AF26+AF27+AF28+AF29+AF30</f>
        <v>0</v>
      </c>
      <c r="AG31" s="2103"/>
      <c r="AH31" s="2103"/>
      <c r="AI31" s="2103"/>
      <c r="AJ31" s="2103"/>
      <c r="AK31" s="3"/>
    </row>
    <row r="32" spans="1:37" ht="7.8" customHeight="1" x14ac:dyDescent="0.3">
      <c r="A32" s="4"/>
      <c r="B32" s="2119" t="s">
        <v>254</v>
      </c>
      <c r="C32" s="2119"/>
      <c r="D32" s="2119"/>
      <c r="E32" s="2119"/>
      <c r="F32" s="2119"/>
      <c r="G32" s="2119"/>
      <c r="H32" s="2119"/>
      <c r="I32" s="1228"/>
      <c r="J32" s="2097"/>
      <c r="K32" s="2097"/>
      <c r="L32" s="1228"/>
      <c r="M32" s="2097"/>
      <c r="N32" s="2097"/>
      <c r="O32" s="1809"/>
      <c r="P32" s="1708" t="s">
        <v>10</v>
      </c>
      <c r="Q32" s="2129" t="s">
        <v>809</v>
      </c>
      <c r="R32" s="2129"/>
      <c r="S32" s="2129"/>
      <c r="T32" s="2129"/>
      <c r="U32" s="2129"/>
      <c r="V32" s="2129"/>
      <c r="W32" s="2129"/>
      <c r="X32" s="391"/>
      <c r="Y32" s="2"/>
      <c r="Z32" s="2099">
        <v>0</v>
      </c>
      <c r="AA32" s="2099"/>
      <c r="AB32" s="2099"/>
      <c r="AC32" s="2099"/>
      <c r="AD32" s="2099"/>
      <c r="AE32" s="2"/>
      <c r="AF32" s="2099">
        <v>0</v>
      </c>
      <c r="AG32" s="2099"/>
      <c r="AH32" s="2099"/>
      <c r="AI32" s="2099"/>
      <c r="AJ32" s="2099"/>
      <c r="AK32" s="8"/>
    </row>
    <row r="33" spans="1:37" ht="15.6" x14ac:dyDescent="0.3">
      <c r="A33" s="9" t="s">
        <v>42</v>
      </c>
      <c r="B33" s="1701" t="s">
        <v>1142</v>
      </c>
      <c r="C33" s="1701"/>
      <c r="D33" s="1701"/>
      <c r="E33" s="1701"/>
      <c r="F33" s="1701"/>
      <c r="G33" s="2107" t="s">
        <v>1141</v>
      </c>
      <c r="H33" s="2107"/>
      <c r="I33" s="3" t="s">
        <v>14</v>
      </c>
      <c r="J33" s="1957"/>
      <c r="K33" s="1957"/>
      <c r="L33" s="12" t="s">
        <v>1289</v>
      </c>
      <c r="M33" s="1985"/>
      <c r="N33" s="1985"/>
      <c r="O33" s="92" t="s">
        <v>13</v>
      </c>
      <c r="P33" s="1708"/>
      <c r="Q33" s="2129"/>
      <c r="R33" s="2129"/>
      <c r="S33" s="2129"/>
      <c r="T33" s="2129"/>
      <c r="U33" s="2129"/>
      <c r="V33" s="2129"/>
      <c r="W33" s="2129"/>
      <c r="X33" s="391"/>
      <c r="Y33" s="2"/>
      <c r="Z33" s="2100"/>
      <c r="AA33" s="2100"/>
      <c r="AB33" s="2100"/>
      <c r="AC33" s="2100"/>
      <c r="AD33" s="2100"/>
      <c r="AE33" s="2"/>
      <c r="AF33" s="2100"/>
      <c r="AG33" s="2100"/>
      <c r="AH33" s="2100"/>
      <c r="AI33" s="2100"/>
      <c r="AJ33" s="2100"/>
      <c r="AK33" s="12"/>
    </row>
    <row r="34" spans="1:37" ht="16.2" thickBot="1" x14ac:dyDescent="0.35">
      <c r="A34" s="9" t="str">
        <f>IF(O1=2,"15. ","16. ")</f>
        <v xml:space="preserve">16. </v>
      </c>
      <c r="B34" s="1701" t="s">
        <v>260</v>
      </c>
      <c r="C34" s="1701"/>
      <c r="D34" s="1701"/>
      <c r="E34" s="1701"/>
      <c r="F34" s="1701"/>
      <c r="G34" s="1701"/>
      <c r="H34" s="1701"/>
      <c r="I34" s="3"/>
      <c r="J34" s="1957"/>
      <c r="K34" s="1957"/>
      <c r="L34" s="3"/>
      <c r="M34" s="1985"/>
      <c r="N34" s="1985"/>
      <c r="O34" s="3"/>
      <c r="P34" s="4" t="s">
        <v>11</v>
      </c>
      <c r="Q34" s="1427" t="s">
        <v>808</v>
      </c>
      <c r="R34" s="1427"/>
      <c r="S34" s="1427"/>
      <c r="T34" s="1427"/>
      <c r="U34" s="1427"/>
      <c r="V34" s="1427"/>
      <c r="W34" s="1427"/>
      <c r="X34" s="3"/>
      <c r="Y34" s="3"/>
      <c r="Z34" s="1959">
        <f>Z31*Z32</f>
        <v>0</v>
      </c>
      <c r="AA34" s="1959"/>
      <c r="AB34" s="1959"/>
      <c r="AC34" s="1959"/>
      <c r="AD34" s="1959"/>
      <c r="AE34" s="3"/>
      <c r="AF34" s="1959">
        <f>AF31*AF32</f>
        <v>0</v>
      </c>
      <c r="AG34" s="1959"/>
      <c r="AH34" s="1959"/>
      <c r="AI34" s="1959"/>
      <c r="AJ34" s="1959"/>
      <c r="AK34" s="3"/>
    </row>
    <row r="35" spans="1:37" ht="16.2" thickTop="1" x14ac:dyDescent="0.3">
      <c r="A35" s="9" t="str">
        <f>IF(O1=2,"16. ","17. ")</f>
        <v xml:space="preserve">17. </v>
      </c>
      <c r="B35" s="2" t="s">
        <v>239</v>
      </c>
      <c r="C35" s="2080"/>
      <c r="D35" s="2080"/>
      <c r="E35" s="2080"/>
      <c r="F35" s="2080"/>
      <c r="G35" s="2080"/>
      <c r="H35" s="2"/>
      <c r="I35" s="3"/>
      <c r="J35" s="1957"/>
      <c r="K35" s="1957"/>
      <c r="L35" s="3"/>
      <c r="M35" s="1957"/>
      <c r="N35" s="1957"/>
      <c r="O35" s="3"/>
      <c r="P35" s="4"/>
      <c r="Q35" s="2"/>
      <c r="R35" s="10"/>
      <c r="S35" s="10"/>
      <c r="T35" s="10"/>
      <c r="U35" s="10"/>
      <c r="V35" s="10"/>
      <c r="W35" s="2"/>
      <c r="X35" s="2"/>
      <c r="Y35" s="3"/>
      <c r="Z35" s="6"/>
      <c r="AA35" s="6"/>
      <c r="AB35" s="6"/>
      <c r="AC35" s="6"/>
      <c r="AD35" s="6"/>
      <c r="AE35" s="3"/>
      <c r="AF35" s="6"/>
      <c r="AG35" s="6"/>
      <c r="AH35" s="6"/>
      <c r="AI35" s="6"/>
      <c r="AJ35" s="6"/>
      <c r="AK35" s="3"/>
    </row>
    <row r="36" spans="1:37" ht="16.2" thickBot="1" x14ac:dyDescent="0.35">
      <c r="A36" s="9" t="str">
        <f>IF(O1=2,"17. ","18. ")</f>
        <v xml:space="preserve">18. </v>
      </c>
      <c r="B36" s="1427" t="s">
        <v>41</v>
      </c>
      <c r="C36" s="1427"/>
      <c r="D36" s="1427"/>
      <c r="E36" s="3"/>
      <c r="F36" s="3"/>
      <c r="G36" s="3"/>
      <c r="H36" s="1855" t="str">
        <f>IF(AND(J37&gt;0,J11="",J12="",J13="",J16="",J17="",J18="",J19="",J26="",J27="",J28="",J29="",J30="",J31="",J33="",J34="",J35=""),"Leave at 0% if not entering numbers for this year","")</f>
        <v/>
      </c>
      <c r="I36" s="1855"/>
      <c r="J36" s="2103">
        <f>IF(O1=2,J25-J27+J28+J29+J30-J31+J34+J35,J25-J27+J28+J29+J30-J31-J33+J34+J35)</f>
        <v>0</v>
      </c>
      <c r="K36" s="2103"/>
      <c r="L36" s="3"/>
      <c r="M36" s="2103">
        <f>IF(N69=TRUE,0,IF(O1=2,M25-M27+M28+M29+M30-M31+M34+M35,M25-M27+M28+M29+M30-M31-M33+M34+M35))</f>
        <v>0</v>
      </c>
      <c r="N36" s="2103"/>
      <c r="O36" s="3"/>
      <c r="P36" s="4" t="s">
        <v>29</v>
      </c>
      <c r="Q36" s="1427" t="s">
        <v>813</v>
      </c>
      <c r="R36" s="1427"/>
      <c r="S36" s="1427"/>
      <c r="T36" s="1427"/>
      <c r="U36" s="1427"/>
      <c r="V36" s="1427"/>
      <c r="W36" s="1427"/>
      <c r="X36" s="3"/>
      <c r="Y36" s="3"/>
      <c r="Z36" s="1959">
        <f>Z20+Z34</f>
        <v>0</v>
      </c>
      <c r="AA36" s="1959"/>
      <c r="AB36" s="1959"/>
      <c r="AC36" s="1959"/>
      <c r="AD36" s="1959"/>
      <c r="AE36" s="3"/>
      <c r="AF36" s="1959">
        <f>AF20+AF34</f>
        <v>0</v>
      </c>
      <c r="AG36" s="1959"/>
      <c r="AH36" s="1959"/>
      <c r="AI36" s="1959"/>
      <c r="AJ36" s="1959"/>
      <c r="AK36" s="3"/>
    </row>
    <row r="37" spans="1:37" ht="15.6" customHeight="1" thickTop="1" x14ac:dyDescent="0.3">
      <c r="A37" s="863" t="str">
        <f>IF(O1=2,"18. ","19. ")</f>
        <v xml:space="preserve">19. </v>
      </c>
      <c r="B37" s="1878" t="s">
        <v>531</v>
      </c>
      <c r="C37" s="1878"/>
      <c r="D37" s="1878"/>
      <c r="E37" s="1878"/>
      <c r="F37" s="1878"/>
      <c r="G37" s="1878"/>
      <c r="H37" s="1855"/>
      <c r="I37" s="1855"/>
      <c r="J37" s="2099">
        <v>0</v>
      </c>
      <c r="K37" s="2099"/>
      <c r="L37" s="2"/>
      <c r="M37" s="2099">
        <v>0</v>
      </c>
      <c r="N37" s="2099"/>
      <c r="P37" s="23"/>
      <c r="Q37" s="68"/>
      <c r="R37" s="68"/>
      <c r="S37" s="68"/>
      <c r="T37" s="68"/>
      <c r="U37" s="68"/>
      <c r="V37" s="68"/>
      <c r="W37" s="68"/>
      <c r="X37" s="68"/>
      <c r="Y37" s="2"/>
      <c r="Z37" s="2036" t="str">
        <f>IF(AND(Z36&lt;&gt;0,OR(AB14="",AB14&lt;0,AB14&gt;12)),"Error, Correct Dates",IF(AA13&lt;&gt;"=",CONCATENATE("Annualized based on income/(loss) of $",Z36," over ",AA13," ="),CONCATENATE("Annualized based on income/(loss) of $",Z36," over # Months =")))</f>
        <v>Annualized based on income/(loss) of $0 over # Months =</v>
      </c>
      <c r="AA37" s="2036"/>
      <c r="AB37" s="2036"/>
      <c r="AC37" s="2036"/>
      <c r="AD37" s="2036"/>
      <c r="AE37" s="2"/>
      <c r="AF37" s="2036" t="str">
        <f>IF(AND(AF36&lt;&gt;0,OR(AH14="",AH14&lt;0,AH14&gt;12)),"Error, Correct Dates",IF(AND(AF36&lt;&gt;0,J48=0,M48&lt;&gt;0),"Error, Move Most Recent Filed Returns To Left Column on the 1065 Worksheet",IF(AG13&lt;&gt;"=",CONCATENATE("Annualized based on income/(loss) of $",AF36," over ",AG13," ="),CONCATENATE("Annualized based on income/(loss) of $",AF36," over # Months ="))))</f>
        <v>Annualized based on income/(loss) of $0 over 12 Months =</v>
      </c>
      <c r="AG37" s="2036"/>
      <c r="AH37" s="2036"/>
      <c r="AI37" s="2036"/>
      <c r="AJ37" s="2036"/>
    </row>
    <row r="38" spans="1:37" ht="9" customHeight="1" x14ac:dyDescent="0.3">
      <c r="A38" s="863"/>
      <c r="B38" s="68"/>
      <c r="C38" s="68"/>
      <c r="D38" s="68"/>
      <c r="E38" s="2119" t="s">
        <v>273</v>
      </c>
      <c r="F38" s="2119"/>
      <c r="G38" s="2119"/>
      <c r="H38" s="1855"/>
      <c r="I38" s="1855"/>
      <c r="J38" s="2100"/>
      <c r="K38" s="2100"/>
      <c r="L38" s="2"/>
      <c r="M38" s="2100"/>
      <c r="N38" s="2100"/>
      <c r="P38" s="23"/>
      <c r="Q38" s="68"/>
      <c r="R38" s="68"/>
      <c r="S38" s="68"/>
      <c r="T38" s="214"/>
      <c r="U38" s="68"/>
      <c r="V38" s="68"/>
      <c r="W38" s="68"/>
      <c r="X38" s="68"/>
      <c r="Y38" s="2"/>
      <c r="Z38" s="2037"/>
      <c r="AA38" s="2037"/>
      <c r="AB38" s="2037"/>
      <c r="AC38" s="2037"/>
      <c r="AD38" s="2037"/>
      <c r="AE38" s="2"/>
      <c r="AF38" s="2037"/>
      <c r="AG38" s="2037"/>
      <c r="AH38" s="2037"/>
      <c r="AI38" s="2037"/>
      <c r="AJ38" s="2037"/>
    </row>
    <row r="39" spans="1:37" ht="15" customHeight="1" thickBot="1" x14ac:dyDescent="0.35">
      <c r="A39" s="9" t="str">
        <f>IF(O1=2,"19. ","20. ")</f>
        <v xml:space="preserve">20. </v>
      </c>
      <c r="B39" s="1427" t="s">
        <v>61</v>
      </c>
      <c r="C39" s="1427"/>
      <c r="D39" s="1427"/>
      <c r="E39" s="1427"/>
      <c r="F39" s="1427"/>
      <c r="H39" s="1855"/>
      <c r="I39" s="1855"/>
      <c r="J39" s="1959">
        <f>J36*J37</f>
        <v>0</v>
      </c>
      <c r="K39" s="1959"/>
      <c r="L39" s="3"/>
      <c r="M39" s="1959">
        <f>IF(N69=TRUE,0,M36*M37)</f>
        <v>0</v>
      </c>
      <c r="N39" s="1959"/>
      <c r="O39" s="3"/>
      <c r="P39" s="4"/>
      <c r="Q39" s="3"/>
      <c r="R39" s="3"/>
      <c r="S39" s="3"/>
      <c r="T39" s="3"/>
      <c r="U39" s="3"/>
      <c r="V39" s="3"/>
      <c r="W39" s="3"/>
      <c r="X39" s="3"/>
      <c r="Y39" s="3"/>
      <c r="Z39" s="2037"/>
      <c r="AA39" s="2037"/>
      <c r="AB39" s="2037"/>
      <c r="AC39" s="2037"/>
      <c r="AD39" s="2037"/>
      <c r="AE39" s="3"/>
      <c r="AF39" s="2037"/>
      <c r="AG39" s="2037"/>
      <c r="AH39" s="2037"/>
      <c r="AI39" s="2037"/>
      <c r="AJ39" s="2037"/>
      <c r="AK39" s="3"/>
    </row>
    <row r="40" spans="1:37" ht="17.399999999999999" customHeight="1" thickTop="1" x14ac:dyDescent="0.3">
      <c r="A40" s="1055" t="str">
        <f>IF(O2=2,"","21. ")</f>
        <v xml:space="preserve">21. </v>
      </c>
      <c r="B40" s="2110" t="s">
        <v>1280</v>
      </c>
      <c r="C40" s="2110"/>
      <c r="D40" s="2110"/>
      <c r="E40" s="2110"/>
      <c r="F40" s="2110"/>
      <c r="G40" s="2110"/>
      <c r="H40" s="2110"/>
      <c r="I40" s="2110"/>
      <c r="J40" s="727"/>
      <c r="K40" s="727"/>
      <c r="L40" s="3"/>
      <c r="M40" s="727"/>
      <c r="N40" s="727"/>
      <c r="O40" s="3"/>
      <c r="P40" s="4"/>
      <c r="Q40" s="3"/>
      <c r="R40" s="3"/>
      <c r="S40" s="3"/>
      <c r="T40" s="3"/>
      <c r="U40" s="3"/>
      <c r="V40" s="3"/>
      <c r="W40" s="3"/>
      <c r="X40" s="3"/>
      <c r="Y40" s="3"/>
      <c r="Z40" s="2037"/>
      <c r="AA40" s="2037"/>
      <c r="AB40" s="2037"/>
      <c r="AC40" s="2037"/>
      <c r="AD40" s="2037"/>
      <c r="AE40" s="3"/>
      <c r="AF40" s="2037"/>
      <c r="AG40" s="2037"/>
      <c r="AH40" s="2037"/>
      <c r="AI40" s="2037"/>
      <c r="AJ40" s="2037"/>
      <c r="AK40" s="3"/>
    </row>
    <row r="41" spans="1:37" ht="22.2" customHeight="1" x14ac:dyDescent="0.3">
      <c r="A41" s="9"/>
      <c r="B41" s="2111" t="s">
        <v>1279</v>
      </c>
      <c r="C41" s="2111"/>
      <c r="D41" s="2111"/>
      <c r="E41" s="2111"/>
      <c r="F41" s="2111"/>
      <c r="G41" s="2111"/>
      <c r="H41" s="2111"/>
      <c r="I41" s="2111"/>
      <c r="J41" s="2111"/>
      <c r="K41" s="2114">
        <f>IF(O1=2,0,
IF(AND(J44&lt;=0,M44&lt;=0),0,
IF(AND(J44=0,J37=0,J36=0,J20=0,J11="",J16="",J18="",J28="",M44&gt;0),M16+M17+M19+M39,
IF(J44&gt;0,J16+J17+J19+J39,0))))</f>
        <v>0</v>
      </c>
      <c r="L41" s="2114"/>
      <c r="M41" s="1956" t="str">
        <f>IF(AND(OR(J20&lt;&gt;0,J36&lt;&gt;0),J37=0,O69&lt;&gt;TRUE),"Ownership %
 Needed",IF(AND(OR(M20&lt;&gt;0,M36&lt;&gt;0),M37=0,O69&lt;&gt;TRUE,N69&lt;&gt;TRUE),"Ownership %
 Needed",
IF(AND(N1="Conventional",K43="",K41&gt;0),"Test required currently based on lines 4 - 20",
IF(AND(N1="Conventional",OR(J37&gt;0,M37&gt;0),K41&lt;=0),"Test not currently required based on lines 4 - 20",
IF(AND(N1="Conventional",K43="N/A",K41&gt;0),"Cannot be N/A on Conv. when test is required","")))))</f>
        <v/>
      </c>
      <c r="N41" s="1956"/>
      <c r="O41" s="3"/>
      <c r="P41" s="4"/>
      <c r="Q41" s="3"/>
      <c r="R41" s="3"/>
      <c r="S41" s="3"/>
      <c r="T41" s="3"/>
      <c r="U41" s="3"/>
      <c r="V41" s="3"/>
      <c r="W41" s="3"/>
      <c r="X41" s="3"/>
      <c r="Y41" s="3"/>
      <c r="Z41" s="2037"/>
      <c r="AA41" s="2037"/>
      <c r="AB41" s="2037"/>
      <c r="AC41" s="2037"/>
      <c r="AD41" s="2037"/>
      <c r="AE41" s="3"/>
      <c r="AF41" s="2037"/>
      <c r="AG41" s="2037"/>
      <c r="AH41" s="2037"/>
      <c r="AI41" s="2037"/>
      <c r="AJ41" s="2037"/>
      <c r="AK41" s="3"/>
    </row>
    <row r="42" spans="1:37" ht="6.6" customHeight="1" x14ac:dyDescent="0.3">
      <c r="A42" s="9"/>
      <c r="B42" s="2111"/>
      <c r="C42" s="2111"/>
      <c r="D42" s="2111"/>
      <c r="E42" s="2111"/>
      <c r="F42" s="2111"/>
      <c r="G42" s="2111"/>
      <c r="H42" s="2111"/>
      <c r="I42" s="2111"/>
      <c r="J42" s="2111"/>
      <c r="K42" s="1073"/>
      <c r="L42" s="1073"/>
      <c r="M42" s="1956"/>
      <c r="N42" s="1956"/>
      <c r="O42" s="3"/>
      <c r="P42" s="4"/>
      <c r="Q42" s="3"/>
      <c r="R42" s="3"/>
      <c r="S42" s="3"/>
      <c r="T42" s="3"/>
      <c r="U42" s="3"/>
      <c r="V42" s="3"/>
      <c r="W42" s="3"/>
      <c r="X42" s="3"/>
      <c r="Y42" s="3"/>
      <c r="Z42" s="2037"/>
      <c r="AA42" s="2037"/>
      <c r="AB42" s="2037"/>
      <c r="AC42" s="2037"/>
      <c r="AD42" s="2037"/>
      <c r="AE42" s="3"/>
      <c r="AF42" s="2037"/>
      <c r="AG42" s="2037"/>
      <c r="AH42" s="2037"/>
      <c r="AI42" s="2037"/>
      <c r="AJ42" s="2037"/>
      <c r="AK42" s="3"/>
    </row>
    <row r="43" spans="1:37" ht="19.8" customHeight="1" x14ac:dyDescent="0.3">
      <c r="A43" s="9"/>
      <c r="B43" s="2112" t="s">
        <v>1274</v>
      </c>
      <c r="C43" s="2112"/>
      <c r="D43" s="2112"/>
      <c r="E43" s="2112"/>
      <c r="F43" s="2112"/>
      <c r="G43" s="2112"/>
      <c r="H43" s="2112"/>
      <c r="I43" s="2112"/>
      <c r="J43" s="2112"/>
      <c r="K43" s="2115"/>
      <c r="L43" s="2116"/>
      <c r="M43" s="1956"/>
      <c r="N43" s="1956"/>
      <c r="O43" s="3"/>
      <c r="P43" s="4"/>
      <c r="Q43" s="3"/>
      <c r="R43" s="3"/>
      <c r="S43" s="3"/>
      <c r="T43" s="3"/>
      <c r="U43" s="3"/>
      <c r="V43" s="3"/>
      <c r="W43" s="3"/>
      <c r="X43" s="3"/>
      <c r="Y43" s="3"/>
      <c r="Z43" s="2037"/>
      <c r="AA43" s="2037"/>
      <c r="AB43" s="2037"/>
      <c r="AC43" s="2037"/>
      <c r="AD43" s="2037"/>
      <c r="AE43" s="3"/>
      <c r="AF43" s="2037"/>
      <c r="AG43" s="2037"/>
      <c r="AH43" s="2037"/>
      <c r="AI43" s="2037"/>
      <c r="AJ43" s="2037"/>
      <c r="AK43" s="3"/>
    </row>
    <row r="44" spans="1:37" ht="7.8" customHeight="1" x14ac:dyDescent="0.3">
      <c r="A44" s="9"/>
      <c r="B44" s="3"/>
      <c r="C44" s="3"/>
      <c r="D44" s="3"/>
      <c r="E44" s="3"/>
      <c r="F44" s="3"/>
      <c r="G44" s="895"/>
      <c r="H44" s="895"/>
      <c r="I44" s="3"/>
      <c r="J44" s="2113">
        <f>IF(AND(J37&gt;0,(J16+J17+J19+J39)&gt;0),J16+J17+J19+J39,0)</f>
        <v>0</v>
      </c>
      <c r="K44" s="2113"/>
      <c r="L44" s="3"/>
      <c r="M44" s="2113">
        <f>IF(AND(M37&gt;0,(M16+M17+M19+M39)&gt;0),M16+M17+M19+M39,0)</f>
        <v>0</v>
      </c>
      <c r="N44" s="2113"/>
      <c r="O44" s="3"/>
      <c r="P44" s="4"/>
      <c r="Q44" s="3"/>
      <c r="R44" s="3"/>
      <c r="S44" s="3"/>
      <c r="T44" s="3"/>
      <c r="U44" s="3"/>
      <c r="V44" s="3"/>
      <c r="W44" s="3"/>
      <c r="X44" s="3"/>
      <c r="Y44" s="3"/>
      <c r="Z44" s="2125"/>
      <c r="AA44" s="2125"/>
      <c r="AB44" s="2125"/>
      <c r="AC44" s="2125"/>
      <c r="AD44" s="2125"/>
      <c r="AE44" s="3"/>
      <c r="AF44" s="2125"/>
      <c r="AG44" s="2125"/>
      <c r="AH44" s="2125"/>
      <c r="AI44" s="2125"/>
      <c r="AJ44" s="2125"/>
      <c r="AK44" s="3"/>
    </row>
    <row r="45" spans="1:37" ht="15" customHeight="1" x14ac:dyDescent="0.3">
      <c r="A45" s="9"/>
      <c r="B45" s="2117" t="s">
        <v>1312</v>
      </c>
      <c r="C45" s="2117"/>
      <c r="D45" s="2117"/>
      <c r="E45" s="2117"/>
      <c r="F45" s="2117"/>
      <c r="G45" s="2117"/>
      <c r="H45" s="2117"/>
      <c r="I45" s="1098"/>
      <c r="J45" s="2118"/>
      <c r="K45" s="2118"/>
      <c r="L45" s="3"/>
      <c r="M45" s="2118"/>
      <c r="N45" s="2118"/>
      <c r="O45" s="3"/>
      <c r="P45" s="4"/>
      <c r="Q45" s="3"/>
      <c r="R45" s="3"/>
      <c r="S45" s="3"/>
      <c r="T45" s="3"/>
      <c r="U45" s="3"/>
      <c r="V45" s="3"/>
      <c r="W45" s="3"/>
      <c r="X45" s="3"/>
      <c r="Y45" s="3"/>
      <c r="Z45" s="1100"/>
      <c r="AA45" s="1100"/>
      <c r="AB45" s="1100"/>
      <c r="AC45" s="1100"/>
      <c r="AD45" s="1100"/>
      <c r="AE45" s="3"/>
      <c r="AF45" s="1100"/>
      <c r="AG45" s="1100"/>
      <c r="AH45" s="1100"/>
      <c r="AI45" s="1100"/>
      <c r="AJ45" s="1100"/>
      <c r="AK45" s="3"/>
    </row>
    <row r="46" spans="1:37" ht="24.6" customHeight="1" x14ac:dyDescent="0.3">
      <c r="A46" s="9"/>
      <c r="B46" s="3"/>
      <c r="C46" s="3"/>
      <c r="D46" s="3"/>
      <c r="E46" s="3"/>
      <c r="F46" s="3"/>
      <c r="G46" s="895"/>
      <c r="H46" s="895"/>
      <c r="I46" s="3"/>
      <c r="J46" s="2120" t="str">
        <f>IF(AND(K43="FAIL",J45&gt;K41),"Error: Exceeds 19a","")</f>
        <v/>
      </c>
      <c r="K46" s="2120"/>
      <c r="L46" s="3"/>
      <c r="M46" s="2120" t="str">
        <f>IF(AND(K43="FAIL",J37=0,M37&gt;0,M45&gt;K41),"Error: Exceeds 19a",
IF(AND(K43="FAIL",J37&gt;0,M37&gt;0,M45&gt;M44),CONCATENATE("Exceeds adj. business income of $",M44,""),""))</f>
        <v/>
      </c>
      <c r="N46" s="2120"/>
      <c r="O46" s="3"/>
      <c r="P46" s="4"/>
      <c r="Q46" s="3"/>
      <c r="R46" s="3"/>
      <c r="S46" s="3"/>
      <c r="T46" s="3"/>
      <c r="U46" s="3"/>
      <c r="V46" s="3"/>
      <c r="W46" s="3"/>
      <c r="X46" s="3"/>
      <c r="Y46" s="3"/>
      <c r="Z46" s="1100"/>
      <c r="AA46" s="1100"/>
      <c r="AB46" s="1100"/>
      <c r="AC46" s="1100"/>
      <c r="AD46" s="1100"/>
      <c r="AE46" s="3"/>
      <c r="AF46" s="1100"/>
      <c r="AG46" s="1100"/>
      <c r="AH46" s="1100"/>
      <c r="AI46" s="1100"/>
      <c r="AJ46" s="1100"/>
      <c r="AK46" s="3"/>
    </row>
    <row r="47" spans="1:37" ht="16.5" customHeight="1" thickBot="1" x14ac:dyDescent="0.35">
      <c r="A47" s="863" t="str">
        <f>IF(O1=2,"20. ","22. ")</f>
        <v xml:space="preserve">22. </v>
      </c>
      <c r="B47" s="1809" t="s">
        <v>62</v>
      </c>
      <c r="C47" s="1809"/>
      <c r="D47" s="1809"/>
      <c r="E47" s="1809"/>
      <c r="F47" s="1809"/>
      <c r="G47" s="1809"/>
      <c r="H47" s="1809"/>
      <c r="I47" s="30"/>
      <c r="J47" s="2124">
        <f>IF(O69=TRUE,J11,
IF(J37=0,0,
IF(AND(O1=2,J37&gt;0),J20+J39,
IF(AND(J37&gt;0,K41=0),J20+J39,
IF(AND(N1=0,J37&gt;0,K41&gt;0,K43=""),0,
IF(AND(N1=0,J37&gt;0,K41&gt;0,K43="Pass"),J20+J39,
IF(AND(N1=0,J37&gt;0,K41&gt;0,K43="Fail",J45&lt;=K41),J11-J12+J13+J18+J45,
IF(AND(N1=0,J37&gt;0,K41&gt;0,K43="N/A"),J20+J39,
IF(AND(N1="Conventional",J37&gt;0,K41&gt;0,K43=""),0,
IF(AND(N1="Conventional",J37&gt;0,K41&gt;0,K43="Pass"),J20+J39,
IF(AND(N1="Conventional",J37&gt;0,K41&gt;0,K43="Fail",J45&lt;=K41),J11-J12+J13+J18+J45,
IF(AND(N1="Other",J37&gt;0,K41&gt;0,K43=""),0,
IF(AND(N1="Other",J37&gt;0,K41&gt;0,K43="Pass"),J20+J39,
IF(AND(N1="Other",J37&gt;0,K41&gt;0,K43="Fail",J45&lt;=K41),J11-J12+J13+J18+J45,
IF(AND(N1="Other",J37&gt;0,K41&gt;0,K43="N/A"),J20+J39,0)))))))))))))))</f>
        <v>0</v>
      </c>
      <c r="K47" s="2124"/>
      <c r="L47" s="30"/>
      <c r="M47" s="2124">
        <f>IF(N69=TRUE,0,
IF(O69=TRUE,M11,
IF(M37=0,0,
IF(AND(O1=2,M37&gt;0),M20+M39,
IF(AND(M37&gt;0,K41=0),M20+M39,
IF(AND(N1=0,M37&gt;0,K41&gt;0,K43=""),0,
IF(AND(N1=0,M37&gt;0,K41&gt;0,K43="Pass"),M20+M39,
IF(AND(N1=0,M37&gt;0,K41&gt;0,J37=0,K43="Fail",M45&lt;=K41),M11-M12+M13+M18+M45,
IF(AND(N1=0,M37&gt;0,K41&gt;0,J37&gt;0,K43="Fail",M45&lt;=M44,(M20+M39)&lt;(M11-M12+M13+M18+M45)),M20+M39+M45,
IF(AND(N1=0,M37&gt;0,K41&gt;0,J37&gt;0,K43="Fail",M45&lt;=M44,(M20+M39)&gt;=(M11-M12+M13+M18+M45)),M11-M12+M13+M18+M45,
IF(AND(N1=0,M37&gt;0,K41&gt;0,K43="N/A"),M20+M39,
IF(AND(N1="Conventional",M37&gt;0,K41&gt;0,K43=""),0,
IF(AND(N1="Conventional",M37&gt;0,K41&gt;0,K43="N/A"),0,
IF(AND(N1="Conventional",M37&gt;0,K41&gt;0,K43="Pass"),M20+M39,
IF(AND(N1="Conventional",M37&gt;0,K41&gt;0,J37=0,K43="Fail",M45&lt;=K41),M11-M12+M13+M18+M45,
IF(AND(N1="Conventional",M37&gt;0,K41&gt;0,J37&gt;0,K43="Fail",M45&lt;=M44,(M20+M39)&lt;(M11-M12+M13+M18+M45)),M20+M39+M45,
IF(AND(N1="Conventional",M37&gt;0,K41&gt;0,J37&gt;0,K43="Fail",M45&lt;=M44,(M20+M39)&gt;=(M11-M12+M13+M18+M45)),M11-M12+M13+M18+M45,
IF(AND(N1="Other",M37&gt;0,K41&gt;0,K43=""),0,
IF(AND(N1="Other",M37&gt;0,K41&gt;0,K43="Pass"),M20+M39,
IF(AND(N1="Other",M37&gt;0,K41&gt;0,J37=0,K43="Fail",M45&lt;=K41),M11-M12+M13+M18+M45,
IF(AND(N1="Other",M37&gt;0,K41&gt;0,J37&gt;0,K43="Fail",M45&lt;=M44,(M20+M39)&lt;(M11-M12+M13+M18+M45)),M20+M39+M45,
IF(AND(N1="Other",M37&gt;0,K41&gt;0,J37&gt;0,K43="Fail",M45&lt;=M44,(M20+M39)&gt;=(M11-M12+M13+M18+M45)),M11-M12+M13+M18+M45,
IF(AND(N1="Other",M37&gt;0,K41&gt;0,K43="N/A"),M20+M39,0)))))))))))))))))))))))</f>
        <v>0</v>
      </c>
      <c r="N47" s="2124"/>
      <c r="O47" s="3"/>
      <c r="P47" s="2061" t="s">
        <v>39</v>
      </c>
      <c r="Q47" s="1809" t="s">
        <v>812</v>
      </c>
      <c r="R47" s="1809"/>
      <c r="S47" s="1809"/>
      <c r="T47" s="1809"/>
      <c r="U47" s="1809"/>
      <c r="V47" s="1809"/>
      <c r="W47" s="1809"/>
      <c r="X47" s="30"/>
      <c r="Y47" s="30"/>
      <c r="Z47" s="2060">
        <f>IF(Z37="Error, Correct Dates",0,IF(AND(Z36&lt;&gt;0,AA13&lt;&gt;"="),(Z36/AB14)*12,0))</f>
        <v>0</v>
      </c>
      <c r="AA47" s="2060"/>
      <c r="AB47" s="2060"/>
      <c r="AC47" s="2060"/>
      <c r="AD47" s="2060"/>
      <c r="AE47" s="387">
        <f>IF(AJ71=TRUE,0,Z47)</f>
        <v>0</v>
      </c>
      <c r="AF47" s="2060">
        <f>IF(OR(AF37="Error, Move Most Recent Filed Returns To Left Column on the 1065 Worksheet",AF37="Error, Correct Dates"),0,IF(AND(AF36&lt;&gt;0,AG13&lt;&gt;"="),(AF36/AH14)*12,0))</f>
        <v>0</v>
      </c>
      <c r="AG47" s="2060"/>
      <c r="AH47" s="2060"/>
      <c r="AI47" s="2060"/>
      <c r="AJ47" s="2060"/>
      <c r="AK47" s="387"/>
    </row>
    <row r="48" spans="1:37" ht="12" customHeight="1" thickTop="1" thickBot="1" x14ac:dyDescent="0.35">
      <c r="A48" s="2109" t="str">
        <f>IF(AND(O1=1,K43="Fail",K41&gt;0,M41&lt;&gt;"Test not currently required based on lines 4 - 20"),"Only the W2 &amp; Guaranteed Payments &amp; 21c will be added when Liquidity Fails, continue.",
IF(AND(O1=1,K43="Fail",M41&lt;&gt;"Test not currently required based on lines 4 - 20"),"Only the W2 &amp; Guaranteed Payments will be added when Liquidity Fails, continue.",""))</f>
        <v/>
      </c>
      <c r="B48" s="2109"/>
      <c r="C48" s="2109"/>
      <c r="D48" s="2109"/>
      <c r="E48" s="2109"/>
      <c r="F48" s="2109"/>
      <c r="G48" s="2109"/>
      <c r="H48" s="1958" t="s">
        <v>814</v>
      </c>
      <c r="I48" s="1958"/>
      <c r="J48" s="1989">
        <f>IF(AND(F57&lt;12,F57&lt;&gt;""),(J47/F57)*12,J47)</f>
        <v>0</v>
      </c>
      <c r="K48" s="1989"/>
      <c r="L48" s="387"/>
      <c r="M48" s="1989">
        <f>IF(AND(D57&lt;12,D57&lt;&gt;""),(M47/D57)*12,M47)</f>
        <v>0</v>
      </c>
      <c r="N48" s="1989"/>
      <c r="O48" s="3"/>
      <c r="P48" s="2061"/>
      <c r="Q48" s="1809"/>
      <c r="R48" s="1809"/>
      <c r="S48" s="1809"/>
      <c r="T48" s="1809"/>
      <c r="U48" s="1809"/>
      <c r="V48" s="1809"/>
      <c r="W48" s="1809"/>
      <c r="X48" s="30"/>
      <c r="Y48" s="30"/>
      <c r="Z48" s="1915"/>
      <c r="AA48" s="1915"/>
      <c r="AB48" s="1915"/>
      <c r="AC48" s="1915"/>
      <c r="AD48" s="1915"/>
      <c r="AE48" s="30"/>
      <c r="AF48" s="1915"/>
      <c r="AG48" s="1915"/>
      <c r="AH48" s="1915"/>
      <c r="AI48" s="1915"/>
      <c r="AJ48" s="1915"/>
      <c r="AK48" s="3"/>
    </row>
    <row r="49" spans="1:37" ht="15.75" customHeight="1" thickTop="1" x14ac:dyDescent="0.3">
      <c r="A49" s="863"/>
      <c r="B49" s="30"/>
      <c r="C49" s="30"/>
      <c r="D49" s="2098" t="str">
        <f>CONCATENATE("Exclude ", M10, " from Total Adjusted Business Income Below")</f>
        <v>Exclude 2024 from Total Adjusted Business Income Below</v>
      </c>
      <c r="E49" s="2098"/>
      <c r="F49" s="2098"/>
      <c r="G49" s="2098"/>
      <c r="H49" s="2098"/>
      <c r="I49" s="2098"/>
      <c r="J49" s="2098"/>
      <c r="K49" s="1991" t="str">
        <f>IF(AND(J48&lt;M48,OR(G56="",G56=12,G56=24)),CONCATENATE(ROUND(((M48-J48)/M48)*100,2),"%"," Decline from ",M10," to ",J10,),
IF(AND(G56&gt;12,G56&lt;24,J48&lt;M48),CONCATENATE(ROUND(((M48-J48)/M48)*100,2),"%"," Decline from ",M10," to ",J10,),
IF(J48&lt;M48,(CONCATENATE("Decline from ",M10," to ",J10,)),
IF(AND(J48&gt;M48,OR(G56="",G56=12,G56=24)),CONCATENATE(ROUND(((J48-M48)/M48)*100,2),"%"," Increase from ",M10," to ",J10,),
IF(AND(G56&gt;12,G56&lt;24,J48&gt;M48),CONCATENATE(ROUND(((J48-M48)/M48)*100,2),"%"," Increase from ",M10," to ",J10,),"")))))</f>
        <v/>
      </c>
      <c r="L49" s="1991"/>
      <c r="M49" s="1991"/>
      <c r="N49" s="31"/>
      <c r="O49" s="3"/>
      <c r="P49" s="8"/>
      <c r="Q49" s="1245"/>
      <c r="R49" s="1245"/>
      <c r="S49" s="2032">
        <f>M10</f>
        <v>2024</v>
      </c>
      <c r="T49" s="2032">
        <f>J10</f>
        <v>2025</v>
      </c>
      <c r="U49" s="2121">
        <f>IF(AF47&lt;&gt;0,AF10,Z10)</f>
        <v>2026</v>
      </c>
      <c r="V49" s="2032" t="str">
        <f>IF(AF47&lt;&gt;0,Z10,"")</f>
        <v/>
      </c>
      <c r="W49" s="2032"/>
      <c r="X49" s="359"/>
      <c r="Y49" s="2135" t="s">
        <v>1367</v>
      </c>
      <c r="Z49" s="2135"/>
      <c r="AA49" s="2135"/>
      <c r="AB49" s="2135"/>
      <c r="AC49" s="2135"/>
      <c r="AD49" s="2131" t="str">
        <f>IF(AF47&lt;&gt;0,(CONCATENATE("Effective Income + ",AF10," avg.")),"")</f>
        <v/>
      </c>
      <c r="AE49" s="2131"/>
      <c r="AF49" s="2131"/>
      <c r="AG49" s="2131"/>
      <c r="AH49" s="2131"/>
      <c r="AI49" s="2131"/>
      <c r="AJ49" s="1138"/>
      <c r="AK49" s="360"/>
    </row>
    <row r="50" spans="1:37" ht="7.5" customHeight="1" x14ac:dyDescent="0.3">
      <c r="A50" s="9"/>
      <c r="B50" s="3"/>
      <c r="C50" s="3"/>
      <c r="D50" s="3"/>
      <c r="E50" s="3"/>
      <c r="F50" s="3"/>
      <c r="G50" s="3"/>
      <c r="H50" s="3"/>
      <c r="I50" s="3"/>
      <c r="J50" s="25"/>
      <c r="K50" s="25"/>
      <c r="L50" s="26"/>
      <c r="M50" s="27"/>
      <c r="N50" s="25"/>
      <c r="O50" s="3"/>
      <c r="P50" s="2"/>
      <c r="Q50" s="1245"/>
      <c r="R50" s="1245"/>
      <c r="S50" s="2032"/>
      <c r="T50" s="2032"/>
      <c r="U50" s="2121"/>
      <c r="V50" s="2032"/>
      <c r="W50" s="2032"/>
      <c r="X50" s="3"/>
      <c r="Y50" s="2135"/>
      <c r="Z50" s="2135"/>
      <c r="AA50" s="2135"/>
      <c r="AB50" s="2135"/>
      <c r="AC50" s="2135"/>
      <c r="AD50" s="2131"/>
      <c r="AE50" s="2131"/>
      <c r="AF50" s="2131"/>
      <c r="AG50" s="2131"/>
      <c r="AH50" s="2131"/>
      <c r="AI50" s="2131"/>
      <c r="AJ50" s="1138"/>
      <c r="AK50" s="3"/>
    </row>
    <row r="51" spans="1:37" ht="15" customHeight="1" x14ac:dyDescent="0.3">
      <c r="A51" s="9" t="str">
        <f>IF(O1=2,"21. ","23. ")</f>
        <v xml:space="preserve">23. </v>
      </c>
      <c r="B51" s="1701" t="s">
        <v>26</v>
      </c>
      <c r="C51" s="1701"/>
      <c r="D51" s="1701"/>
      <c r="E51" s="1701"/>
      <c r="F51" s="1701"/>
      <c r="G51" s="1701"/>
      <c r="H51" s="1701"/>
      <c r="I51" s="3"/>
      <c r="J51" s="2"/>
      <c r="K51" s="5"/>
      <c r="L51" s="2068">
        <f>IF(AND(M41&lt;&gt;"",M41&lt;&gt;"Test not currently required based on lines 4 - 20"),0,IF(H36&lt;&gt;"",0,IF(N71=TRUE,J47,J47+M47)))</f>
        <v>0</v>
      </c>
      <c r="M51" s="2068"/>
      <c r="P51" s="2101" t="s">
        <v>815</v>
      </c>
      <c r="Q51" s="2101"/>
      <c r="R51" s="2101"/>
      <c r="S51" s="415">
        <f>M48</f>
        <v>0</v>
      </c>
      <c r="T51" s="415">
        <f>J48</f>
        <v>0</v>
      </c>
      <c r="U51" s="415">
        <f>IF(AF47&lt;&gt;0,AF47,Z47)</f>
        <v>0</v>
      </c>
      <c r="V51" s="2034">
        <f>IF(AF47&lt;&gt;0,Z47,0)</f>
        <v>0</v>
      </c>
      <c r="W51" s="2034"/>
      <c r="X51" s="2"/>
      <c r="Y51" s="2048">
        <f>L58*12</f>
        <v>0</v>
      </c>
      <c r="Z51" s="2048"/>
      <c r="AA51" s="2048"/>
      <c r="AB51" s="2048"/>
      <c r="AC51" s="2048"/>
      <c r="AD51" s="2048">
        <f>IF(AF47&lt;&gt;0,((Y51+U51)/2),0)</f>
        <v>0</v>
      </c>
      <c r="AE51" s="2048"/>
      <c r="AF51" s="2048"/>
      <c r="AG51" s="2048"/>
      <c r="AH51" s="2048"/>
      <c r="AI51" s="2048"/>
    </row>
    <row r="52" spans="1:37" ht="15" customHeight="1" x14ac:dyDescent="0.35">
      <c r="A52" s="9" t="str">
        <f>IF(O1=2,"22. ","24. ")</f>
        <v xml:space="preserve">24. </v>
      </c>
      <c r="B52" s="1701" t="s">
        <v>12</v>
      </c>
      <c r="C52" s="1701"/>
      <c r="D52" s="1701"/>
      <c r="E52" s="1701"/>
      <c r="F52" s="1"/>
      <c r="G52" s="1701"/>
      <c r="H52" s="1701"/>
      <c r="I52" s="2"/>
      <c r="J52" s="2"/>
      <c r="K52" s="6"/>
      <c r="L52" s="396"/>
      <c r="M52" s="396"/>
      <c r="N52" s="2"/>
      <c r="Q52" s="402"/>
      <c r="R52" s="402"/>
      <c r="S52" s="402"/>
      <c r="T52" s="402"/>
      <c r="V52" s="403"/>
      <c r="W52" s="403"/>
      <c r="X52" s="403"/>
      <c r="Y52" s="403"/>
      <c r="Z52" s="403"/>
      <c r="AA52" s="403"/>
      <c r="AB52" s="403"/>
      <c r="AC52" s="403"/>
      <c r="AD52" s="403"/>
      <c r="AE52" s="403"/>
      <c r="AF52" s="403"/>
      <c r="AG52" s="403"/>
      <c r="AH52" s="403"/>
      <c r="AI52" s="403"/>
      <c r="AJ52" s="403"/>
      <c r="AK52" s="398"/>
    </row>
    <row r="53" spans="1:37" ht="3" customHeight="1" thickBot="1" x14ac:dyDescent="0.4">
      <c r="A53" s="9"/>
      <c r="B53" s="2"/>
      <c r="C53" s="2"/>
      <c r="D53" s="2"/>
      <c r="E53" s="2"/>
      <c r="F53" s="12">
        <v>17</v>
      </c>
      <c r="G53" s="2"/>
      <c r="H53" s="2000" t="str">
        <f>IF(OR(AND(N69=TRUE,F52&gt;12),AND(D57&lt;&gt;"",D57&gt;12),AND(F57&lt;&gt;"",F57&gt;12)),"Error: Greater than 12 months in one year entered","")</f>
        <v/>
      </c>
      <c r="I53" s="2000"/>
      <c r="J53" s="2000"/>
      <c r="K53" s="2000"/>
      <c r="L53" s="14"/>
      <c r="M53" s="14"/>
      <c r="N53" s="2"/>
      <c r="P53" s="2040" t="str">
        <f>IF(M47&lt;&gt;0,CONCATENATE(M10," Tax Return - ", J10," Tax Return:"),"")</f>
        <v/>
      </c>
      <c r="Q53" s="2040"/>
      <c r="R53" s="2040"/>
      <c r="S53" s="2040"/>
      <c r="T53" s="2040"/>
      <c r="U53" s="1524" t="str">
        <f>IF(AND(J48&lt;&gt;0,J47&lt;M47,OR(G56="",G56=12,G56=24)),CONCATENATE(ROUND(((M47-J47)/M47)*100,2),"%"," Decline from '",M10," Tax Returns' to '",J10," Tax Returns'"),
IF(AND(J48&lt;&gt;0,G56&gt;12,G56&lt;24,J47&lt;M48),CONCATENATE(ROUND(((M48-J47)/M48)*100,2),"%"," Decline from '",M10," Tax Returns' to '",J10," Tax Returns'"),
IF(AND(J48&lt;&gt;0,J47&lt;M47),(CONCATENATE("Decline from '",M10," Tax Retunrs' to '",J10," Tax Returns'")),
IF(AND(J48&lt;&gt;0,J47&gt;M47,OR(G56="",G56=12,G56=24)),CONCATENATE(ROUND(((J47-M47)/M47)*100,2),"%"," Increase from '",M10," Tax Returns' to '",J10," Tax Returns'"),
IF(AND(J48&lt;&gt;0,G56&gt;12,G56&lt;24,J47&gt;M48),CONCATENATE(ROUND(((J47-M48)/M48)*100,2),"%"," Increase from '",M10," Tax Returns' to '",J10," Tax Returns'"),IF(AND(J47&lt;&gt;0,M48&lt;&gt;0,M48=J47),"No Change",""))))))</f>
        <v/>
      </c>
      <c r="V53" s="1524"/>
      <c r="W53" s="1524"/>
      <c r="X53" s="1524"/>
      <c r="Y53" s="1524"/>
      <c r="Z53" s="1524"/>
      <c r="AA53" s="1524"/>
      <c r="AB53" s="1524"/>
      <c r="AC53" s="1524"/>
      <c r="AD53" s="1524"/>
      <c r="AE53" s="1524"/>
      <c r="AF53" s="1524"/>
      <c r="AG53" s="1524"/>
      <c r="AH53" s="1524"/>
      <c r="AI53" s="1524"/>
      <c r="AJ53" s="1524"/>
      <c r="AK53" s="398"/>
    </row>
    <row r="54" spans="1:37" ht="10.5" customHeight="1" thickBot="1" x14ac:dyDescent="0.4">
      <c r="A54" s="864"/>
      <c r="B54" s="1993" t="s">
        <v>299</v>
      </c>
      <c r="C54" s="1994"/>
      <c r="D54" s="1994"/>
      <c r="E54" s="1994"/>
      <c r="F54" s="1994"/>
      <c r="G54" s="1995"/>
      <c r="H54" s="2000"/>
      <c r="I54" s="2000"/>
      <c r="J54" s="2000"/>
      <c r="K54" s="2000"/>
      <c r="L54" s="395"/>
      <c r="M54" s="395"/>
      <c r="N54" s="2"/>
      <c r="P54" s="2040"/>
      <c r="Q54" s="2040"/>
      <c r="R54" s="2040"/>
      <c r="S54" s="2040"/>
      <c r="T54" s="2040"/>
      <c r="U54" s="1524"/>
      <c r="V54" s="1524"/>
      <c r="W54" s="1524"/>
      <c r="X54" s="1524"/>
      <c r="Y54" s="1524"/>
      <c r="Z54" s="1524"/>
      <c r="AA54" s="1524"/>
      <c r="AB54" s="1524"/>
      <c r="AC54" s="1524"/>
      <c r="AD54" s="1524"/>
      <c r="AE54" s="1524"/>
      <c r="AF54" s="1524"/>
      <c r="AG54" s="1524"/>
      <c r="AH54" s="1524"/>
      <c r="AI54" s="1524"/>
      <c r="AJ54" s="1524"/>
      <c r="AK54" s="398"/>
    </row>
    <row r="55" spans="1:37" ht="9.75" customHeight="1" x14ac:dyDescent="0.3">
      <c r="A55" s="864"/>
      <c r="B55" s="2088" t="str">
        <f>CONCATENATE(M10," Start:")</f>
        <v>2024 Start:</v>
      </c>
      <c r="C55" s="1997"/>
      <c r="D55" s="405" t="str">
        <f>CONCATENATE(M10," End:")</f>
        <v>2024 End:</v>
      </c>
      <c r="E55" s="406" t="str">
        <f>CONCATENATE(J10," Start:")</f>
        <v>2025 Start:</v>
      </c>
      <c r="F55" s="405" t="str">
        <f>CONCATENATE(J10," End:")</f>
        <v>2025 End:</v>
      </c>
      <c r="G55" s="407" t="s">
        <v>178</v>
      </c>
      <c r="H55" s="2000"/>
      <c r="I55" s="2000"/>
      <c r="J55" s="2000"/>
      <c r="K55" s="2000"/>
      <c r="L55" s="14"/>
      <c r="M55" s="14"/>
      <c r="N55" s="2"/>
      <c r="P55" s="2040" t="str">
        <f>IF(N1="FHA2",CONCATENATE("Effective Income vs. ",Z10," ",AC10,":"),
IF(AND(AF47=0,N1&lt;&gt;"FHA2"),CONCATENATE(J10," Tax Return - ",Z10," ",AC10,":"),CONCATENATE(J10," Tax Return - ",AF10," ",AI10,":")))</f>
        <v>2025 Tax Return - 2026 P&amp;L:</v>
      </c>
      <c r="Q55" s="2040"/>
      <c r="R55" s="2040"/>
      <c r="S55" s="2040"/>
      <c r="T55" s="2040"/>
      <c r="U55" s="1524" t="str">
        <f>IF(AND(N1="FHA2",L58=0),"",
IF(AND(N1="FHA2",Y51&lt;&gt;0,Z47&lt;&gt;0,Z47&lt;Y51),CONCATENATE(ROUND(((Y51-Z47)/Y51)*100,2),"%"," Decline from 'Effective income' to '",Z10,"'"),
IF(AND(N1="FHA2",Y51&lt;&gt;0,Z47&lt;&gt;0,Z47&gt;Y51),CONCATENATE(ROUND(((Z47-Y51)/Y51)*100,2),"%"," Increase from 'Effective income' to '",Z10,"'"),
IF(AND(N1="FHA2",Y51&lt;&gt;0,Z47&lt;&gt;0,Z47=Y51),"No Change",
IF(AND(J48&lt;&gt;0,Z47&lt;&gt;0,AF47=0,Z47&lt;J48),CONCATENATE(ROUND(((J48-Z47)/J48)*100,2),"%"," Decline from '",J10," Tax Returns' to '",Z10,"'"),
IF(AND(J48&lt;&gt;0,Z47&lt;&gt;0,AF47=0,Z47&gt;J48),CONCATENATE(ROUND(((Z47-J48)/J48)*100,2),"%"," Increase from '",J10," Tax Returns' to '",Z10,"'"),
IF(AND(J48&lt;&gt;0,Z47&lt;&gt;0,AF47=0,Z47=J48),"No Change",
IF(AND(J48&lt;&gt;0,AF47&lt;&gt;0,AF47&gt;J48),CONCATENATE(ROUND(((AF47-J48)/J48)*100,2),"%"," Increase from '",J10," Tax Returns' to '",AF10," ",AI10,"'"),
IF(AND(J48&lt;&gt;0,AF47&lt;&gt;0,AF47&lt;J48),CONCATENATE(ROUND(((J48-AF47)/J48)*100,2),"%"," Decline from '",J10," Tax Returns' to '",AF10," ",AI10,"'"),
IF(AND(J48&lt;&gt;0,AF47&lt;&gt;0,AF47=J48),"No Change",
""))))))))))</f>
        <v/>
      </c>
      <c r="V55" s="1524"/>
      <c r="W55" s="1524"/>
      <c r="X55" s="1524"/>
      <c r="Y55" s="1524"/>
      <c r="Z55" s="1524"/>
      <c r="AA55" s="1524"/>
      <c r="AB55" s="1524"/>
      <c r="AC55" s="1524"/>
      <c r="AD55" s="1524"/>
      <c r="AE55" s="1524"/>
      <c r="AF55" s="1524"/>
      <c r="AG55" s="1524"/>
      <c r="AH55" s="1524"/>
      <c r="AI55" s="1524"/>
      <c r="AJ55" s="1524"/>
      <c r="AK55" s="1524"/>
    </row>
    <row r="56" spans="1:37" ht="12" customHeight="1" thickBot="1" x14ac:dyDescent="0.35">
      <c r="A56" s="864"/>
      <c r="B56" s="2087"/>
      <c r="C56" s="1999"/>
      <c r="D56" s="408"/>
      <c r="E56" s="409"/>
      <c r="F56" s="408"/>
      <c r="G56" s="410" t="str">
        <f>G57</f>
        <v/>
      </c>
      <c r="H56" s="2000"/>
      <c r="I56" s="2000"/>
      <c r="J56" s="2000"/>
      <c r="K56" s="2000"/>
      <c r="L56" s="14"/>
      <c r="M56" s="14"/>
      <c r="N56" s="2"/>
      <c r="P56" s="2040"/>
      <c r="Q56" s="2040"/>
      <c r="R56" s="2040"/>
      <c r="S56" s="2040"/>
      <c r="T56" s="2040"/>
      <c r="U56" s="1524"/>
      <c r="V56" s="1524"/>
      <c r="W56" s="1524"/>
      <c r="X56" s="1524"/>
      <c r="Y56" s="1524"/>
      <c r="Z56" s="1524"/>
      <c r="AA56" s="1524"/>
      <c r="AB56" s="1524"/>
      <c r="AC56" s="1524"/>
      <c r="AD56" s="1524"/>
      <c r="AE56" s="1524"/>
      <c r="AF56" s="1524"/>
      <c r="AG56" s="1524"/>
      <c r="AH56" s="1524"/>
      <c r="AI56" s="1524"/>
      <c r="AJ56" s="1524"/>
      <c r="AK56" s="1524"/>
    </row>
    <row r="57" spans="1:37" ht="3" customHeight="1" x14ac:dyDescent="0.3">
      <c r="A57" s="9"/>
      <c r="B57" s="1981" t="str">
        <f>IF(AND(B56="",D56="",M47&lt;&gt;0),1,IF(AND(B56="",D56="",M47=0),"",IF(AND(B56="",D56&lt;&gt;""),"",IF(AND(B56&lt;&gt;"",D56=""),"",YEARFRAC(B56,D56+1,4)))))</f>
        <v/>
      </c>
      <c r="C57" s="1981"/>
      <c r="D57" s="412" t="str">
        <f>IF(N69=TRUE,"",IF(B57="","",ROUND(B57*12,2)))</f>
        <v/>
      </c>
      <c r="E57" s="413" t="str">
        <f>IF(AND(E56="",F56="",J47&lt;&gt;0),1,IF(AND(E56="",F56="",J47=0),"",IF(AND(E56="",F56&lt;&gt;""),"",IF(AND(E56&lt;&gt;"",F56=""),"",YEARFRAC(E56,F56+1,4)))))</f>
        <v/>
      </c>
      <c r="F57" s="412" t="str">
        <f>IF(E57="","",ROUND(E57*12,2))</f>
        <v/>
      </c>
      <c r="G57" s="414" t="str">
        <f>IF(AND(D57&lt;&gt;"",F57&lt;&gt;""),F57+D57,IF(AND(D57&lt;&gt;"",F57=""),D57,IF(AND(D57="",F57&lt;&gt;""),F57,"")))</f>
        <v/>
      </c>
      <c r="H57" s="2000"/>
      <c r="I57" s="2000"/>
      <c r="J57" s="2000"/>
      <c r="K57" s="2000"/>
      <c r="L57" s="13"/>
      <c r="M57" s="13"/>
      <c r="N57" s="2"/>
      <c r="P57" s="2102" t="str">
        <f>IF(AF47=0,"",
IF(N1="FHA2",CONCATENATE("Effective Income vs. ",AF10," ",AI10,":"),
CONCATENATE(AF10," ",AI10," vs. ",Z10," ",AC10,":")))</f>
        <v/>
      </c>
      <c r="Q57" s="2102"/>
      <c r="R57" s="2102"/>
      <c r="S57" s="2102"/>
      <c r="T57" s="2102"/>
      <c r="U57" s="2133" t="str">
        <f>IF(AND(N1="FHA2",L58=0),"",
IF(AND(N1="FHA2",Y51&lt;&gt;0,AF47&lt;&gt;0,AF47&lt;Y51),CONCATENATE(ROUND(((Y51-AF47)/Y51)*100,2),"%"," Decline from 'Effective' income to '",AF10,"'"),
IF(AND(N1="FHA2",Y51&lt;&gt;0,AF47&lt;&gt;0,AF47&gt;Y51),CONCATENATE(ROUND(((AF47-Y51)/Y51)*100,2),"%"," Increase from 'Effective' income to '",AF10,"'"),
IF(AND(N1="FHA2",Y51&lt;&gt;0,AF47&lt;&gt;0,AF47=Y51),"No Change",
IF(AND(Z47&lt;&gt;0,AF47&lt;&gt;0,AF47&gt;Z47),CONCATENATE(ROUND(((AF47-Z47)/AF47)*100,2),"%"," Decline from '",AF10," ",AI10,"' to '",Z10," ",AC10,"'"),
IF(AND(Z47&lt;&gt;0,AF47&lt;&gt;0,AF47&lt;Z47),CONCATENATE(ROUND(((Z47-AF47)/AF47)*100,2),"%"," Increase from '",AF10," ",AI10,"' to '",Z10," ",AC10,"'"),
IF(AND(Z47&lt;&gt;0,AF47&lt;&gt;0,AF47=Z47),"No Change",
"")))))))</f>
        <v/>
      </c>
      <c r="V57" s="2133"/>
      <c r="W57" s="2133"/>
      <c r="X57" s="2133"/>
      <c r="Y57" s="2133"/>
      <c r="Z57" s="2133"/>
      <c r="AA57" s="2133"/>
      <c r="AB57" s="2133"/>
      <c r="AC57" s="2133"/>
      <c r="AD57" s="2133"/>
      <c r="AE57" s="2133"/>
      <c r="AF57" s="2133"/>
      <c r="AG57" s="2133"/>
      <c r="AH57" s="2133"/>
      <c r="AI57" s="2133"/>
      <c r="AJ57" s="2133"/>
      <c r="AK57" s="399"/>
    </row>
    <row r="58" spans="1:37" ht="15.75" customHeight="1" thickBot="1" x14ac:dyDescent="0.35">
      <c r="A58" s="9" t="str">
        <f>IF(O1=2,"23. ","25. ")</f>
        <v xml:space="preserve">25. </v>
      </c>
      <c r="B58" s="1427" t="s">
        <v>25</v>
      </c>
      <c r="C58" s="1427"/>
      <c r="D58" s="1427"/>
      <c r="E58" s="1427"/>
      <c r="F58" s="1427"/>
      <c r="G58" s="1427"/>
      <c r="H58" s="2000"/>
      <c r="I58" s="2000"/>
      <c r="J58" s="2000"/>
      <c r="K58" s="2000"/>
      <c r="L58" s="2058">
        <f>IF(F52&gt;0,L51/F52,)</f>
        <v>0</v>
      </c>
      <c r="M58" s="2058"/>
      <c r="N58" s="1101">
        <f>IF(N70=TRUE,0,L58)</f>
        <v>0</v>
      </c>
      <c r="P58" s="2102"/>
      <c r="Q58" s="2102"/>
      <c r="R58" s="2102"/>
      <c r="S58" s="2102"/>
      <c r="T58" s="2102"/>
      <c r="U58" s="2133"/>
      <c r="V58" s="2133"/>
      <c r="W58" s="2133"/>
      <c r="X58" s="2133"/>
      <c r="Y58" s="2133"/>
      <c r="Z58" s="2133"/>
      <c r="AA58" s="2133"/>
      <c r="AB58" s="2133"/>
      <c r="AC58" s="2133"/>
      <c r="AD58" s="2133"/>
      <c r="AE58" s="2133"/>
      <c r="AF58" s="2133"/>
      <c r="AG58" s="2133"/>
      <c r="AH58" s="2133"/>
      <c r="AI58" s="2133"/>
      <c r="AJ58" s="2133"/>
      <c r="AK58" s="399"/>
    </row>
    <row r="59" spans="1:37" ht="15.75" customHeight="1" thickTop="1" x14ac:dyDescent="0.3">
      <c r="A59" s="4"/>
      <c r="B59" s="3"/>
      <c r="C59" s="3"/>
      <c r="D59" s="3"/>
      <c r="E59" s="3"/>
      <c r="F59" s="3"/>
      <c r="G59" s="3"/>
      <c r="H59" s="2000"/>
      <c r="I59" s="2000"/>
      <c r="J59" s="2000"/>
      <c r="K59" s="2000"/>
      <c r="L59" s="21"/>
      <c r="M59" s="21"/>
      <c r="N59" s="211"/>
      <c r="P59" s="2065" t="str">
        <f>IF(AND(AF47&lt;&gt;0,N1="FHA2"),CONCATENATE("Effective Inc. + ",AF10," ",AI10," vs. ",Z10," ",AC10,":"),"")</f>
        <v/>
      </c>
      <c r="Q59" s="2065"/>
      <c r="R59" s="2065"/>
      <c r="S59" s="2065"/>
      <c r="T59" s="2065"/>
      <c r="U59" s="1524" t="str">
        <f>IF(AND(N1="FHA2",L58=0),"",
IF(AND(N1="FHA2",Y51&lt;&gt;0,Z47&lt;&gt;0,AF47&lt;&gt;0,Z47&lt;AD51),CONCATENATE(ROUND(((AD51-Z47)/AD51)*100,2),"%"," Decline from 'Effective income + ",AF10,"' to '",Z10,"'"),
IF(AND(N1="FHA2",Y51&lt;&gt;0,Z47&lt;&gt;0,AF47&lt;&gt;0,Z47&gt;AD51),CONCATENATE(ROUND(((Z47-AD51)/AD51)*100,2),"%"," Increase from 'Effective income + ",AF10,"' to '",Z10,"'"),
IF(AND(N1="FHA2",Y51&lt;&gt;0,Z47&lt;&gt;0,AF47&lt;&gt;0,Z47=AD51),"No Change",""))))</f>
        <v/>
      </c>
      <c r="V59" s="1524"/>
      <c r="W59" s="1524"/>
      <c r="X59" s="1524"/>
      <c r="Y59" s="1524"/>
      <c r="Z59" s="1524"/>
      <c r="AA59" s="1524"/>
      <c r="AB59" s="1524"/>
      <c r="AC59" s="1524"/>
      <c r="AD59" s="1524"/>
      <c r="AE59" s="1524"/>
      <c r="AF59" s="1524"/>
      <c r="AG59" s="1524"/>
      <c r="AH59" s="1524"/>
      <c r="AI59" s="1524"/>
      <c r="AJ59" s="1524"/>
      <c r="AK59" s="1524"/>
    </row>
    <row r="60" spans="1:37" ht="10.8" customHeight="1" x14ac:dyDescent="0.3">
      <c r="A60" s="2089" t="s">
        <v>853</v>
      </c>
      <c r="B60" s="2090"/>
      <c r="C60" s="3"/>
      <c r="D60" s="3"/>
      <c r="E60" s="3"/>
      <c r="F60" s="3"/>
      <c r="G60" s="3"/>
      <c r="H60" s="3"/>
      <c r="I60" s="3"/>
      <c r="J60" s="2"/>
      <c r="K60" s="5"/>
      <c r="L60" s="21"/>
      <c r="M60" s="21"/>
      <c r="N60" s="211"/>
      <c r="P60" s="1526" t="s">
        <v>1019</v>
      </c>
      <c r="Q60" s="1526"/>
      <c r="R60" s="1526"/>
      <c r="S60" s="1526"/>
      <c r="T60" s="1526"/>
      <c r="U60" s="1526"/>
      <c r="V60" s="1526"/>
      <c r="W60" s="1526"/>
      <c r="X60" s="1526"/>
      <c r="Y60" s="1526"/>
      <c r="Z60" s="1526"/>
      <c r="AA60" s="1526"/>
      <c r="AB60" s="1526"/>
      <c r="AC60" s="1526"/>
      <c r="AD60" s="1526"/>
      <c r="AE60" s="1526"/>
      <c r="AF60" s="1526"/>
      <c r="AG60" s="1526"/>
      <c r="AH60" s="1526"/>
      <c r="AI60" s="1526"/>
      <c r="AJ60" s="1526"/>
      <c r="AK60" s="397"/>
    </row>
    <row r="61" spans="1:37" ht="52.5" customHeight="1" x14ac:dyDescent="0.3">
      <c r="A61" s="2091"/>
      <c r="B61" s="2092"/>
      <c r="C61" s="2076" t="str">
        <f>IF(J48&lt;M48,C62,IF(J48=M48,C64,C63))</f>
        <v>Caution: Business income stable but 2024 is being excluded and/or the number of months reviewed is less than .  Generally when income is stable 2024 should be included and a  month average of this income should be used, or you must omit the prior year to average over 12 months.  Review above and correct to clear the alert or explain in your notes.</v>
      </c>
      <c r="D61" s="2076"/>
      <c r="E61" s="2076"/>
      <c r="F61" s="2076"/>
      <c r="G61" s="2076"/>
      <c r="H61" s="2076"/>
      <c r="I61" s="2076"/>
      <c r="J61" s="2076"/>
      <c r="K61" s="2076"/>
      <c r="L61" s="2076"/>
      <c r="M61" s="2076"/>
      <c r="N61" s="211"/>
      <c r="P61" s="2132" t="str">
        <f>IF(AND(AF47&lt;&gt;0,J48&lt;&gt;0,AF47&lt;J48,Z47&gt;=AF47),CONCATENATE("Underwriting and Approval Requirement:                                                                                                                                                   The '",AF10,"' for an extended or not yet filed tax return shows a decline of income from ",J10,". Convention loans: Refer to Fannie/Freddie Covid Guidelines.  Gov loans: Even though the income has stabilized now based on the '",Z10,"' they would need to file the returns with the IRS in order to use income from this business. (recalculated using the newly filed returns and ",J10,")"),"")</f>
        <v/>
      </c>
      <c r="Q61" s="2132"/>
      <c r="R61" s="2132"/>
      <c r="S61" s="2132"/>
      <c r="T61" s="2132"/>
      <c r="U61" s="2132"/>
      <c r="V61" s="2132"/>
      <c r="W61" s="2132"/>
      <c r="X61" s="2132"/>
      <c r="Y61" s="2132"/>
      <c r="Z61" s="2132"/>
      <c r="AA61" s="2132"/>
      <c r="AB61" s="2132"/>
      <c r="AC61" s="2132"/>
      <c r="AD61" s="2132"/>
      <c r="AE61" s="2132"/>
      <c r="AF61" s="2132"/>
      <c r="AG61" s="2132"/>
      <c r="AH61" s="2132"/>
      <c r="AI61" s="2132"/>
      <c r="AJ61" s="2132"/>
      <c r="AK61" s="400"/>
    </row>
    <row r="62" spans="1:37" ht="15.75" customHeight="1" x14ac:dyDescent="0.3">
      <c r="A62" s="2091"/>
      <c r="B62" s="2092"/>
      <c r="C62" s="217" t="str">
        <f>CONCATENATE("Caution: Declining income is detected and ", M10, " is not being excluded and/or the number of months reviewed is greater than 12.  Generally with declining income ", M10, " should be excluded and the number of months reviewed should be 12.  Review above and correct to clear the alert or explain the justification in your notes below for not excluding ", M10, " and/or using more than 12 months reviewed.")</f>
        <v>Caution: Declining income is detected and 2024 is not being excluded and/or the number of months reviewed is greater than 12.  Generally with declining income 2024 should be excluded and the number of months reviewed should be 12.  Review above and correct to clear the alert or explain the justification in your notes below for not excluding 2024 and/or using more than 12 months reviewed.</v>
      </c>
      <c r="D62" s="2095" t="str">
        <f>IF(N1="VA","*Note - For VA loan residual calculations, Social security and Medicare deductions must be doubled from calculated figures on 1065 businesses to account for IRS requirements.",
IF(OR(AND(OR(N1=0,N1="FHA"),J48&lt;&gt;0,M48&lt;&gt;0,((M48-J48)&gt;=(M48*0.2))),
AND(OR(N1=0,N1="FHA"),T51&lt;&gt;0,U51&lt;&gt;0,((T51-U51)&gt;=(T51*0.2))),
AND(OR(N1=0,N1="FHA"),U51&lt;&gt;0,V51&lt;&gt;0,((U51-V51)&gt;=(U51*0.2))),
AND(OR(N1=0,N1="FHA2"),Y51&lt;&gt;0,AF47&lt;&gt;0,Z47&lt;&gt;0,((AD51-Z47)&gt;=(AD51*0.2)))),"*Self Employed with 20% or greater decline in business income, FHA loans require Manual Downgrade AND Further Analysis if using income.",""))</f>
        <v/>
      </c>
      <c r="E62" s="2095"/>
      <c r="F62" s="2095"/>
      <c r="G62" s="2095"/>
      <c r="H62" s="1713" t="s">
        <v>1314</v>
      </c>
      <c r="I62" s="1726"/>
      <c r="J62" s="1726"/>
      <c r="K62" s="1726"/>
      <c r="L62" s="1726"/>
      <c r="M62" s="1726"/>
      <c r="N62" s="1726"/>
      <c r="O62" s="1726"/>
      <c r="P62" s="2132"/>
      <c r="Q62" s="2132"/>
      <c r="R62" s="2132"/>
      <c r="S62" s="2132"/>
      <c r="T62" s="2132"/>
      <c r="U62" s="2132"/>
      <c r="V62" s="2132"/>
      <c r="W62" s="2132"/>
      <c r="X62" s="2132"/>
      <c r="Y62" s="2132"/>
      <c r="Z62" s="2132"/>
      <c r="AA62" s="2132"/>
      <c r="AB62" s="2132"/>
      <c r="AC62" s="2132"/>
      <c r="AD62" s="2132"/>
      <c r="AE62" s="2132"/>
      <c r="AF62" s="2132"/>
      <c r="AG62" s="2132"/>
      <c r="AH62" s="2132"/>
      <c r="AI62" s="2132"/>
      <c r="AJ62" s="2132"/>
    </row>
    <row r="63" spans="1:37" ht="15" customHeight="1" x14ac:dyDescent="0.3">
      <c r="A63" s="2093"/>
      <c r="B63" s="2094"/>
      <c r="C63" s="217" t="str">
        <f>CONCATENATE("Caution: Business income increased but ", M10, " is being excluded and/or the number of months reviewed is other than ",G56,".  Generally when income increases ", M10, " should be included and a ",G56," month average of this income should be used.  Review above and correct to clear the alert or explain the justification in your notes below for not including ", M10, " and/or using other than ",G56," month reviewed.")</f>
        <v>Caution: Business income increased but 2024 is being excluded and/or the number of months reviewed is other than .  Generally when income increases 2024 should be included and a  month average of this income should be used.  Review above and correct to clear the alert or explain the justification in your notes below for not including 2024 and/or using other than  month reviewed.</v>
      </c>
      <c r="D63" s="2095"/>
      <c r="E63" s="2095"/>
      <c r="F63" s="2095"/>
      <c r="G63" s="2095"/>
      <c r="H63" s="1726"/>
      <c r="I63" s="1726"/>
      <c r="J63" s="1726"/>
      <c r="K63" s="1726"/>
      <c r="L63" s="1726"/>
      <c r="M63" s="1726"/>
      <c r="N63" s="1726"/>
      <c r="O63" s="1726"/>
      <c r="P63" s="2132"/>
      <c r="Q63" s="2132"/>
      <c r="R63" s="2132"/>
      <c r="S63" s="2132"/>
      <c r="T63" s="2132"/>
      <c r="U63" s="2132"/>
      <c r="V63" s="2132"/>
      <c r="W63" s="2132"/>
      <c r="X63" s="2132"/>
      <c r="Y63" s="2132"/>
      <c r="Z63" s="2132"/>
      <c r="AA63" s="2132"/>
      <c r="AB63" s="2132"/>
      <c r="AC63" s="2132"/>
      <c r="AD63" s="2132"/>
      <c r="AE63" s="2132"/>
      <c r="AF63" s="2132"/>
      <c r="AG63" s="2132"/>
      <c r="AH63" s="2132"/>
      <c r="AI63" s="2132"/>
      <c r="AJ63" s="2132"/>
    </row>
    <row r="64" spans="1:37" ht="18" customHeight="1" x14ac:dyDescent="0.3">
      <c r="C64" s="411" t="str">
        <f>CONCATENATE("Caution: Business income stable but ", M10, " is being excluded and/or the number of months reviewed is less than ",G56,".  Generally when income is stable ", M10, " should be included and a ",G56," month average of this income should be used, or you must omit the prior year to average over 12 months.  Review above and correct to clear the alert or explain in your notes.")</f>
        <v>Caution: Business income stable but 2024 is being excluded and/or the number of months reviewed is less than .  Generally when income is stable 2024 should be included and a  month average of this income should be used, or you must omit the prior year to average over 12 months.  Review above and correct to clear the alert or explain in your notes.</v>
      </c>
      <c r="D64" s="2095"/>
      <c r="E64" s="2095"/>
      <c r="F64" s="2095"/>
      <c r="G64" s="2095"/>
      <c r="H64" s="1713" t="s">
        <v>929</v>
      </c>
      <c r="I64" s="1713"/>
      <c r="J64" s="1713"/>
      <c r="K64" s="1713"/>
      <c r="L64" s="1713"/>
      <c r="M64" s="1713"/>
      <c r="N64" s="1713"/>
      <c r="O64" s="1713"/>
      <c r="P64" s="435"/>
      <c r="Q64" s="435"/>
      <c r="R64" s="2095" t="str">
        <f>IF(D62&lt;&gt;"","*Self Employed with 20% or greater decline in business income,
FHA loans require Manual Downgrade AND Further Analysis if using income.","")</f>
        <v/>
      </c>
      <c r="S64" s="2095"/>
      <c r="T64" s="2095"/>
      <c r="U64" s="2095"/>
      <c r="V64" s="2095"/>
      <c r="W64" s="2095"/>
      <c r="X64" s="2095"/>
      <c r="Y64" s="2095"/>
      <c r="Z64" s="2095"/>
      <c r="AA64" s="2095"/>
      <c r="AB64" s="435"/>
      <c r="AC64" s="435"/>
      <c r="AD64" s="435"/>
      <c r="AE64" s="435"/>
      <c r="AF64" s="435"/>
      <c r="AG64" s="435"/>
      <c r="AH64" s="435"/>
      <c r="AI64" s="435"/>
      <c r="AJ64" s="435"/>
    </row>
    <row r="65" spans="1:37" ht="15" customHeight="1" x14ac:dyDescent="0.3">
      <c r="A65" s="1475" t="s">
        <v>1074</v>
      </c>
      <c r="B65" s="1475"/>
      <c r="C65" s="1475"/>
      <c r="D65" s="1475"/>
      <c r="E65" s="1475"/>
      <c r="F65" s="1475"/>
      <c r="G65" s="19"/>
      <c r="H65" s="1713"/>
      <c r="I65" s="1713"/>
      <c r="J65" s="1713"/>
      <c r="K65" s="1713"/>
      <c r="L65" s="1713"/>
      <c r="M65" s="1713"/>
      <c r="N65" s="1713"/>
      <c r="O65" s="1713"/>
      <c r="R65" s="2095"/>
      <c r="S65" s="2095"/>
      <c r="T65" s="2095"/>
      <c r="U65" s="2095"/>
      <c r="V65" s="2095"/>
      <c r="W65" s="2095"/>
      <c r="X65" s="2095"/>
      <c r="Y65" s="2095"/>
      <c r="Z65" s="2095"/>
      <c r="AA65" s="2095"/>
      <c r="AB65" s="423"/>
      <c r="AC65" s="20"/>
      <c r="AD65" s="20"/>
      <c r="AE65" s="20"/>
      <c r="AF65" s="20"/>
      <c r="AG65" s="20"/>
      <c r="AH65" s="20"/>
      <c r="AI65" s="20"/>
      <c r="AJ65" s="20"/>
      <c r="AK65" s="1139"/>
    </row>
    <row r="66" spans="1:37" ht="15" customHeight="1" x14ac:dyDescent="0.3">
      <c r="A66" s="1325"/>
      <c r="B66" s="1325"/>
      <c r="C66" s="1325"/>
      <c r="D66" s="1325"/>
      <c r="E66" s="1325"/>
      <c r="F66" s="1325"/>
      <c r="G66" s="1325"/>
      <c r="H66" s="1325"/>
      <c r="I66" s="1325"/>
      <c r="J66" s="1325"/>
      <c r="K66" s="1325"/>
      <c r="L66" s="1325"/>
      <c r="M66" s="1325"/>
      <c r="N66" s="1325"/>
      <c r="O66" s="1325"/>
      <c r="P66" s="1475"/>
      <c r="Q66" s="1475"/>
      <c r="R66" s="423"/>
      <c r="S66" s="423"/>
      <c r="T66" s="423"/>
      <c r="U66" s="423"/>
      <c r="V66" s="423"/>
      <c r="W66" s="423"/>
      <c r="X66" s="423"/>
      <c r="Y66" s="423"/>
      <c r="Z66" s="423"/>
      <c r="AA66" s="20"/>
      <c r="AB66" s="20"/>
      <c r="AC66" s="20"/>
      <c r="AD66" s="20"/>
      <c r="AE66" s="20"/>
      <c r="AF66" s="20"/>
      <c r="AG66" s="20"/>
      <c r="AH66" s="20"/>
      <c r="AI66" s="20"/>
      <c r="AJ66" s="20"/>
      <c r="AK66" s="20"/>
    </row>
    <row r="67" spans="1:37" ht="15" customHeight="1" x14ac:dyDescent="0.3">
      <c r="A67" s="1325"/>
      <c r="B67" s="1325"/>
      <c r="C67" s="1325"/>
      <c r="D67" s="1325"/>
      <c r="E67" s="1325"/>
      <c r="F67" s="1325"/>
      <c r="G67" s="1325"/>
      <c r="H67" s="1325"/>
      <c r="I67" s="1325"/>
      <c r="J67" s="1325"/>
      <c r="K67" s="1325"/>
      <c r="L67" s="1325"/>
      <c r="M67" s="1325"/>
      <c r="N67" s="1325"/>
      <c r="O67" s="1325"/>
      <c r="P67" s="1325"/>
      <c r="Q67" s="1325"/>
      <c r="R67" s="1325"/>
      <c r="S67" s="1325"/>
      <c r="T67" s="1325"/>
      <c r="U67" s="1325"/>
      <c r="V67" s="1325"/>
      <c r="W67" s="1325"/>
      <c r="X67" s="1325"/>
      <c r="Y67" s="1325"/>
      <c r="Z67" s="1325"/>
      <c r="AA67" s="1325"/>
      <c r="AB67" s="1325"/>
      <c r="AC67" s="1325"/>
      <c r="AD67" s="1325"/>
      <c r="AE67" s="1325"/>
      <c r="AF67" s="1325"/>
      <c r="AG67" s="1325"/>
      <c r="AH67" s="1325"/>
      <c r="AI67" s="1325"/>
      <c r="AJ67" s="1325"/>
      <c r="AK67" s="1139"/>
    </row>
    <row r="68" spans="1:37" x14ac:dyDescent="0.3">
      <c r="A68" s="1325"/>
      <c r="B68" s="1325"/>
      <c r="C68" s="1325"/>
      <c r="D68" s="1325"/>
      <c r="E68" s="1325"/>
      <c r="F68" s="1325"/>
      <c r="G68" s="1325"/>
      <c r="H68" s="1325"/>
      <c r="I68" s="1325"/>
      <c r="J68" s="1325"/>
      <c r="K68" s="1325"/>
      <c r="L68" s="1325"/>
      <c r="M68" s="1325"/>
      <c r="N68" s="1325"/>
      <c r="O68" s="1325"/>
      <c r="P68" s="1325"/>
      <c r="Q68" s="1325"/>
      <c r="R68" s="1325"/>
      <c r="S68" s="1325"/>
      <c r="T68" s="1325"/>
      <c r="U68" s="1325"/>
      <c r="V68" s="1325"/>
      <c r="W68" s="1325"/>
      <c r="X68" s="1325"/>
      <c r="Y68" s="1325"/>
      <c r="Z68" s="1325"/>
      <c r="AA68" s="1325"/>
      <c r="AB68" s="1325"/>
      <c r="AC68" s="1325"/>
      <c r="AD68" s="1325"/>
      <c r="AE68" s="1325"/>
      <c r="AF68" s="1325"/>
      <c r="AG68" s="1325"/>
      <c r="AH68" s="1325"/>
      <c r="AI68" s="1325"/>
      <c r="AJ68" s="1325"/>
      <c r="AK68" s="1139"/>
    </row>
    <row r="69" spans="1:37" ht="10.8" hidden="1" customHeight="1" x14ac:dyDescent="0.3">
      <c r="A69" s="609"/>
      <c r="B69" s="28"/>
      <c r="C69" s="28"/>
      <c r="D69" s="28"/>
      <c r="E69" s="28"/>
      <c r="F69" s="28"/>
      <c r="G69" s="28"/>
      <c r="H69" s="28"/>
      <c r="I69" s="28"/>
      <c r="J69" s="28"/>
      <c r="K69" s="28"/>
      <c r="L69" s="1192" t="b">
        <v>0</v>
      </c>
      <c r="M69" s="1158" t="b">
        <v>0</v>
      </c>
      <c r="N69" s="1160" t="b">
        <f>IF(AND(M69=TRUE,OR(N1="Conventional",N1="Other"),N2="Yes, 1 yr returns confirmed"),TRUE,FALSE)</f>
        <v>0</v>
      </c>
      <c r="O69" s="1161" t="b">
        <f>IF(AND(M70=TRUE,OR(N1="Conventional",N1="Other")),TRUE,FALSE)</f>
        <v>0</v>
      </c>
      <c r="P69" s="609"/>
      <c r="Q69" s="28"/>
      <c r="R69" s="28"/>
      <c r="S69" s="28"/>
      <c r="T69" s="28"/>
      <c r="U69" s="28"/>
      <c r="V69" s="28"/>
      <c r="W69" s="28"/>
      <c r="X69" s="28"/>
      <c r="Y69" s="28"/>
      <c r="Z69" s="28"/>
      <c r="AA69" s="28"/>
      <c r="AB69" s="28"/>
      <c r="AC69" s="28"/>
      <c r="AD69" s="28"/>
      <c r="AE69" s="28"/>
      <c r="AF69" s="28"/>
      <c r="AG69" s="28"/>
      <c r="AH69" s="28"/>
      <c r="AI69" s="28"/>
      <c r="AJ69" s="28"/>
    </row>
    <row r="70" spans="1:37" hidden="1" x14ac:dyDescent="0.3">
      <c r="M70" s="1159" t="b">
        <v>0</v>
      </c>
      <c r="N70" s="1046" t="b">
        <v>0</v>
      </c>
      <c r="O70" s="1046" t="b">
        <v>1</v>
      </c>
      <c r="P70" s="15"/>
      <c r="AJ70" s="47" t="b">
        <v>0</v>
      </c>
    </row>
    <row r="71" spans="1:37" hidden="1" x14ac:dyDescent="0.3">
      <c r="N71" s="1046" t="b">
        <v>0</v>
      </c>
      <c r="O71" s="1046" t="b">
        <v>1</v>
      </c>
      <c r="P71" s="15"/>
      <c r="AI71" s="47"/>
      <c r="AJ71" s="43" t="b">
        <v>0</v>
      </c>
      <c r="AK71" s="390" t="b">
        <v>0</v>
      </c>
    </row>
    <row r="72" spans="1:37" ht="15.6" hidden="1" x14ac:dyDescent="0.3">
      <c r="A72" s="1482" t="str">
        <f ca="1">REPLACE(CELL("filename",A72),1,FIND("]",CELL("filename",A72)),"")</f>
        <v>1065</v>
      </c>
      <c r="B72" s="1482"/>
      <c r="C72" s="1482"/>
      <c r="D72" s="1482"/>
      <c r="O72" s="1046" t="b">
        <v>1</v>
      </c>
      <c r="P72" s="1482" t="str">
        <f ca="1">REPLACE(CELL("filename",P72),1,FIND("]",CELL("filename",P72)),"")</f>
        <v>1065</v>
      </c>
      <c r="Q72" s="1482"/>
      <c r="R72" s="1482"/>
      <c r="S72" s="1482"/>
    </row>
    <row r="73" spans="1:37" ht="9" customHeight="1" x14ac:dyDescent="0.3">
      <c r="A73" s="219"/>
      <c r="B73" s="219"/>
      <c r="C73" s="219"/>
      <c r="D73" s="219"/>
      <c r="M73" s="244"/>
      <c r="N73" s="244"/>
      <c r="O73" s="731"/>
      <c r="P73" s="219"/>
      <c r="Q73" s="219"/>
      <c r="R73" s="219"/>
      <c r="S73" s="219"/>
      <c r="AC73" s="244"/>
      <c r="AD73" s="244"/>
      <c r="AE73" s="244"/>
      <c r="AF73" s="244"/>
      <c r="AG73" s="244"/>
      <c r="AH73" s="244"/>
      <c r="AI73" s="244"/>
      <c r="AJ73" s="244"/>
    </row>
    <row r="74" spans="1:37" ht="15.6" x14ac:dyDescent="0.3">
      <c r="A74" s="219"/>
      <c r="B74" s="219"/>
      <c r="C74" s="219"/>
      <c r="D74" s="219"/>
      <c r="M74" s="244"/>
      <c r="N74" s="244"/>
      <c r="O74" s="731"/>
      <c r="P74" s="219"/>
      <c r="Q74" s="219"/>
      <c r="R74" s="219"/>
      <c r="S74" s="219"/>
      <c r="AC74" s="244"/>
      <c r="AD74" s="244"/>
      <c r="AE74" s="244"/>
      <c r="AF74" s="244"/>
      <c r="AG74" s="244"/>
      <c r="AH74" s="244"/>
      <c r="AI74" s="244"/>
      <c r="AJ74" s="244"/>
    </row>
    <row r="75" spans="1:37" ht="15.6" x14ac:dyDescent="0.3">
      <c r="A75" s="219"/>
      <c r="B75" s="219"/>
      <c r="C75" s="219"/>
      <c r="D75" s="219"/>
      <c r="M75" s="244"/>
      <c r="N75" s="244"/>
      <c r="O75" s="731"/>
      <c r="P75" s="219"/>
      <c r="Q75" s="219"/>
      <c r="R75" s="219"/>
      <c r="S75" s="219"/>
      <c r="AC75" s="244"/>
      <c r="AD75" s="244"/>
      <c r="AE75" s="244"/>
      <c r="AF75" s="244"/>
      <c r="AG75" s="244"/>
      <c r="AH75" s="244"/>
      <c r="AI75" s="244"/>
      <c r="AJ75" s="244"/>
    </row>
    <row r="76" spans="1:37" ht="15.6" x14ac:dyDescent="0.3">
      <c r="A76" s="219"/>
      <c r="B76" s="219"/>
      <c r="C76" s="219"/>
      <c r="D76" s="219"/>
      <c r="M76" s="1419" t="str">
        <f>Version</f>
        <v>Version 2026.1</v>
      </c>
      <c r="N76" s="1419"/>
      <c r="O76" s="1419"/>
      <c r="P76" s="219"/>
      <c r="Q76" s="219"/>
      <c r="R76" s="219"/>
      <c r="S76" s="219"/>
      <c r="AB76" s="1419" t="str">
        <f>Version</f>
        <v>Version 2026.1</v>
      </c>
      <c r="AC76" s="1419"/>
      <c r="AD76" s="1419"/>
      <c r="AE76" s="1419"/>
      <c r="AF76" s="1419"/>
      <c r="AG76" s="1419"/>
      <c r="AH76" s="1419"/>
      <c r="AI76" s="1419"/>
      <c r="AJ76" s="1419"/>
    </row>
    <row r="78" spans="1:37" ht="33.75" customHeight="1" x14ac:dyDescent="0.5">
      <c r="A78" s="1321" t="s">
        <v>31</v>
      </c>
      <c r="B78" s="1321"/>
      <c r="C78" s="1321"/>
      <c r="D78" s="1321"/>
      <c r="E78" s="1321"/>
      <c r="F78" s="1321"/>
      <c r="G78" s="1321"/>
      <c r="H78" s="1321"/>
      <c r="I78" s="1321"/>
      <c r="J78" s="1321"/>
      <c r="K78" s="1321"/>
      <c r="L78" s="1321"/>
      <c r="M78" s="1321"/>
      <c r="N78" s="1321"/>
      <c r="O78" s="1321"/>
    </row>
    <row r="79" spans="1:37" ht="23.4" x14ac:dyDescent="0.45">
      <c r="A79" s="1409" t="s">
        <v>32</v>
      </c>
      <c r="B79" s="1409"/>
      <c r="C79" s="1409"/>
      <c r="D79" s="1409"/>
      <c r="E79" s="1409"/>
      <c r="F79" s="1409"/>
      <c r="G79" s="1409"/>
      <c r="H79" s="1409"/>
      <c r="I79" s="1409"/>
      <c r="J79" s="1409"/>
      <c r="K79" s="1409"/>
      <c r="L79" s="1409"/>
      <c r="M79" s="1409"/>
      <c r="N79" s="1409"/>
      <c r="O79" s="1409"/>
    </row>
    <row r="80" spans="1:37" x14ac:dyDescent="0.3">
      <c r="A80" s="1245"/>
      <c r="B80" s="1245"/>
      <c r="C80" s="1245"/>
      <c r="D80" s="1245"/>
      <c r="E80" s="1245"/>
      <c r="F80" s="1245"/>
      <c r="G80" s="1245"/>
      <c r="H80" s="1245"/>
      <c r="I80" s="1245"/>
      <c r="J80" s="1245"/>
      <c r="K80" s="1245"/>
      <c r="L80" s="1245"/>
      <c r="M80" s="1245"/>
      <c r="N80" s="1245"/>
    </row>
    <row r="81" spans="1:15" x14ac:dyDescent="0.3">
      <c r="A81" s="1245"/>
      <c r="B81" s="1245"/>
      <c r="C81" s="1245"/>
      <c r="D81" s="1245"/>
      <c r="E81" s="1245"/>
      <c r="F81" s="1245"/>
      <c r="G81" s="1245"/>
      <c r="H81" s="1245"/>
      <c r="I81" s="1245"/>
      <c r="J81" s="1245"/>
      <c r="K81" s="1245"/>
      <c r="L81" s="1245"/>
      <c r="M81" s="1245"/>
      <c r="N81" s="1245"/>
    </row>
    <row r="82" spans="1:15" x14ac:dyDescent="0.3">
      <c r="A82" s="1324" t="s">
        <v>223</v>
      </c>
      <c r="B82" s="1324"/>
      <c r="C82" s="1324"/>
      <c r="D82" s="1324"/>
      <c r="E82" s="1324"/>
      <c r="F82" s="1324"/>
      <c r="G82" s="1324"/>
      <c r="H82" s="1324"/>
      <c r="I82" s="1324"/>
      <c r="J82" s="1324"/>
      <c r="K82" s="1324"/>
      <c r="L82" s="1324"/>
      <c r="M82" s="1324"/>
      <c r="N82" s="1324"/>
    </row>
    <row r="83" spans="1:15" ht="8.25" customHeight="1" x14ac:dyDescent="0.3">
      <c r="A83" s="196"/>
      <c r="B83" s="196"/>
      <c r="C83" s="196"/>
      <c r="D83" s="196"/>
      <c r="E83" s="196"/>
      <c r="F83" s="196"/>
      <c r="G83" s="196"/>
      <c r="H83" s="196"/>
      <c r="I83" s="196"/>
      <c r="J83" s="196"/>
      <c r="K83" s="196"/>
      <c r="L83" s="196"/>
      <c r="M83" s="196"/>
      <c r="N83" s="196"/>
    </row>
    <row r="84" spans="1:15" x14ac:dyDescent="0.3">
      <c r="A84" s="1903" t="s">
        <v>268</v>
      </c>
      <c r="B84" s="1903"/>
      <c r="C84" s="1903"/>
      <c r="D84" s="1903"/>
      <c r="E84" s="1903"/>
      <c r="F84" s="1903"/>
      <c r="G84" s="1903"/>
      <c r="H84" s="1903"/>
      <c r="I84" s="1903"/>
      <c r="J84" s="1903"/>
      <c r="K84" s="1903"/>
      <c r="L84" s="1903"/>
      <c r="M84" s="1903"/>
      <c r="N84" s="1903"/>
      <c r="O84" s="1903"/>
    </row>
    <row r="85" spans="1:15" x14ac:dyDescent="0.3">
      <c r="A85" s="1903" t="s">
        <v>263</v>
      </c>
      <c r="B85" s="1903"/>
      <c r="C85" s="1903"/>
      <c r="D85" s="1903"/>
      <c r="E85" s="1903"/>
      <c r="F85" s="1903"/>
      <c r="G85" s="1903"/>
      <c r="H85" s="1903"/>
      <c r="I85" s="1903"/>
      <c r="J85" s="1903"/>
      <c r="K85" s="1903"/>
      <c r="L85" s="1903"/>
      <c r="M85" s="1903"/>
      <c r="N85" s="1903"/>
      <c r="O85" s="1903"/>
    </row>
    <row r="86" spans="1:15" x14ac:dyDescent="0.3">
      <c r="A86" s="1903" t="s">
        <v>265</v>
      </c>
      <c r="B86" s="1903"/>
      <c r="C86" s="1903"/>
      <c r="D86" s="1903"/>
      <c r="E86" s="1903"/>
      <c r="F86" s="1903"/>
      <c r="G86" s="1903"/>
      <c r="H86" s="1903"/>
      <c r="I86" s="1903"/>
      <c r="J86" s="1903"/>
      <c r="K86" s="1903"/>
      <c r="L86" s="1903"/>
      <c r="M86" s="1903"/>
      <c r="N86" s="1903"/>
      <c r="O86" s="1903"/>
    </row>
    <row r="87" spans="1:15" x14ac:dyDescent="0.3">
      <c r="A87" s="1903" t="s">
        <v>266</v>
      </c>
      <c r="B87" s="1903"/>
      <c r="C87" s="1903"/>
      <c r="D87" s="1903"/>
      <c r="E87" s="1903"/>
      <c r="F87" s="1903"/>
      <c r="G87" s="1903"/>
      <c r="H87" s="1903"/>
      <c r="I87" s="1903"/>
      <c r="J87" s="1903"/>
      <c r="K87" s="1903"/>
      <c r="L87" s="1903"/>
      <c r="M87" s="1903"/>
      <c r="N87" s="1903"/>
      <c r="O87" s="1903"/>
    </row>
    <row r="88" spans="1:15" x14ac:dyDescent="0.3">
      <c r="A88" s="1903" t="s">
        <v>838</v>
      </c>
      <c r="B88" s="1903"/>
      <c r="C88" s="1903"/>
      <c r="D88" s="1903"/>
      <c r="E88" s="1903"/>
      <c r="F88" s="1903"/>
      <c r="G88" s="1903"/>
      <c r="H88" s="1903"/>
      <c r="I88" s="1903"/>
      <c r="J88" s="1903"/>
      <c r="K88" s="1903"/>
      <c r="L88" s="1903"/>
      <c r="M88" s="1903"/>
      <c r="N88" s="1903"/>
      <c r="O88" s="1903"/>
    </row>
    <row r="89" spans="1:15" x14ac:dyDescent="0.3">
      <c r="A89" s="1903" t="s">
        <v>839</v>
      </c>
      <c r="B89" s="1903"/>
      <c r="C89" s="1903"/>
      <c r="D89" s="1903"/>
      <c r="E89" s="1903"/>
      <c r="F89" s="1903"/>
      <c r="G89" s="1903"/>
      <c r="H89" s="1903"/>
      <c r="I89" s="1903"/>
      <c r="J89" s="1903"/>
      <c r="K89" s="1903"/>
      <c r="L89" s="1903"/>
      <c r="M89" s="1903"/>
      <c r="N89" s="1903"/>
      <c r="O89" s="1903"/>
    </row>
    <row r="90" spans="1:15" x14ac:dyDescent="0.3">
      <c r="A90" s="1903" t="s">
        <v>840</v>
      </c>
      <c r="B90" s="1903"/>
      <c r="C90" s="1903"/>
      <c r="D90" s="1903"/>
      <c r="E90" s="1903"/>
      <c r="F90" s="1903"/>
      <c r="G90" s="1903"/>
      <c r="H90" s="1903"/>
      <c r="I90" s="1903"/>
      <c r="J90" s="1903"/>
      <c r="K90" s="1903"/>
      <c r="L90" s="1903"/>
      <c r="M90" s="1903"/>
      <c r="N90" s="1903"/>
      <c r="O90" s="1903"/>
    </row>
    <row r="91" spans="1:15" x14ac:dyDescent="0.3">
      <c r="A91" s="29"/>
      <c r="B91" s="29"/>
      <c r="C91" s="29"/>
      <c r="D91" s="29"/>
      <c r="E91" s="29"/>
      <c r="F91" s="29"/>
      <c r="G91" s="29"/>
      <c r="H91" s="29"/>
      <c r="I91" s="29"/>
      <c r="J91" s="29"/>
      <c r="K91" s="29"/>
      <c r="L91" s="29"/>
      <c r="M91" s="29"/>
      <c r="N91" s="29"/>
    </row>
    <row r="92" spans="1:15" x14ac:dyDescent="0.3">
      <c r="A92" s="1903" t="s">
        <v>269</v>
      </c>
      <c r="B92" s="1903"/>
      <c r="C92" s="1903"/>
      <c r="D92" s="1903"/>
      <c r="E92" s="1903"/>
      <c r="F92" s="1903"/>
      <c r="G92" s="1903"/>
      <c r="H92" s="1903"/>
      <c r="I92" s="1903"/>
      <c r="J92" s="1903"/>
      <c r="K92" s="1903"/>
      <c r="L92" s="1903"/>
      <c r="M92" s="1903"/>
      <c r="N92" s="1903"/>
      <c r="O92" s="1903"/>
    </row>
    <row r="93" spans="1:15" x14ac:dyDescent="0.3">
      <c r="A93" s="1903" t="s">
        <v>73</v>
      </c>
      <c r="B93" s="1903"/>
      <c r="C93" s="1903"/>
      <c r="D93" s="1903"/>
      <c r="E93" s="1903"/>
      <c r="F93" s="1903"/>
      <c r="G93" s="1903"/>
      <c r="H93" s="1903"/>
      <c r="I93" s="1903"/>
      <c r="J93" s="1903"/>
      <c r="K93" s="1903"/>
      <c r="L93" s="1903"/>
      <c r="M93" s="1903"/>
      <c r="N93" s="1903"/>
      <c r="O93" s="1903"/>
    </row>
    <row r="94" spans="1:15" x14ac:dyDescent="0.3">
      <c r="A94" s="1903" t="s">
        <v>72</v>
      </c>
      <c r="B94" s="1903"/>
      <c r="C94" s="1903"/>
      <c r="D94" s="1903"/>
      <c r="E94" s="1903"/>
      <c r="F94" s="1903"/>
      <c r="G94" s="1903"/>
      <c r="H94" s="1903"/>
      <c r="I94" s="1903"/>
      <c r="J94" s="1903"/>
      <c r="K94" s="1903"/>
      <c r="L94" s="1903"/>
      <c r="M94" s="1903"/>
      <c r="N94" s="1903"/>
      <c r="O94" s="1903"/>
    </row>
    <row r="95" spans="1:15" x14ac:dyDescent="0.3">
      <c r="A95"/>
    </row>
    <row r="96" spans="1:15" x14ac:dyDescent="0.3">
      <c r="A96" s="1903" t="s">
        <v>298</v>
      </c>
      <c r="B96" s="1903"/>
      <c r="C96" s="1903"/>
      <c r="D96" s="1903"/>
      <c r="E96" s="1903"/>
      <c r="F96" s="1903"/>
      <c r="G96" s="1903"/>
      <c r="H96" s="1903"/>
      <c r="I96" s="1903"/>
      <c r="J96" s="1903"/>
      <c r="K96" s="1903"/>
      <c r="L96" s="1903"/>
      <c r="M96" s="1903"/>
      <c r="N96" s="1903"/>
      <c r="O96" s="1903"/>
    </row>
    <row r="97" spans="1:15" x14ac:dyDescent="0.3">
      <c r="A97" s="1903" t="s">
        <v>68</v>
      </c>
      <c r="B97" s="1903"/>
      <c r="C97" s="1903"/>
      <c r="D97" s="1903"/>
      <c r="E97" s="1903"/>
      <c r="F97" s="1903"/>
      <c r="G97" s="1903"/>
      <c r="H97" s="1903"/>
      <c r="I97" s="1903"/>
      <c r="J97" s="1903"/>
      <c r="K97" s="1903"/>
      <c r="L97" s="1903"/>
      <c r="M97" s="1903"/>
      <c r="N97" s="1903"/>
      <c r="O97" s="1903"/>
    </row>
    <row r="98" spans="1:15" x14ac:dyDescent="0.3">
      <c r="A98" s="29"/>
      <c r="B98" s="29"/>
      <c r="C98" s="29"/>
      <c r="D98" s="29"/>
      <c r="E98" s="29"/>
      <c r="F98" s="29"/>
      <c r="G98" s="29"/>
      <c r="H98" s="29"/>
      <c r="I98" s="29"/>
      <c r="J98" s="29"/>
      <c r="K98" s="29"/>
      <c r="L98" s="29"/>
      <c r="M98" s="29"/>
      <c r="N98" s="29"/>
      <c r="O98" s="29"/>
    </row>
    <row r="99" spans="1:15" x14ac:dyDescent="0.3">
      <c r="A99" s="1903" t="s">
        <v>757</v>
      </c>
      <c r="B99" s="1903"/>
      <c r="C99" s="1903"/>
      <c r="D99" s="1903"/>
      <c r="E99" s="1903"/>
      <c r="F99" s="1903"/>
      <c r="G99" s="1903"/>
      <c r="H99" s="1903"/>
      <c r="I99" s="1903"/>
      <c r="J99" s="1903"/>
      <c r="K99" s="1903"/>
      <c r="L99" s="1903"/>
      <c r="M99" s="1903"/>
      <c r="N99" s="1903"/>
      <c r="O99" s="1903"/>
    </row>
    <row r="100" spans="1:15" x14ac:dyDescent="0.3">
      <c r="A100" s="1903" t="s">
        <v>65</v>
      </c>
      <c r="B100" s="1903"/>
      <c r="C100" s="1903"/>
      <c r="D100" s="1903"/>
      <c r="E100" s="1903"/>
      <c r="F100" s="1903"/>
      <c r="G100" s="1903"/>
      <c r="H100" s="1903"/>
      <c r="I100" s="1903"/>
      <c r="J100" s="1903"/>
      <c r="K100" s="1903"/>
      <c r="L100" s="1903"/>
      <c r="M100" s="1903"/>
      <c r="N100" s="1903"/>
      <c r="O100" s="1903"/>
    </row>
    <row r="101" spans="1:15" x14ac:dyDescent="0.3">
      <c r="A101" s="1903" t="s">
        <v>66</v>
      </c>
      <c r="B101" s="1903"/>
      <c r="C101" s="1903"/>
      <c r="D101" s="1903"/>
      <c r="E101" s="1903"/>
      <c r="F101" s="1903"/>
      <c r="G101" s="1903"/>
      <c r="H101" s="1903"/>
      <c r="I101" s="1903"/>
      <c r="J101" s="1903"/>
      <c r="K101" s="1903"/>
      <c r="L101" s="1903"/>
      <c r="M101" s="1903"/>
      <c r="N101" s="1903"/>
      <c r="O101" s="1903"/>
    </row>
    <row r="102" spans="1:15" x14ac:dyDescent="0.3">
      <c r="A102" s="1903" t="s">
        <v>758</v>
      </c>
      <c r="B102" s="1903"/>
      <c r="C102" s="1903"/>
      <c r="D102" s="1903"/>
      <c r="E102" s="1903"/>
      <c r="F102" s="1903"/>
      <c r="G102" s="1903"/>
      <c r="H102" s="1903"/>
      <c r="I102" s="1903"/>
      <c r="J102" s="1903"/>
      <c r="K102" s="1903"/>
      <c r="L102" s="1903"/>
      <c r="M102" s="1903"/>
      <c r="N102" s="1903"/>
      <c r="O102" s="1903"/>
    </row>
    <row r="103" spans="1:15" x14ac:dyDescent="0.3">
      <c r="A103" s="1392" t="s">
        <v>773</v>
      </c>
      <c r="B103" s="1903"/>
      <c r="C103" s="1903"/>
      <c r="D103" s="1903"/>
      <c r="E103" s="1903"/>
      <c r="F103" s="1903"/>
      <c r="G103" s="1903"/>
      <c r="H103" s="1903"/>
      <c r="I103" s="1903"/>
      <c r="J103" s="1903"/>
      <c r="K103" s="1903"/>
      <c r="L103" s="1903"/>
      <c r="M103" s="1903"/>
      <c r="N103" s="1903"/>
      <c r="O103" s="1903"/>
    </row>
    <row r="104" spans="1:15" x14ac:dyDescent="0.3">
      <c r="A104" s="1903"/>
      <c r="B104" s="1903"/>
      <c r="C104" s="1903"/>
      <c r="D104" s="1903"/>
      <c r="E104" s="1903"/>
      <c r="F104" s="1903"/>
      <c r="G104" s="1903"/>
      <c r="H104" s="1903"/>
      <c r="I104" s="1903"/>
      <c r="J104" s="1903"/>
      <c r="K104" s="1903"/>
      <c r="L104" s="1903"/>
      <c r="M104" s="1903"/>
      <c r="N104" s="1903"/>
      <c r="O104" s="1903"/>
    </row>
    <row r="105" spans="1:15" x14ac:dyDescent="0.3">
      <c r="A105" s="1903" t="s">
        <v>271</v>
      </c>
      <c r="B105" s="1903"/>
      <c r="C105" s="1903"/>
      <c r="D105" s="1903"/>
      <c r="E105" s="1903"/>
      <c r="F105" s="1903"/>
      <c r="G105" s="1903"/>
      <c r="H105" s="1903"/>
      <c r="I105" s="1903"/>
      <c r="J105" s="1903"/>
      <c r="K105" s="1903"/>
      <c r="L105" s="1903"/>
      <c r="M105" s="1903"/>
      <c r="N105" s="1903"/>
      <c r="O105" s="1903"/>
    </row>
    <row r="106" spans="1:15" ht="15" customHeight="1" x14ac:dyDescent="0.3">
      <c r="A106" s="2077" t="s">
        <v>759</v>
      </c>
      <c r="B106" s="2077"/>
      <c r="C106" s="2077"/>
      <c r="D106" s="2077"/>
      <c r="E106" s="2077"/>
      <c r="F106" s="2077"/>
      <c r="G106" s="2077"/>
      <c r="H106" s="2077"/>
      <c r="I106" s="2077"/>
      <c r="J106" s="2077"/>
      <c r="K106" s="2077"/>
      <c r="L106" s="2077"/>
      <c r="M106" s="2077"/>
      <c r="N106" s="2077"/>
      <c r="O106" s="2077"/>
    </row>
    <row r="107" spans="1:15" ht="15" customHeight="1" x14ac:dyDescent="0.3">
      <c r="A107" s="2077" t="s">
        <v>760</v>
      </c>
      <c r="B107" s="2077"/>
      <c r="C107" s="2077"/>
      <c r="D107" s="2077"/>
      <c r="E107" s="2077"/>
      <c r="F107" s="2077"/>
      <c r="G107" s="2077"/>
      <c r="H107" s="2077"/>
      <c r="I107" s="2077"/>
      <c r="J107" s="2077"/>
      <c r="K107" s="2077"/>
      <c r="L107" s="2077"/>
      <c r="M107" s="2077"/>
      <c r="N107" s="2077"/>
      <c r="O107" s="2077"/>
    </row>
    <row r="108" spans="1:15" ht="15" customHeight="1" x14ac:dyDescent="0.3">
      <c r="A108" s="2077" t="s">
        <v>761</v>
      </c>
      <c r="B108" s="2077"/>
      <c r="C108" s="2077"/>
      <c r="D108" s="2077"/>
      <c r="E108" s="2077"/>
      <c r="F108" s="2077"/>
      <c r="G108" s="2077"/>
      <c r="H108" s="2077"/>
      <c r="I108" s="2077"/>
      <c r="J108" s="2077"/>
      <c r="K108" s="2077"/>
      <c r="L108" s="2077"/>
      <c r="M108" s="2077"/>
      <c r="N108" s="2077"/>
      <c r="O108" s="2077"/>
    </row>
    <row r="109" spans="1:15" x14ac:dyDescent="0.3">
      <c r="A109" s="1903"/>
      <c r="B109" s="1903"/>
      <c r="C109" s="1903"/>
      <c r="D109" s="1903"/>
      <c r="E109" s="1903"/>
      <c r="F109" s="1903"/>
      <c r="G109" s="1903"/>
      <c r="H109" s="1903"/>
      <c r="I109" s="1903"/>
      <c r="J109" s="1903"/>
      <c r="K109" s="1903"/>
      <c r="L109" s="1903"/>
      <c r="M109" s="1903"/>
      <c r="N109" s="1903"/>
      <c r="O109" s="1903"/>
    </row>
    <row r="110" spans="1:15" x14ac:dyDescent="0.3">
      <c r="A110" s="1903" t="s">
        <v>288</v>
      </c>
      <c r="B110" s="1903"/>
      <c r="C110" s="1903"/>
      <c r="D110" s="1903"/>
      <c r="E110" s="1903"/>
      <c r="F110" s="1903"/>
      <c r="G110" s="1903"/>
      <c r="H110" s="1903"/>
      <c r="I110" s="1903"/>
      <c r="J110" s="1903"/>
      <c r="K110" s="1903"/>
      <c r="L110" s="1903"/>
      <c r="M110" s="1903"/>
      <c r="N110" s="1903"/>
      <c r="O110" s="1903"/>
    </row>
    <row r="111" spans="1:15" x14ac:dyDescent="0.3">
      <c r="A111" s="1903" t="s">
        <v>270</v>
      </c>
      <c r="B111" s="1903"/>
      <c r="C111" s="1903"/>
      <c r="D111" s="1903"/>
      <c r="E111" s="1903"/>
      <c r="F111" s="1903"/>
      <c r="G111" s="1903"/>
      <c r="H111" s="1903"/>
      <c r="I111" s="1903"/>
      <c r="J111" s="1903"/>
      <c r="K111" s="1903"/>
      <c r="L111" s="1903"/>
      <c r="M111" s="1903"/>
      <c r="N111" s="1903"/>
      <c r="O111" s="1903"/>
    </row>
    <row r="112" spans="1:15" x14ac:dyDescent="0.3">
      <c r="A112" s="1903" t="s">
        <v>264</v>
      </c>
      <c r="B112" s="1903"/>
      <c r="C112" s="1903"/>
      <c r="D112" s="1903"/>
      <c r="E112" s="1903"/>
      <c r="F112" s="1903"/>
      <c r="G112" s="1903"/>
      <c r="H112" s="1903"/>
      <c r="I112" s="1903"/>
      <c r="J112" s="1903"/>
      <c r="K112" s="1903"/>
      <c r="L112" s="1903"/>
      <c r="M112" s="1903"/>
      <c r="N112" s="1903"/>
      <c r="O112" s="1903"/>
    </row>
    <row r="113" spans="1:15" x14ac:dyDescent="0.3">
      <c r="A113" s="29"/>
      <c r="B113" s="29"/>
      <c r="C113" s="29"/>
      <c r="D113" s="29"/>
      <c r="E113" s="29"/>
      <c r="F113" s="29"/>
      <c r="G113" s="29"/>
      <c r="H113" s="29"/>
      <c r="I113" s="29"/>
      <c r="J113" s="29"/>
      <c r="K113" s="29"/>
      <c r="L113" s="29"/>
      <c r="M113" s="29"/>
      <c r="N113" s="29"/>
      <c r="O113" s="29"/>
    </row>
    <row r="114" spans="1:15" x14ac:dyDescent="0.3">
      <c r="A114" s="1903" t="s">
        <v>262</v>
      </c>
      <c r="B114" s="1903"/>
      <c r="C114" s="1903"/>
      <c r="D114" s="1903"/>
      <c r="E114" s="1903"/>
      <c r="F114" s="1903"/>
      <c r="G114" s="1903"/>
      <c r="H114" s="1903"/>
      <c r="I114" s="1903"/>
      <c r="J114" s="1903"/>
      <c r="K114" s="1903"/>
      <c r="L114" s="1903"/>
      <c r="M114" s="1903"/>
      <c r="N114" s="1903"/>
      <c r="O114" s="1903"/>
    </row>
    <row r="115" spans="1:15" x14ac:dyDescent="0.3">
      <c r="A115" s="1392" t="s">
        <v>69</v>
      </c>
      <c r="B115" s="1392"/>
      <c r="C115" s="1392"/>
      <c r="D115" s="1392"/>
      <c r="E115" s="1392"/>
      <c r="F115" s="1392"/>
      <c r="G115" s="1392"/>
      <c r="H115" s="1392"/>
      <c r="I115" s="1392"/>
      <c r="J115" s="1392"/>
      <c r="K115" s="1392"/>
      <c r="L115" s="1392"/>
      <c r="M115" s="1392"/>
      <c r="N115" s="1392"/>
      <c r="O115" s="1392"/>
    </row>
    <row r="116" spans="1:15" x14ac:dyDescent="0.3">
      <c r="A116" s="1903" t="s">
        <v>67</v>
      </c>
      <c r="B116" s="1903"/>
      <c r="C116" s="1903"/>
      <c r="D116" s="1903"/>
      <c r="E116" s="1903"/>
      <c r="F116" s="1903"/>
      <c r="G116" s="1903"/>
      <c r="H116" s="1903"/>
      <c r="I116" s="1903"/>
      <c r="J116" s="1903"/>
      <c r="K116" s="1903"/>
      <c r="L116" s="1903"/>
      <c r="M116" s="1903"/>
      <c r="N116" s="1903"/>
      <c r="O116" s="1903"/>
    </row>
    <row r="117" spans="1:15" x14ac:dyDescent="0.3">
      <c r="A117" s="1903"/>
      <c r="B117" s="1903"/>
      <c r="C117" s="1903"/>
      <c r="D117" s="1903"/>
      <c r="E117" s="1903"/>
      <c r="F117" s="1903"/>
      <c r="G117" s="1903"/>
      <c r="H117" s="1903"/>
      <c r="I117" s="1903"/>
      <c r="J117" s="1903"/>
      <c r="K117" s="1903"/>
      <c r="L117" s="1903"/>
      <c r="M117" s="1903"/>
      <c r="N117" s="1903"/>
      <c r="O117" s="1903"/>
    </row>
    <row r="118" spans="1:15" x14ac:dyDescent="0.3">
      <c r="A118" s="1903" t="s">
        <v>261</v>
      </c>
      <c r="B118" s="1903"/>
      <c r="C118" s="1903"/>
      <c r="D118" s="1903"/>
      <c r="E118" s="1903"/>
      <c r="F118" s="1903"/>
      <c r="G118" s="1903"/>
      <c r="H118" s="1903"/>
      <c r="I118" s="1903"/>
      <c r="J118" s="1903"/>
      <c r="K118" s="1903"/>
      <c r="L118" s="1903"/>
      <c r="M118" s="1903"/>
      <c r="N118" s="1903"/>
      <c r="O118" s="1903"/>
    </row>
    <row r="119" spans="1:15" x14ac:dyDescent="0.3">
      <c r="A119" s="1903" t="s">
        <v>253</v>
      </c>
      <c r="B119" s="1903"/>
      <c r="C119" s="1903"/>
      <c r="D119" s="1903"/>
      <c r="E119" s="1903"/>
      <c r="F119" s="1903"/>
      <c r="G119" s="1903"/>
      <c r="H119" s="1903"/>
      <c r="I119" s="1903"/>
      <c r="J119" s="1903"/>
      <c r="K119" s="1903"/>
      <c r="L119" s="1903"/>
      <c r="M119" s="1903"/>
      <c r="N119" s="1903"/>
      <c r="O119" s="1903"/>
    </row>
    <row r="120" spans="1:15" x14ac:dyDescent="0.3">
      <c r="A120" s="1903"/>
      <c r="B120" s="1903"/>
      <c r="C120" s="1903"/>
      <c r="D120" s="1903"/>
      <c r="E120" s="1903"/>
      <c r="F120" s="1903"/>
      <c r="G120" s="1903"/>
      <c r="H120" s="1903"/>
      <c r="I120" s="1903"/>
      <c r="J120" s="1903"/>
      <c r="K120" s="1903"/>
      <c r="L120" s="1903"/>
      <c r="M120" s="1903"/>
      <c r="N120" s="1903"/>
      <c r="O120" s="1903"/>
    </row>
    <row r="121" spans="1:15" x14ac:dyDescent="0.3">
      <c r="A121" s="1903"/>
      <c r="B121" s="1903"/>
      <c r="C121" s="1903"/>
      <c r="D121" s="1903"/>
      <c r="E121" s="1903"/>
      <c r="F121" s="1903"/>
      <c r="G121" s="1903"/>
      <c r="H121" s="1903"/>
      <c r="I121" s="1903"/>
      <c r="J121" s="1903"/>
      <c r="K121" s="1903"/>
      <c r="L121" s="1903"/>
      <c r="M121" s="1903"/>
      <c r="N121" s="1903"/>
      <c r="O121" s="1903"/>
    </row>
    <row r="122" spans="1:15" x14ac:dyDescent="0.3">
      <c r="A122" s="1903"/>
      <c r="B122" s="1903"/>
      <c r="C122" s="1903"/>
      <c r="D122" s="1903"/>
      <c r="E122" s="1903"/>
      <c r="F122" s="1903"/>
      <c r="G122" s="1903"/>
      <c r="H122" s="1903"/>
      <c r="I122" s="1903"/>
      <c r="J122" s="1903"/>
      <c r="K122" s="1903"/>
      <c r="L122" s="1903"/>
      <c r="M122" s="1903"/>
      <c r="N122" s="1903"/>
      <c r="O122" s="1903"/>
    </row>
    <row r="123" spans="1:15" x14ac:dyDescent="0.3">
      <c r="A123" s="1903"/>
      <c r="B123" s="1903"/>
      <c r="C123" s="1903"/>
      <c r="D123" s="1903"/>
      <c r="E123" s="1903"/>
      <c r="F123" s="1903"/>
      <c r="G123" s="1903"/>
      <c r="H123" s="1903"/>
      <c r="I123" s="1903"/>
      <c r="J123" s="1903"/>
      <c r="K123" s="1903"/>
      <c r="L123" s="1903"/>
      <c r="M123" s="1903"/>
      <c r="N123" s="1903"/>
      <c r="O123" s="1903"/>
    </row>
    <row r="124" spans="1:15" x14ac:dyDescent="0.3">
      <c r="A124" s="1903"/>
      <c r="B124" s="1903"/>
      <c r="C124" s="1903"/>
      <c r="D124" s="1903"/>
      <c r="E124" s="1903"/>
      <c r="F124" s="1903"/>
      <c r="G124" s="1903"/>
      <c r="H124" s="1903"/>
      <c r="I124" s="1903"/>
      <c r="J124" s="1903"/>
      <c r="K124" s="1903"/>
      <c r="L124" s="1903"/>
      <c r="M124" s="1903"/>
      <c r="N124" s="1903"/>
      <c r="O124" s="1903"/>
    </row>
    <row r="125" spans="1:15" x14ac:dyDescent="0.3">
      <c r="A125" s="1903"/>
      <c r="B125" s="1903"/>
      <c r="C125" s="1903"/>
      <c r="D125" s="1903"/>
      <c r="E125" s="1903"/>
      <c r="F125" s="1903"/>
      <c r="G125" s="1903"/>
      <c r="H125" s="1903"/>
      <c r="I125" s="1903"/>
      <c r="J125" s="1903"/>
      <c r="K125" s="1903"/>
      <c r="L125" s="1903"/>
      <c r="M125" s="1903"/>
      <c r="N125" s="1903"/>
      <c r="O125" s="1903"/>
    </row>
    <row r="126" spans="1:15" x14ac:dyDescent="0.3">
      <c r="A126" s="1903"/>
      <c r="B126" s="1903"/>
      <c r="C126" s="1903"/>
      <c r="D126" s="1903"/>
      <c r="E126" s="1903"/>
      <c r="F126" s="1903"/>
      <c r="G126" s="1903"/>
      <c r="H126" s="1903"/>
      <c r="I126" s="1903"/>
      <c r="J126" s="1903"/>
      <c r="K126" s="1903"/>
      <c r="L126" s="1903"/>
      <c r="M126" s="1903"/>
      <c r="N126" s="1903"/>
      <c r="O126" s="1903"/>
    </row>
    <row r="127" spans="1:15" x14ac:dyDescent="0.3">
      <c r="A127" s="1903"/>
      <c r="B127" s="1903"/>
      <c r="C127" s="1903"/>
      <c r="D127" s="1903"/>
      <c r="E127" s="1903"/>
      <c r="F127" s="1903"/>
      <c r="G127" s="1903"/>
      <c r="H127" s="1903"/>
      <c r="I127" s="1903"/>
      <c r="J127" s="1903"/>
      <c r="K127" s="1903"/>
      <c r="L127" s="1903"/>
      <c r="M127" s="1903"/>
      <c r="N127" s="1903"/>
      <c r="O127" s="1903"/>
    </row>
    <row r="128" spans="1:15" x14ac:dyDescent="0.3">
      <c r="A128" s="1903"/>
      <c r="B128" s="1903"/>
      <c r="C128" s="1903"/>
      <c r="D128" s="1903"/>
      <c r="E128" s="1903"/>
      <c r="F128" s="1903"/>
      <c r="G128" s="1903"/>
      <c r="H128" s="1903"/>
      <c r="I128" s="1903"/>
      <c r="J128" s="1903"/>
      <c r="K128" s="1903"/>
      <c r="L128" s="1903"/>
      <c r="M128" s="1903"/>
      <c r="N128" s="1903"/>
      <c r="O128" s="1903"/>
    </row>
    <row r="129" spans="1:15" x14ac:dyDescent="0.3">
      <c r="A129" s="1903"/>
      <c r="B129" s="1903"/>
      <c r="C129" s="1903"/>
      <c r="D129" s="1903"/>
      <c r="E129" s="1903"/>
      <c r="F129" s="1903"/>
      <c r="G129" s="1903"/>
      <c r="H129" s="1903"/>
      <c r="I129" s="1903"/>
      <c r="J129" s="1903"/>
      <c r="K129" s="1903"/>
      <c r="L129" s="1903"/>
      <c r="M129" s="1903"/>
      <c r="N129" s="1903"/>
      <c r="O129" s="1903"/>
    </row>
    <row r="130" spans="1:15" x14ac:dyDescent="0.3">
      <c r="A130" s="1903"/>
      <c r="B130" s="1903"/>
      <c r="C130" s="1903"/>
      <c r="D130" s="1903"/>
      <c r="E130" s="1903"/>
      <c r="F130" s="1903"/>
      <c r="G130" s="1903"/>
      <c r="H130" s="1903"/>
      <c r="I130" s="1903"/>
      <c r="J130" s="1903"/>
      <c r="K130" s="1903"/>
      <c r="L130" s="1903"/>
      <c r="M130" s="1903"/>
      <c r="N130" s="1903"/>
      <c r="O130" s="1903"/>
    </row>
    <row r="131" spans="1:15" x14ac:dyDescent="0.3">
      <c r="A131" s="1903"/>
      <c r="B131" s="1903"/>
      <c r="C131" s="1903"/>
      <c r="D131" s="1903"/>
      <c r="E131" s="1903"/>
      <c r="F131" s="1903"/>
      <c r="G131" s="1903"/>
      <c r="H131" s="1903"/>
      <c r="I131" s="1903"/>
      <c r="J131" s="1903"/>
      <c r="K131" s="1903"/>
      <c r="L131" s="1903"/>
      <c r="M131" s="1903"/>
      <c r="N131" s="1903"/>
      <c r="O131" s="1903"/>
    </row>
    <row r="132" spans="1:15" x14ac:dyDescent="0.3">
      <c r="A132" s="1903"/>
      <c r="B132" s="1903"/>
      <c r="C132" s="1903"/>
      <c r="D132" s="1903"/>
      <c r="E132" s="1903"/>
      <c r="F132" s="1903"/>
      <c r="G132" s="1903"/>
      <c r="H132" s="1903"/>
      <c r="I132" s="1903"/>
      <c r="J132" s="1903"/>
      <c r="K132" s="1903"/>
      <c r="L132" s="1903"/>
      <c r="M132" s="1903"/>
      <c r="N132" s="1903"/>
      <c r="O132" s="1903"/>
    </row>
    <row r="133" spans="1:15" x14ac:dyDescent="0.3">
      <c r="A133" s="1903"/>
      <c r="B133" s="1903"/>
      <c r="C133" s="1903"/>
      <c r="D133" s="1903"/>
      <c r="E133" s="1903"/>
      <c r="F133" s="1903"/>
      <c r="G133" s="1903"/>
      <c r="H133" s="1903"/>
      <c r="I133" s="1903"/>
      <c r="J133" s="1903"/>
      <c r="K133" s="1903"/>
      <c r="L133" s="1903"/>
      <c r="M133" s="1903"/>
      <c r="N133" s="1903"/>
      <c r="O133" s="1903"/>
    </row>
    <row r="134" spans="1:15" x14ac:dyDescent="0.3">
      <c r="A134" s="1903"/>
      <c r="B134" s="1903"/>
      <c r="C134" s="1903"/>
      <c r="D134" s="1903"/>
      <c r="E134" s="1903"/>
      <c r="F134" s="1903"/>
      <c r="G134" s="1903"/>
      <c r="H134" s="1903"/>
      <c r="I134" s="1903"/>
      <c r="J134" s="1903"/>
      <c r="K134" s="1903"/>
      <c r="L134" s="1903"/>
      <c r="M134" s="1903"/>
      <c r="N134" s="1903"/>
      <c r="O134" s="1903"/>
    </row>
    <row r="135" spans="1:15" x14ac:dyDescent="0.3">
      <c r="A135" s="1903"/>
      <c r="B135" s="1903"/>
      <c r="C135" s="1903"/>
      <c r="D135" s="1903"/>
      <c r="E135" s="1903"/>
      <c r="F135" s="1903"/>
      <c r="G135" s="1903"/>
      <c r="H135" s="1903"/>
      <c r="I135" s="1903"/>
      <c r="J135" s="1903"/>
      <c r="K135" s="1903"/>
      <c r="L135" s="1903"/>
      <c r="M135" s="1903"/>
      <c r="N135" s="1903"/>
      <c r="O135" s="1903"/>
    </row>
    <row r="136" spans="1:15" x14ac:dyDescent="0.3">
      <c r="A136" s="1903"/>
      <c r="B136" s="1903"/>
      <c r="C136" s="1903"/>
      <c r="D136" s="1903"/>
      <c r="E136" s="1903"/>
      <c r="F136" s="1903"/>
      <c r="G136" s="1903"/>
      <c r="H136" s="1903"/>
      <c r="I136" s="1903"/>
      <c r="J136" s="1903"/>
      <c r="K136" s="1903"/>
      <c r="L136" s="1903"/>
      <c r="M136" s="1903"/>
      <c r="N136" s="1903"/>
      <c r="O136" s="1903"/>
    </row>
    <row r="137" spans="1:15" x14ac:dyDescent="0.3">
      <c r="A137" s="1903"/>
      <c r="B137" s="1903"/>
      <c r="C137" s="1903"/>
      <c r="D137" s="1903"/>
      <c r="E137" s="1903"/>
      <c r="F137" s="1903"/>
      <c r="G137" s="1903"/>
      <c r="H137" s="1903"/>
      <c r="I137" s="1903"/>
      <c r="J137" s="1903"/>
      <c r="K137" s="1903"/>
      <c r="L137" s="1903"/>
      <c r="M137" s="1903"/>
      <c r="N137" s="1903"/>
      <c r="O137" s="1903"/>
    </row>
    <row r="138" spans="1:15" x14ac:dyDescent="0.3">
      <c r="A138" s="1903"/>
      <c r="B138" s="1903"/>
      <c r="C138" s="1903"/>
      <c r="D138" s="1903"/>
      <c r="E138" s="1903"/>
      <c r="F138" s="1903"/>
      <c r="G138" s="1903"/>
      <c r="H138" s="1903"/>
      <c r="I138" s="1903"/>
      <c r="J138" s="1903"/>
      <c r="K138" s="1903"/>
      <c r="L138" s="1903"/>
      <c r="M138" s="1903"/>
      <c r="N138" s="1903"/>
      <c r="O138" s="1903"/>
    </row>
  </sheetData>
  <sheetProtection algorithmName="SHA-512" hashValue="Swqmwy7UiQR3Ukgl1ABRjaT//i/x57apzCjB8LiqJFi7UIaPMMckG44b+4GYf9+z2FR4iXnfQKPyZdgcJPLvPw==" saltValue="vsPYWr/pakOJrrPnn3foGA==" spinCount="100000" sheet="1" objects="1" scenarios="1" selectLockedCells="1"/>
  <mergeCells count="279">
    <mergeCell ref="R10:R11"/>
    <mergeCell ref="S10:U10"/>
    <mergeCell ref="S11:U11"/>
    <mergeCell ref="V11:X11"/>
    <mergeCell ref="Q1:S1"/>
    <mergeCell ref="F3:J4"/>
    <mergeCell ref="N2:N3"/>
    <mergeCell ref="K2:M2"/>
    <mergeCell ref="Y49:AC50"/>
    <mergeCell ref="J5:O7"/>
    <mergeCell ref="F2:J2"/>
    <mergeCell ref="C19:G19"/>
    <mergeCell ref="A15:C15"/>
    <mergeCell ref="J16:K16"/>
    <mergeCell ref="F15:H17"/>
    <mergeCell ref="K4:N4"/>
    <mergeCell ref="A25:C25"/>
    <mergeCell ref="A6:C6"/>
    <mergeCell ref="A8:C8"/>
    <mergeCell ref="D6:H6"/>
    <mergeCell ref="D8:H8"/>
    <mergeCell ref="M30:N30"/>
    <mergeCell ref="B32:H32"/>
    <mergeCell ref="O31:O32"/>
    <mergeCell ref="P61:AJ63"/>
    <mergeCell ref="R64:AA65"/>
    <mergeCell ref="P59:T59"/>
    <mergeCell ref="U59:AK59"/>
    <mergeCell ref="U53:AJ54"/>
    <mergeCell ref="V51:W51"/>
    <mergeCell ref="P66:Q66"/>
    <mergeCell ref="U57:AJ58"/>
    <mergeCell ref="P55:T56"/>
    <mergeCell ref="P53:T54"/>
    <mergeCell ref="AB76:AJ76"/>
    <mergeCell ref="P4:Z4"/>
    <mergeCell ref="P6:R6"/>
    <mergeCell ref="P2:AK3"/>
    <mergeCell ref="Z28:AD28"/>
    <mergeCell ref="Z17:AD18"/>
    <mergeCell ref="Z20:AD20"/>
    <mergeCell ref="Z10:AB10"/>
    <mergeCell ref="Q26:Y26"/>
    <mergeCell ref="AA12:AC12"/>
    <mergeCell ref="AA13:AC13"/>
    <mergeCell ref="AF31:AJ31"/>
    <mergeCell ref="Z32:AD33"/>
    <mergeCell ref="AF10:AH10"/>
    <mergeCell ref="S6:W6"/>
    <mergeCell ref="P8:R8"/>
    <mergeCell ref="S8:W8"/>
    <mergeCell ref="Q18:V18"/>
    <mergeCell ref="R19:V19"/>
    <mergeCell ref="AD49:AI50"/>
    <mergeCell ref="Y51:AC51"/>
    <mergeCell ref="AD51:AI51"/>
    <mergeCell ref="P67:AJ68"/>
    <mergeCell ref="P60:AJ60"/>
    <mergeCell ref="R29:V29"/>
    <mergeCell ref="R30:V30"/>
    <mergeCell ref="AF32:AJ33"/>
    <mergeCell ref="P32:P33"/>
    <mergeCell ref="Q32:W33"/>
    <mergeCell ref="Z29:AD29"/>
    <mergeCell ref="Q31:W31"/>
    <mergeCell ref="L31:L32"/>
    <mergeCell ref="M28:N28"/>
    <mergeCell ref="Z31:AD31"/>
    <mergeCell ref="AF29:AJ29"/>
    <mergeCell ref="Z30:AD30"/>
    <mergeCell ref="AF30:AJ30"/>
    <mergeCell ref="AG12:AI12"/>
    <mergeCell ref="Q28:W28"/>
    <mergeCell ref="AF28:AJ28"/>
    <mergeCell ref="AF15:AJ15"/>
    <mergeCell ref="AF19:AJ19"/>
    <mergeCell ref="AG13:AI13"/>
    <mergeCell ref="AF17:AJ18"/>
    <mergeCell ref="Z26:AD26"/>
    <mergeCell ref="M20:N20"/>
    <mergeCell ref="Z15:AD15"/>
    <mergeCell ref="Z19:AD19"/>
    <mergeCell ref="Q13:U15"/>
    <mergeCell ref="Q27:W27"/>
    <mergeCell ref="A23:O23"/>
    <mergeCell ref="Z27:AD27"/>
    <mergeCell ref="P16:S16"/>
    <mergeCell ref="M26:N26"/>
    <mergeCell ref="M27:N27"/>
    <mergeCell ref="P25:R25"/>
    <mergeCell ref="M16:N16"/>
    <mergeCell ref="J20:K20"/>
    <mergeCell ref="Z11:AA11"/>
    <mergeCell ref="AC11:AD11"/>
    <mergeCell ref="AF11:AG11"/>
    <mergeCell ref="AI11:AJ11"/>
    <mergeCell ref="AF20:AJ20"/>
    <mergeCell ref="AF26:AJ26"/>
    <mergeCell ref="AF47:AJ48"/>
    <mergeCell ref="J47:K47"/>
    <mergeCell ref="M47:N47"/>
    <mergeCell ref="M36:N36"/>
    <mergeCell ref="M41:N43"/>
    <mergeCell ref="Z36:AD36"/>
    <mergeCell ref="M37:N38"/>
    <mergeCell ref="M39:N39"/>
    <mergeCell ref="P47:P48"/>
    <mergeCell ref="Q47:W48"/>
    <mergeCell ref="AF36:AJ36"/>
    <mergeCell ref="Q36:W36"/>
    <mergeCell ref="Z47:AD48"/>
    <mergeCell ref="Z37:AD44"/>
    <mergeCell ref="AF37:AJ44"/>
    <mergeCell ref="J39:K39"/>
    <mergeCell ref="J35:K35"/>
    <mergeCell ref="AF27:AJ27"/>
    <mergeCell ref="A125:O125"/>
    <mergeCell ref="Z34:AD34"/>
    <mergeCell ref="U55:AK56"/>
    <mergeCell ref="A124:O124"/>
    <mergeCell ref="A123:O123"/>
    <mergeCell ref="A94:O94"/>
    <mergeCell ref="A97:O97"/>
    <mergeCell ref="S49:S50"/>
    <mergeCell ref="T49:T50"/>
    <mergeCell ref="K49:M49"/>
    <mergeCell ref="Q49:R50"/>
    <mergeCell ref="U49:U50"/>
    <mergeCell ref="V49:W50"/>
    <mergeCell ref="C35:G35"/>
    <mergeCell ref="M34:N34"/>
    <mergeCell ref="A100:O100"/>
    <mergeCell ref="A103:O103"/>
    <mergeCell ref="A108:O108"/>
    <mergeCell ref="A104:O104"/>
    <mergeCell ref="A88:O88"/>
    <mergeCell ref="A107:O107"/>
    <mergeCell ref="A106:O106"/>
    <mergeCell ref="A101:O101"/>
    <mergeCell ref="A105:O105"/>
    <mergeCell ref="A102:O102"/>
    <mergeCell ref="A96:O96"/>
    <mergeCell ref="AF34:AJ34"/>
    <mergeCell ref="H48:I48"/>
    <mergeCell ref="A48:G48"/>
    <mergeCell ref="B40:I40"/>
    <mergeCell ref="B41:J42"/>
    <mergeCell ref="B43:J43"/>
    <mergeCell ref="J44:K44"/>
    <mergeCell ref="M44:N44"/>
    <mergeCell ref="K41:L41"/>
    <mergeCell ref="K43:L43"/>
    <mergeCell ref="Q34:W34"/>
    <mergeCell ref="B45:H45"/>
    <mergeCell ref="J45:K45"/>
    <mergeCell ref="M45:N45"/>
    <mergeCell ref="B36:D36"/>
    <mergeCell ref="B37:G37"/>
    <mergeCell ref="E38:G38"/>
    <mergeCell ref="H36:I39"/>
    <mergeCell ref="J46:K46"/>
    <mergeCell ref="M46:N46"/>
    <mergeCell ref="A84:O84"/>
    <mergeCell ref="A85:O85"/>
    <mergeCell ref="A138:O138"/>
    <mergeCell ref="A133:O133"/>
    <mergeCell ref="A134:O134"/>
    <mergeCell ref="A135:O135"/>
    <mergeCell ref="A136:O136"/>
    <mergeCell ref="A137:O137"/>
    <mergeCell ref="A128:O128"/>
    <mergeCell ref="A109:O109"/>
    <mergeCell ref="A118:O118"/>
    <mergeCell ref="A119:O119"/>
    <mergeCell ref="A120:O120"/>
    <mergeCell ref="A111:O111"/>
    <mergeCell ref="A122:O122"/>
    <mergeCell ref="A112:O112"/>
    <mergeCell ref="A121:O121"/>
    <mergeCell ref="A115:O115"/>
    <mergeCell ref="A116:O116"/>
    <mergeCell ref="A129:O129"/>
    <mergeCell ref="A130:O130"/>
    <mergeCell ref="A131:O131"/>
    <mergeCell ref="A132:O132"/>
    <mergeCell ref="A126:O126"/>
    <mergeCell ref="A127:O127"/>
    <mergeCell ref="A117:O117"/>
    <mergeCell ref="A114:O114"/>
    <mergeCell ref="A110:O110"/>
    <mergeCell ref="B11:I11"/>
    <mergeCell ref="C13:G13"/>
    <mergeCell ref="J10:K10"/>
    <mergeCell ref="M10:N10"/>
    <mergeCell ref="J11:K11"/>
    <mergeCell ref="M11:N11"/>
    <mergeCell ref="B12:H12"/>
    <mergeCell ref="A10:I10"/>
    <mergeCell ref="J12:K12"/>
    <mergeCell ref="J13:K13"/>
    <mergeCell ref="A80:N80"/>
    <mergeCell ref="A65:F65"/>
    <mergeCell ref="M29:N29"/>
    <mergeCell ref="B26:H26"/>
    <mergeCell ref="M35:N35"/>
    <mergeCell ref="J19:K19"/>
    <mergeCell ref="M19:N19"/>
    <mergeCell ref="B47:H47"/>
    <mergeCell ref="M17:N17"/>
    <mergeCell ref="M12:N12"/>
    <mergeCell ref="M13:N13"/>
    <mergeCell ref="M48:N48"/>
    <mergeCell ref="J33:K33"/>
    <mergeCell ref="M33:N33"/>
    <mergeCell ref="J36:K36"/>
    <mergeCell ref="J30:K30"/>
    <mergeCell ref="J17:K17"/>
    <mergeCell ref="J18:K18"/>
    <mergeCell ref="M18:N18"/>
    <mergeCell ref="C22:M22"/>
    <mergeCell ref="B34:H34"/>
    <mergeCell ref="B29:H29"/>
    <mergeCell ref="B28:H28"/>
    <mergeCell ref="J34:K34"/>
    <mergeCell ref="B31:H31"/>
    <mergeCell ref="J31:K32"/>
    <mergeCell ref="B20:H20"/>
    <mergeCell ref="B27:H27"/>
    <mergeCell ref="J28:K28"/>
    <mergeCell ref="D25:I25"/>
    <mergeCell ref="J29:K29"/>
    <mergeCell ref="I31:I32"/>
    <mergeCell ref="J26:K26"/>
    <mergeCell ref="J27:K27"/>
    <mergeCell ref="G33:H33"/>
    <mergeCell ref="B33:F33"/>
    <mergeCell ref="J8:O9"/>
    <mergeCell ref="A72:D72"/>
    <mergeCell ref="G52:H52"/>
    <mergeCell ref="P72:S72"/>
    <mergeCell ref="B52:E52"/>
    <mergeCell ref="B39:F39"/>
    <mergeCell ref="D62:G64"/>
    <mergeCell ref="H62:O63"/>
    <mergeCell ref="A66:O68"/>
    <mergeCell ref="M31:N32"/>
    <mergeCell ref="H64:O65"/>
    <mergeCell ref="B58:G58"/>
    <mergeCell ref="B54:G54"/>
    <mergeCell ref="L51:M51"/>
    <mergeCell ref="B30:I30"/>
    <mergeCell ref="J48:K48"/>
    <mergeCell ref="D49:J49"/>
    <mergeCell ref="B18:H18"/>
    <mergeCell ref="B57:C57"/>
    <mergeCell ref="J37:K38"/>
    <mergeCell ref="B16:E16"/>
    <mergeCell ref="B17:E17"/>
    <mergeCell ref="P51:R51"/>
    <mergeCell ref="P57:T58"/>
    <mergeCell ref="A87:O87"/>
    <mergeCell ref="A81:N81"/>
    <mergeCell ref="A90:O90"/>
    <mergeCell ref="A86:O86"/>
    <mergeCell ref="A99:O99"/>
    <mergeCell ref="A89:O89"/>
    <mergeCell ref="A92:O92"/>
    <mergeCell ref="A93:O93"/>
    <mergeCell ref="A78:O78"/>
    <mergeCell ref="A82:N82"/>
    <mergeCell ref="B56:C56"/>
    <mergeCell ref="H53:K59"/>
    <mergeCell ref="M76:O76"/>
    <mergeCell ref="B55:C55"/>
    <mergeCell ref="B51:H51"/>
    <mergeCell ref="C61:M61"/>
    <mergeCell ref="L58:M58"/>
    <mergeCell ref="A79:O79"/>
    <mergeCell ref="A60:B63"/>
  </mergeCells>
  <conditionalFormatting sqref="J26:K26">
    <cfRule type="expression" dxfId="673" priority="114">
      <formula>$J$26&lt;&gt;0</formula>
    </cfRule>
  </conditionalFormatting>
  <conditionalFormatting sqref="M26:N26">
    <cfRule type="expression" dxfId="672" priority="113">
      <formula>$M$26&lt;&gt;0</formula>
    </cfRule>
  </conditionalFormatting>
  <conditionalFormatting sqref="A99:O103">
    <cfRule type="expression" dxfId="671" priority="112">
      <formula>OR($J$26&lt;&gt;0,$M$26&lt;&gt;0)</formula>
    </cfRule>
  </conditionalFormatting>
  <conditionalFormatting sqref="J27:K27">
    <cfRule type="expression" dxfId="670" priority="111">
      <formula>$J$27&lt;&gt;0</formula>
    </cfRule>
  </conditionalFormatting>
  <conditionalFormatting sqref="M27:N27">
    <cfRule type="expression" dxfId="669" priority="110">
      <formula>$M$27&lt;&gt;0</formula>
    </cfRule>
  </conditionalFormatting>
  <conditionalFormatting sqref="A105:O108">
    <cfRule type="expression" dxfId="668" priority="109">
      <formula>OR($J$27&lt;&gt;0,$M$27&lt;&gt;0)</formula>
    </cfRule>
  </conditionalFormatting>
  <conditionalFormatting sqref="L30">
    <cfRule type="expression" dxfId="667" priority="108">
      <formula>$J$30&lt;&gt;0</formula>
    </cfRule>
  </conditionalFormatting>
  <conditionalFormatting sqref="O30">
    <cfRule type="expression" dxfId="666" priority="107">
      <formula>$M$30&lt;&gt;0</formula>
    </cfRule>
  </conditionalFormatting>
  <conditionalFormatting sqref="J30:K30">
    <cfRule type="expression" dxfId="665" priority="106">
      <formula>$J$30&lt;&gt;0</formula>
    </cfRule>
  </conditionalFormatting>
  <conditionalFormatting sqref="M30:N30">
    <cfRule type="expression" dxfId="664" priority="105">
      <formula>$M$30&lt;&gt;0</formula>
    </cfRule>
  </conditionalFormatting>
  <conditionalFormatting sqref="C22:M22">
    <cfRule type="expression" dxfId="663" priority="104">
      <formula>OR($J$37&gt;=0.25,$M$37&gt;=0.25)</formula>
    </cfRule>
  </conditionalFormatting>
  <conditionalFormatting sqref="A110:A112">
    <cfRule type="expression" dxfId="662" priority="103">
      <formula>OR($J$33&lt;&gt;0,$M$33&lt;&gt;0,$J$9&lt;&gt;0,$M$9&lt;&gt;0)</formula>
    </cfRule>
  </conditionalFormatting>
  <conditionalFormatting sqref="A110:O112">
    <cfRule type="expression" dxfId="661" priority="102">
      <formula>OR($J$30&lt;&gt;0,$M$30&lt;&gt;0)</formula>
    </cfRule>
  </conditionalFormatting>
  <conditionalFormatting sqref="L58:M58">
    <cfRule type="expression" dxfId="660" priority="101">
      <formula>$N$70=TRUE</formula>
    </cfRule>
  </conditionalFormatting>
  <conditionalFormatting sqref="AK30">
    <cfRule type="expression" dxfId="659" priority="99">
      <formula>$M$30&lt;&gt;0</formula>
    </cfRule>
  </conditionalFormatting>
  <conditionalFormatting sqref="K49">
    <cfRule type="expression" dxfId="658" priority="95">
      <formula>$M$48=0</formula>
    </cfRule>
    <cfRule type="expression" dxfId="657" priority="96">
      <formula>AND($J$48&lt;&gt;0,$M$48&lt;&gt;0,$J$48&lt;$M$48)</formula>
    </cfRule>
    <cfRule type="expression" dxfId="656" priority="115">
      <formula>AND(OR($F$52=12,$F$52=24,$F$52=0),$J$48&lt;&gt;0,$M$48&lt;&gt;0,$J$48&lt;$M$48)</formula>
    </cfRule>
  </conditionalFormatting>
  <conditionalFormatting sqref="U55">
    <cfRule type="expression" dxfId="655" priority="98">
      <formula>OR(AND($AF$47=0,$Z$47&lt;$J$48),AND($AF$47&lt;&gt;0,$AF$47&lt;$J$48))</formula>
    </cfRule>
  </conditionalFormatting>
  <conditionalFormatting sqref="AK60">
    <cfRule type="expression" dxfId="654" priority="97">
      <formula>AND($AF$47&lt;&gt;0,$AF$47&lt;$J$48)</formula>
    </cfRule>
  </conditionalFormatting>
  <conditionalFormatting sqref="H48">
    <cfRule type="expression" dxfId="653" priority="94">
      <formula>OR($G$57="",$G$57=12,$G$57=24)</formula>
    </cfRule>
  </conditionalFormatting>
  <conditionalFormatting sqref="J48:K48">
    <cfRule type="expression" dxfId="652" priority="93">
      <formula>AND($F$57&lt;12,$F$57&lt;&gt;"")</formula>
    </cfRule>
  </conditionalFormatting>
  <conditionalFormatting sqref="AA13:AC13">
    <cfRule type="expression" dxfId="651" priority="70">
      <formula>AND($AC$11&lt;&gt;"",$AC$11&lt;$Z$11)</formula>
    </cfRule>
    <cfRule type="expression" dxfId="650" priority="92">
      <formula>AND($AB$14&gt;12,$AC$11&lt;&gt;"")</formula>
    </cfRule>
  </conditionalFormatting>
  <conditionalFormatting sqref="AG13:AI13">
    <cfRule type="expression" dxfId="649" priority="91">
      <formula>AND($AH$14&gt;12,$AI$11&lt;&gt;"")</formula>
    </cfRule>
  </conditionalFormatting>
  <conditionalFormatting sqref="V52:AJ52 U53">
    <cfRule type="expression" dxfId="648" priority="86">
      <formula>AND($M$47&lt;&gt;0,$J$48&lt;$M$48)</formula>
    </cfRule>
    <cfRule type="expression" dxfId="647" priority="90">
      <formula>$M$47=0</formula>
    </cfRule>
  </conditionalFormatting>
  <conditionalFormatting sqref="Z37:AD46">
    <cfRule type="expression" dxfId="646" priority="89">
      <formula>$Z$37="Error, Correct Dates"</formula>
    </cfRule>
  </conditionalFormatting>
  <conditionalFormatting sqref="AF37:AJ46">
    <cfRule type="expression" dxfId="645" priority="88">
      <formula>OR($AF$37="Error, Correct Dates",$AF$37="Error, Move Most Recent Filed Returns To Left Column on the 1065 Worksheet")</formula>
    </cfRule>
  </conditionalFormatting>
  <conditionalFormatting sqref="U57:AJ58">
    <cfRule type="expression" dxfId="644" priority="16">
      <formula>$U$57="No Change"</formula>
    </cfRule>
    <cfRule type="expression" dxfId="643" priority="17">
      <formula>AND(N1="FHA",Y51&lt;&gt;0,AF47&lt;&gt;0,AF47&lt;Y51)</formula>
    </cfRule>
    <cfRule type="expression" dxfId="642" priority="22">
      <formula>AND(N1="FHA",Y51&lt;&gt;0,AF47&lt;&gt;0,AF47&gt;Y51)</formula>
    </cfRule>
    <cfRule type="expression" dxfId="641" priority="87">
      <formula>AND($AF$47&lt;&gt;0,$Z$47&lt;$AF$47)</formula>
    </cfRule>
  </conditionalFormatting>
  <conditionalFormatting sqref="M48:N48">
    <cfRule type="expression" dxfId="640" priority="84">
      <formula>AND($D$57&lt;12,$D$57&lt;&gt;"")</formula>
    </cfRule>
  </conditionalFormatting>
  <conditionalFormatting sqref="B56:C56">
    <cfRule type="expression" dxfId="639" priority="83">
      <formula>AND($B$56="",$D$56&lt;&gt;"")</formula>
    </cfRule>
  </conditionalFormatting>
  <conditionalFormatting sqref="D56">
    <cfRule type="expression" dxfId="638" priority="82">
      <formula>AND($D$56="",$B$56&lt;&gt;"")</formula>
    </cfRule>
  </conditionalFormatting>
  <conditionalFormatting sqref="E56">
    <cfRule type="expression" dxfId="637" priority="81">
      <formula>AND($E$56="",$F$56&lt;&gt;"")</formula>
    </cfRule>
  </conditionalFormatting>
  <conditionalFormatting sqref="F56">
    <cfRule type="expression" dxfId="636" priority="80">
      <formula>AND($F$56="",$E$56&lt;&gt;"")</formula>
    </cfRule>
  </conditionalFormatting>
  <conditionalFormatting sqref="Q13:U15">
    <cfRule type="expression" dxfId="635" priority="79">
      <formula>OR($Q$13="Most recent Filed returns must be entered in the left column on the 1065 Worksheet and year updated at top.",$Q$13="Error, Tax Years and P&amp;L years are not entered correctly; see the Instructions tab under P&amp;L's")</formula>
    </cfRule>
  </conditionalFormatting>
  <conditionalFormatting sqref="A60:B63">
    <cfRule type="expression" dxfId="634" priority="77">
      <formula>AND(OR($F$52=12,$F$52=24,$F$52=0),$J$48&lt;&gt;0,$M$48&lt;&gt;0,$J$48&lt;$M$48)</formula>
    </cfRule>
    <cfRule type="expression" dxfId="633" priority="78">
      <formula>AND($J$48&lt;&gt;0,$M$48&lt;&gt;0,$J$48&lt;$M$48)</formula>
    </cfRule>
  </conditionalFormatting>
  <conditionalFormatting sqref="H64:O65">
    <cfRule type="expression" dxfId="632" priority="76">
      <formula>AND(A72&lt;&gt;"1065",A72&lt;&gt;"1065 (2)",A72&lt;&gt;"1065 (3)",A72&lt;&gt;"1065 (4)",A72&lt;&gt;"1065 (5)",A72&lt;&gt;"1065 (6)",A72&lt;&gt;"1065 (7)",A72&lt;&gt;"1065 (8)")</formula>
    </cfRule>
  </conditionalFormatting>
  <conditionalFormatting sqref="H62:O63">
    <cfRule type="expression" dxfId="631" priority="75">
      <formula>AND($O$1&lt;&gt;2,$K$41&gt;0)</formula>
    </cfRule>
  </conditionalFormatting>
  <conditionalFormatting sqref="J5">
    <cfRule type="expression" dxfId="630" priority="74">
      <formula>$O$69=TRUE</formula>
    </cfRule>
  </conditionalFormatting>
  <conditionalFormatting sqref="M12:N13 J12:K13 J16:K19 M16:N19 C13:G13 C19:G19 J26:K35 M26:N35 J37:K38 M37:N38 C35:G35">
    <cfRule type="expression" dxfId="629" priority="73">
      <formula>$O$69=TRUE</formula>
    </cfRule>
  </conditionalFormatting>
  <conditionalFormatting sqref="A11:I11 O12 A34:O35 A33:B33 I33:O33 G33 A39:B41 A18:N19 A16:B17 J16:N17 A20:K20 M20:N20 A25:D25 N25:O25 K25:L25 A26:B26 A15:E15 I15:N15 K41 O41:O43 A43:B43 A42 K43 M41 A27:O32 I26:O26 A12:N14 A38:E38 E36:H36 A36:B37 J36:O40">
    <cfRule type="expression" dxfId="628" priority="34">
      <formula>$O$69=TRUE</formula>
    </cfRule>
  </conditionalFormatting>
  <conditionalFormatting sqref="J11:K11 F52 M11:N11 C49 B56:F56 A60:B63 J8:O9">
    <cfRule type="expression" dxfId="627" priority="71">
      <formula>$O$69=TRUE</formula>
    </cfRule>
  </conditionalFormatting>
  <conditionalFormatting sqref="Z15:AD15">
    <cfRule type="expression" dxfId="626" priority="69">
      <formula>$Z$15&lt;&gt;""</formula>
    </cfRule>
  </conditionalFormatting>
  <conditionalFormatting sqref="M11:N13 M16:N19 M26:N35 M37:N38 B56:D56">
    <cfRule type="expression" dxfId="625" priority="68" stopIfTrue="1">
      <formula>$N$69=TRUE</formula>
    </cfRule>
  </conditionalFormatting>
  <conditionalFormatting sqref="M10:N10">
    <cfRule type="expression" dxfId="624" priority="67">
      <formula>$N$69=TRUE</formula>
    </cfRule>
  </conditionalFormatting>
  <conditionalFormatting sqref="A33:I33 L33 O33">
    <cfRule type="expression" dxfId="623" priority="66">
      <formula>$O$1=2</formula>
    </cfRule>
  </conditionalFormatting>
  <conditionalFormatting sqref="J33:K33 M33:N33">
    <cfRule type="expression" dxfId="622" priority="65">
      <formula>$O$1=2</formula>
    </cfRule>
  </conditionalFormatting>
  <conditionalFormatting sqref="C61:M61">
    <cfRule type="expression" dxfId="621" priority="116">
      <formula>OR(AND($J$48&lt;&gt;0,$M$48&lt;&gt;0,$J$48&lt;$M$48,$N$71=FALSE,$F$52&gt;0), AND($J$48&lt;&gt;0,$M$48&lt;&gt;0,$J$48&lt;$M$48,$N$71=TRUE,$F$52&gt;12),AND($J$48&lt;&gt;0,$M$48&lt;&gt;0,$J$48&lt;$M$48,$F$52&gt;12),AND($J$48&lt;&gt;0,$M$48&lt;&gt;0,$J$48&gt;$M$48,$F$52&lt;&gt;$G$56,$F$52&lt;&gt;""),AND($J$48&lt;&gt;0,$M$48&lt;&gt;0,$M$48=$J$48,$F$52&gt;12,$F$52&lt;&gt;"",$N$71=TRUE),AND($J$48&lt;&gt;0,$M$48&lt;&gt;0,$M$48=$J$48,$F$52&lt;&gt;$G$56,$F$52&lt;&gt;"",$N$71=FALSE),AND($J$48&lt;&gt;0,$M$48&lt;&gt;0,$J$48&gt;$M$48,$N$71=TRUE),AND($J$48&lt;&gt;0,$M$48&lt;&gt;$J$48&lt;$M$48,$F$52&lt;&gt;"",$N$71=FALSE),AND($J$48&lt;&gt;0,$M$48&lt;&gt;0,$J$48=$M$48,$F$52=12,$F$52&lt;&gt;"",$N$71=FALSE),AND($J$48&lt;&gt;0,$M$48&lt;&gt;0,$J$48=$M$48,$F$52=$G$56,$F$52&lt;&gt;"",$F$52&lt;&gt;12,$N$71=TRUE),AND($J$48&lt;&gt;0,$M$48&lt;&gt;0,$J$48&lt;$M$48,$F$52&lt;&gt;"",$N$71&lt;&gt;TRUE))</formula>
    </cfRule>
  </conditionalFormatting>
  <conditionalFormatting sqref="D25:I25">
    <cfRule type="expression" dxfId="620" priority="62">
      <formula>AND($N$1="Conventional",$J$37&gt;0,$J$37&lt;0.25)</formula>
    </cfRule>
    <cfRule type="expression" dxfId="619" priority="63">
      <formula>AND($N$1="Conventional",$M$37&gt;0,$M$37&lt;0.25)</formula>
    </cfRule>
  </conditionalFormatting>
  <conditionalFormatting sqref="M41">
    <cfRule type="expression" dxfId="618" priority="117">
      <formula>$M$41&lt;&gt;""</formula>
    </cfRule>
  </conditionalFormatting>
  <conditionalFormatting sqref="J37:K38">
    <cfRule type="expression" dxfId="617" priority="35">
      <formula>$H$36&lt;&gt;""</formula>
    </cfRule>
    <cfRule type="expression" dxfId="616" priority="118">
      <formula>AND(OR($J$20&lt;&gt;0,$J$36&lt;&gt;0),$M$41&lt;&gt;"",$J$37=0)</formula>
    </cfRule>
  </conditionalFormatting>
  <conditionalFormatting sqref="C49">
    <cfRule type="expression" dxfId="615" priority="121" stopIfTrue="1">
      <formula>$N$69=TRUE</formula>
    </cfRule>
    <cfRule type="expression" dxfId="614" priority="122">
      <formula>AND($J$48&lt;&gt;0,$M$48&lt;&gt;0,$J$48=$M$48,$F$52=$G$56,$F$52&lt;&gt;"",$F$52&lt;&gt;12,$N$71=TRUE)</formula>
    </cfRule>
    <cfRule type="expression" dxfId="613" priority="123">
      <formula>OR(AND($J$48&lt;&gt;0,$M$48&lt;&gt;0,$J$48&gt;$M$48,$N$71=TRUE),AND($J$48&lt;&gt;0,$M$48&lt;&gt;$J$48&lt;$M$48,$F$52&lt;&gt;"",$N$71=FALSE),AND($J$48&lt;&gt;0,$M$48&lt;&gt;0,$J$48=$M$48,$F$52=12,$F$52&lt;&gt;"",$N$71=FALSE),AND($J$48&lt;&gt;0,$M$48&lt;&gt;0,$J$48&lt;$M$48,$F$52&lt;&gt;"",$N$71&lt;&gt;TRUE))</formula>
    </cfRule>
    <cfRule type="expression" dxfId="612" priority="124">
      <formula>AND($J$47&lt;&gt;0,$M$48&lt;&gt;0,$J$47&lt;$M$48)</formula>
    </cfRule>
  </conditionalFormatting>
  <conditionalFormatting sqref="F52">
    <cfRule type="expression" dxfId="611" priority="125">
      <formula>AND($N$69=TRUE,$F$52&gt;12)</formula>
    </cfRule>
    <cfRule type="expression" dxfId="610" priority="126">
      <formula>OR(AND($J$48&lt;&gt;0,$M$48&lt;&gt;0,$J$48&lt;$M$48,$F$52&gt;12),AND($J$48&lt;&gt;0,$M$48&lt;&gt;0,$J$48&gt;$M$48,$F$52&lt;&gt;$G$56,$F$52&lt;&gt;""),AND($J$48&lt;&gt;0,$M$48&lt;&gt;0,$M$48=$J$48,$F$52&gt;12,$F$52&lt;&gt;"",$N$71=TRUE),AND($J$48&lt;&gt;0,$M$48&lt;&gt;0,$M$48=$J$48,$F$52&lt;&gt;$G$56,$F$52&lt;&gt;"",$N$71=FALSE))</formula>
    </cfRule>
  </conditionalFormatting>
  <conditionalFormatting sqref="K49:M49">
    <cfRule type="expression" dxfId="609" priority="127">
      <formula>OR(AND($J$48&lt;&gt;0,$M$48&lt;&gt;0,$J$48&lt;$M$48,$N$71=FALSE,$F$52&gt;0), AND($J$48&lt;&gt;0,$M$48&lt;&gt;0,$J$48&lt;$M$48,$N$71=TRUE,$F$52&gt;12))</formula>
    </cfRule>
  </conditionalFormatting>
  <conditionalFormatting sqref="M37:N38">
    <cfRule type="expression" dxfId="608" priority="128">
      <formula>AND(OR($M$20&lt;&gt;0,$M$36&lt;&gt;0),$M$41&lt;&gt;"",$M$37=0,$N$69&lt;&gt;TRUE)</formula>
    </cfRule>
  </conditionalFormatting>
  <conditionalFormatting sqref="A40:I40 B41:J42 K41:L41 B43:L43">
    <cfRule type="expression" dxfId="607" priority="58">
      <formula>$O$1=2</formula>
    </cfRule>
  </conditionalFormatting>
  <conditionalFormatting sqref="A48">
    <cfRule type="expression" dxfId="606" priority="129">
      <formula>$A$48&lt;&gt;""</formula>
    </cfRule>
  </conditionalFormatting>
  <conditionalFormatting sqref="K43:L43">
    <cfRule type="expression" dxfId="605" priority="60">
      <formula>AND(O69&lt;&gt;TRUE,N1="Conventional",K43="N/A",$K$41&gt;0)</formula>
    </cfRule>
    <cfRule type="expression" dxfId="604" priority="61">
      <formula>$K$43="Pass"</formula>
    </cfRule>
    <cfRule type="expression" dxfId="603" priority="64">
      <formula>$K$43="N/A"</formula>
    </cfRule>
  </conditionalFormatting>
  <conditionalFormatting sqref="L27">
    <cfRule type="expression" dxfId="602" priority="57">
      <formula>$O$1=2</formula>
    </cfRule>
  </conditionalFormatting>
  <conditionalFormatting sqref="L26">
    <cfRule type="expression" dxfId="601" priority="56">
      <formula>$O$1=2</formula>
    </cfRule>
  </conditionalFormatting>
  <conditionalFormatting sqref="L12">
    <cfRule type="expression" dxfId="600" priority="55">
      <formula>$O$1=2</formula>
    </cfRule>
  </conditionalFormatting>
  <conditionalFormatting sqref="B45">
    <cfRule type="expression" dxfId="599" priority="54">
      <formula>$O$69=TRUE</formula>
    </cfRule>
  </conditionalFormatting>
  <conditionalFormatting sqref="B45 I45">
    <cfRule type="expression" dxfId="598" priority="37">
      <formula>$O$1=2</formula>
    </cfRule>
  </conditionalFormatting>
  <conditionalFormatting sqref="J45:K45">
    <cfRule type="expression" dxfId="597" priority="29">
      <formula>$J$46&lt;&gt;""</formula>
    </cfRule>
    <cfRule type="expression" dxfId="596" priority="47">
      <formula>$O$1=2</formula>
    </cfRule>
    <cfRule type="expression" dxfId="595" priority="48">
      <formula>$K$43&lt;&gt;"FAIL"</formula>
    </cfRule>
  </conditionalFormatting>
  <conditionalFormatting sqref="J45:K45">
    <cfRule type="expression" dxfId="594" priority="49">
      <formula>$O$69=TRUE</formula>
    </cfRule>
  </conditionalFormatting>
  <conditionalFormatting sqref="M45:N45">
    <cfRule type="expression" dxfId="593" priority="28">
      <formula>$M$46&lt;&gt;""</formula>
    </cfRule>
    <cfRule type="expression" dxfId="592" priority="44">
      <formula>$O$1=2</formula>
    </cfRule>
    <cfRule type="expression" dxfId="591" priority="45">
      <formula>$K$43&lt;&gt;"FAIL"</formula>
    </cfRule>
  </conditionalFormatting>
  <conditionalFormatting sqref="M45:N45">
    <cfRule type="expression" dxfId="590" priority="46">
      <formula>$O$69=TRUE</formula>
    </cfRule>
  </conditionalFormatting>
  <conditionalFormatting sqref="J46">
    <cfRule type="expression" dxfId="589" priority="42">
      <formula>$O$1=2</formula>
    </cfRule>
    <cfRule type="expression" dxfId="588" priority="43">
      <formula>$J$46&lt;&gt;""</formula>
    </cfRule>
  </conditionalFormatting>
  <conditionalFormatting sqref="M46:N46">
    <cfRule type="expression" dxfId="587" priority="38">
      <formula>$O$1=2</formula>
    </cfRule>
    <cfRule type="expression" dxfId="586" priority="39">
      <formula>$M$46&lt;&gt;""</formula>
    </cfRule>
  </conditionalFormatting>
  <conditionalFormatting sqref="B45:H45">
    <cfRule type="expression" dxfId="585" priority="53">
      <formula>$K$43&lt;&gt;"FAIL"</formula>
    </cfRule>
  </conditionalFormatting>
  <conditionalFormatting sqref="H36:I39">
    <cfRule type="expression" dxfId="584" priority="36">
      <formula>$H$36&lt;&gt;""</formula>
    </cfRule>
  </conditionalFormatting>
  <conditionalFormatting sqref="M41:N43">
    <cfRule type="expression" dxfId="583" priority="59" stopIfTrue="1">
      <formula>$M$41="Test not currently required based on lines 4 - 20"</formula>
    </cfRule>
  </conditionalFormatting>
  <conditionalFormatting sqref="D25:I25 M41:N43">
    <cfRule type="expression" dxfId="582" priority="32">
      <formula>$O$69=TRUE</formula>
    </cfRule>
  </conditionalFormatting>
  <conditionalFormatting sqref="B45:N45">
    <cfRule type="expression" dxfId="581" priority="31">
      <formula>$K$41=0</formula>
    </cfRule>
  </conditionalFormatting>
  <conditionalFormatting sqref="J46:K46 M46:N46">
    <cfRule type="expression" dxfId="580" priority="30">
      <formula>$K$41=0</formula>
    </cfRule>
  </conditionalFormatting>
  <conditionalFormatting sqref="AD49:AI50">
    <cfRule type="expression" dxfId="579" priority="27">
      <formula>$AF$47=0</formula>
    </cfRule>
  </conditionalFormatting>
  <conditionalFormatting sqref="AD51:AI51">
    <cfRule type="expression" dxfId="578" priority="26">
      <formula>$AD$49=""</formula>
    </cfRule>
  </conditionalFormatting>
  <conditionalFormatting sqref="R64:AA65">
    <cfRule type="expression" dxfId="577" priority="25">
      <formula>$R$64&lt;&gt;""</formula>
    </cfRule>
  </conditionalFormatting>
  <conditionalFormatting sqref="D62:G64">
    <cfRule type="expression" dxfId="576" priority="24">
      <formula>$D$62&lt;&gt;""</formula>
    </cfRule>
  </conditionalFormatting>
  <conditionalFormatting sqref="U55:AK56">
    <cfRule type="expression" dxfId="575" priority="18">
      <formula>$U$55="No Change"</formula>
    </cfRule>
    <cfRule type="expression" dxfId="574" priority="20">
      <formula>AND(N1="FHA",Y51&lt;&gt;0,Z47&lt;&gt;0,Z47&lt;Y51)</formula>
    </cfRule>
    <cfRule type="expression" dxfId="573" priority="23">
      <formula>AND(N1="FHA",Y51&lt;&gt;0,Z47&lt;&gt;0,Z47&gt;Y51)</formula>
    </cfRule>
  </conditionalFormatting>
  <conditionalFormatting sqref="U59:AK59">
    <cfRule type="expression" dxfId="572" priority="14">
      <formula>$U$59="No Change"</formula>
    </cfRule>
    <cfRule type="expression" dxfId="571" priority="15">
      <formula>AND(N1="FHA",Y51&lt;&gt;0,Z47&lt;&gt;0,AF47&lt;&gt;0,Z47&lt;AD51)</formula>
    </cfRule>
    <cfRule type="expression" dxfId="570" priority="21">
      <formula>AND(N1="FHA",Y51&lt;&gt;0,Z47&lt;&gt;0,AF47&lt;&gt;0,Z47&gt;AD51)</formula>
    </cfRule>
  </conditionalFormatting>
  <conditionalFormatting sqref="V51:W51">
    <cfRule type="expression" dxfId="569" priority="13">
      <formula>$V$49=""</formula>
    </cfRule>
  </conditionalFormatting>
  <conditionalFormatting sqref="N2:N3">
    <cfRule type="expression" dxfId="568" priority="12">
      <formula>$M$69=TRUE</formula>
    </cfRule>
  </conditionalFormatting>
  <conditionalFormatting sqref="K4:N4">
    <cfRule type="expression" dxfId="567" priority="11">
      <formula>AND($N$1&lt;&gt;"Conventional",$N$1&lt;&gt;"Other")</formula>
    </cfRule>
  </conditionalFormatting>
  <conditionalFormatting sqref="K2:M2">
    <cfRule type="expression" dxfId="566" priority="9">
      <formula>AND($M$69=TRUE,$N$2&lt;&gt;"")</formula>
    </cfRule>
    <cfRule type="expression" dxfId="565" priority="10">
      <formula>AND($M$69=TRUE,$N$2="")</formula>
    </cfRule>
  </conditionalFormatting>
  <conditionalFormatting sqref="K3">
    <cfRule type="expression" dxfId="564" priority="5">
      <formula>AND($M$69=TRUE,$N$2&lt;&gt;"")</formula>
    </cfRule>
    <cfRule type="expression" dxfId="563" priority="8">
      <formula>AND($M$69=TRUE,$N$2="")</formula>
    </cfRule>
  </conditionalFormatting>
  <conditionalFormatting sqref="L3:M3">
    <cfRule type="expression" dxfId="562" priority="3">
      <formula>AND($M$69=TRUE,$N$2="")</formula>
    </cfRule>
  </conditionalFormatting>
  <conditionalFormatting sqref="L3:M3">
    <cfRule type="expression" dxfId="561" priority="2">
      <formula>AND($M$69=TRUE,$N$2&lt;&gt;"")</formula>
    </cfRule>
  </conditionalFormatting>
  <conditionalFormatting sqref="K2:N3">
    <cfRule type="expression" dxfId="560" priority="1">
      <formula>AND($N$1&lt;&gt;"Conventional",$N$1&lt;&gt;"Other")</formula>
    </cfRule>
  </conditionalFormatting>
  <dataValidations disablePrompts="1" count="6">
    <dataValidation type="list" allowBlank="1" showInputMessage="1" showErrorMessage="1" sqref="K43:L43" xr:uid="{491FB813-254D-49F3-BBA7-8682723B1ACC}">
      <formula1>"Pass,Fail,N/A"</formula1>
    </dataValidation>
    <dataValidation type="custom" errorStyle="information" operator="equal" showErrorMessage="1" errorTitle="Check k1" error="Check K1" sqref="J20:K20" xr:uid="{75113439-1B11-4476-A4D0-97F7623E17A0}">
      <formula1>0</formula1>
    </dataValidation>
    <dataValidation type="decimal" operator="greaterThanOrEqual" allowBlank="1" showInputMessage="1" showErrorMessage="1" errorTitle="Invalid Entry" error="A negative figure cannot be entered in this field.  The worksheet subtracts any amount entered in this field as it is for pass-through income that should be backed out of the cash flow. Please see worksheet instruction ****" sqref="M26:N26" xr:uid="{00000000-0002-0000-1100-000002000000}">
      <formula1>0</formula1>
    </dataValidation>
    <dataValidation type="decimal" operator="greaterThanOrEqual" allowBlank="1" showInputMessage="1" showErrorMessage="1" errorTitle="Invalid Entry" error="A negative figure cannot be entered in this field.  The worksheet subtracts any amount entered in this field as it is for nonrecurring income that should be backed out of the cash flow. Please see worksheet instruction *****" sqref="J27:K27 M27:N27" xr:uid="{00000000-0002-0000-1100-000001000000}">
      <formula1>0</formula1>
    </dataValidation>
    <dataValidation type="decimal" operator="greaterThanOrEqual" allowBlank="1" showErrorMessage="1" errorTitle="Invalid Entry" error="A negative figure cannot be entered in this field.  The worksheet subtracts any amount entered in this field as it is for pass-through income that should be backed out of the cash flow. Please see worksheet instruction ****" sqref="J26:K26" xr:uid="{00000000-0002-0000-1100-000000000000}">
      <formula1>0</formula1>
    </dataValidation>
    <dataValidation type="list" allowBlank="1" showInputMessage="1" showErrorMessage="1" sqref="N2:N3" xr:uid="{CE54DD71-17AE-4815-B30B-A97C5F94997B}">
      <formula1>$AL$1:$AL$3</formula1>
    </dataValidation>
  </dataValidations>
  <hyperlinks>
    <hyperlink ref="L3" r:id="rId1" location="P2131" xr:uid="{48720D7D-A05E-4EB3-AF55-DE5D523B287E}"/>
    <hyperlink ref="M3" r:id="rId2" location="N" xr:uid="{ECD0E5B0-11C3-4E48-99A6-0EF837678644}"/>
  </hyperlinks>
  <printOptions horizontalCentered="1"/>
  <pageMargins left="0.25" right="0.25" top="0.25" bottom="0.25" header="0.3" footer="0.3"/>
  <pageSetup paperSize="5" scale="85" fitToWidth="0" pageOrder="overThenDown" orientation="portrait" r:id="rId3"/>
  <rowBreaks count="1" manualBreakCount="1">
    <brk id="76" max="16383" man="1"/>
  </rowBreaks>
  <drawing r:id="rId4"/>
  <legacyDrawing r:id="rId5"/>
  <mc:AlternateContent xmlns:mc="http://schemas.openxmlformats.org/markup-compatibility/2006">
    <mc:Choice Requires="x14">
      <controls>
        <mc:AlternateContent xmlns:mc="http://schemas.openxmlformats.org/markup-compatibility/2006">
          <mc:Choice Requires="x14">
            <control shapeId="1200131" r:id="rId6" name="Check Box 3">
              <controlPr defaultSize="0" autoFill="0" autoLine="0" autoPict="0">
                <anchor moveWithCells="1">
                  <from>
                    <xdr:col>2</xdr:col>
                    <xdr:colOff>53340</xdr:colOff>
                    <xdr:row>47</xdr:row>
                    <xdr:rowOff>83820</xdr:rowOff>
                  </from>
                  <to>
                    <xdr:col>7</xdr:col>
                    <xdr:colOff>121920</xdr:colOff>
                    <xdr:row>49</xdr:row>
                    <xdr:rowOff>60960</xdr:rowOff>
                  </to>
                </anchor>
              </controlPr>
            </control>
          </mc:Choice>
        </mc:AlternateContent>
        <mc:AlternateContent xmlns:mc="http://schemas.openxmlformats.org/markup-compatibility/2006">
          <mc:Choice Requires="x14">
            <control shapeId="1200132" r:id="rId7" name="Check Box 4">
              <controlPr defaultSize="0" autoFill="0" autoLine="0" autoPict="0">
                <anchor moveWithCells="1">
                  <from>
                    <xdr:col>11</xdr:col>
                    <xdr:colOff>38100</xdr:colOff>
                    <xdr:row>58</xdr:row>
                    <xdr:rowOff>30480</xdr:rowOff>
                  </from>
                  <to>
                    <xdr:col>13</xdr:col>
                    <xdr:colOff>0</xdr:colOff>
                    <xdr:row>59</xdr:row>
                    <xdr:rowOff>45720</xdr:rowOff>
                  </to>
                </anchor>
              </controlPr>
            </control>
          </mc:Choice>
        </mc:AlternateContent>
        <mc:AlternateContent xmlns:mc="http://schemas.openxmlformats.org/markup-compatibility/2006">
          <mc:Choice Requires="x14">
            <control shapeId="1200140" r:id="rId8" name="Check Box 12">
              <controlPr defaultSize="0" autoFill="0" autoLine="0" autoPict="0">
                <anchor moveWithCells="1">
                  <from>
                    <xdr:col>10</xdr:col>
                    <xdr:colOff>60960</xdr:colOff>
                    <xdr:row>3</xdr:row>
                    <xdr:rowOff>213360</xdr:rowOff>
                  </from>
                  <to>
                    <xdr:col>10</xdr:col>
                    <xdr:colOff>266700</xdr:colOff>
                    <xdr:row>3</xdr:row>
                    <xdr:rowOff>403860</xdr:rowOff>
                  </to>
                </anchor>
              </controlPr>
            </control>
          </mc:Choice>
        </mc:AlternateContent>
        <mc:AlternateContent xmlns:mc="http://schemas.openxmlformats.org/markup-compatibility/2006">
          <mc:Choice Requires="x14">
            <control shapeId="1200141" r:id="rId9" name="Check Box 13">
              <controlPr defaultSize="0" autoFill="0" autoLine="0" autoPict="0">
                <anchor moveWithCells="1">
                  <from>
                    <xdr:col>10</xdr:col>
                    <xdr:colOff>60960</xdr:colOff>
                    <xdr:row>3</xdr:row>
                    <xdr:rowOff>15240</xdr:rowOff>
                  </from>
                  <to>
                    <xdr:col>10</xdr:col>
                    <xdr:colOff>266700</xdr:colOff>
                    <xdr:row>3</xdr:row>
                    <xdr:rowOff>205740</xdr:rowOff>
                  </to>
                </anchor>
              </controlPr>
            </control>
          </mc:Choice>
        </mc:AlternateContent>
        <mc:AlternateContent xmlns:mc="http://schemas.openxmlformats.org/markup-compatibility/2006">
          <mc:Choice Requires="x14">
            <control shapeId="1200142" r:id="rId10" name="Button 14">
              <controlPr defaultSize="0" print="0" autoFill="0" autoPict="0" macro="[0]!IW_Copy">
                <anchor moveWithCells="1" sizeWithCells="1">
                  <from>
                    <xdr:col>1</xdr:col>
                    <xdr:colOff>38100</xdr:colOff>
                    <xdr:row>0</xdr:row>
                    <xdr:rowOff>0</xdr:rowOff>
                  </from>
                  <to>
                    <xdr:col>2</xdr:col>
                    <xdr:colOff>53340</xdr:colOff>
                    <xdr:row>1</xdr:row>
                    <xdr:rowOff>99060</xdr:rowOff>
                  </to>
                </anchor>
              </controlPr>
            </control>
          </mc:Choice>
        </mc:AlternateContent>
        <mc:AlternateContent xmlns:mc="http://schemas.openxmlformats.org/markup-compatibility/2006">
          <mc:Choice Requires="x14">
            <control shapeId="1200143" r:id="rId11" name="Button 15">
              <controlPr defaultSize="0" print="0" autoFill="0" autoPict="0" macro="[0]!IW_Home">
                <anchor moveWithCells="1" sizeWithCells="1">
                  <from>
                    <xdr:col>0</xdr:col>
                    <xdr:colOff>0</xdr:colOff>
                    <xdr:row>0</xdr:row>
                    <xdr:rowOff>0</xdr:rowOff>
                  </from>
                  <to>
                    <xdr:col>0</xdr:col>
                    <xdr:colOff>434340</xdr:colOff>
                    <xdr:row>1</xdr:row>
                    <xdr:rowOff>99060</xdr:rowOff>
                  </to>
                </anchor>
              </controlPr>
            </control>
          </mc:Choice>
        </mc:AlternateContent>
        <mc:AlternateContent xmlns:mc="http://schemas.openxmlformats.org/markup-compatibility/2006">
          <mc:Choice Requires="x14">
            <control shapeId="1200144" r:id="rId12" name="Button 16">
              <controlPr defaultSize="0" print="0" autoFill="0" autoPict="0" macro="[0]!Partnership_Clear">
                <anchor moveWithCells="1" sizeWithCells="1">
                  <from>
                    <xdr:col>2</xdr:col>
                    <xdr:colOff>106680</xdr:colOff>
                    <xdr:row>0</xdr:row>
                    <xdr:rowOff>0</xdr:rowOff>
                  </from>
                  <to>
                    <xdr:col>3</xdr:col>
                    <xdr:colOff>259080</xdr:colOff>
                    <xdr:row>1</xdr:row>
                    <xdr:rowOff>99060</xdr:rowOff>
                  </to>
                </anchor>
              </controlPr>
            </control>
          </mc:Choice>
        </mc:AlternateContent>
        <mc:AlternateContent xmlns:mc="http://schemas.openxmlformats.org/markup-compatibility/2006">
          <mc:Choice Requires="x14">
            <control shapeId="1200145" r:id="rId13" name="Button 17">
              <controlPr defaultSize="0" print="0" autoFill="0" autoPict="0" macro="[0]!Partnership_OmitHide">
                <anchor moveWithCells="1" sizeWithCells="1">
                  <from>
                    <xdr:col>0</xdr:col>
                    <xdr:colOff>7620</xdr:colOff>
                    <xdr:row>1</xdr:row>
                    <xdr:rowOff>144780</xdr:rowOff>
                  </from>
                  <to>
                    <xdr:col>1</xdr:col>
                    <xdr:colOff>381000</xdr:colOff>
                    <xdr:row>1</xdr:row>
                    <xdr:rowOff>441960</xdr:rowOff>
                  </to>
                </anchor>
              </controlPr>
            </control>
          </mc:Choice>
        </mc:AlternateContent>
        <mc:AlternateContent xmlns:mc="http://schemas.openxmlformats.org/markup-compatibility/2006">
          <mc:Choice Requires="x14">
            <control shapeId="1200146" r:id="rId14" name="Check Box 18">
              <controlPr defaultSize="0" autoFill="0" autoLine="0" autoPict="0" macro="[0]!Partnership_ShowHidePL">
                <anchor moveWithCells="1">
                  <from>
                    <xdr:col>0</xdr:col>
                    <xdr:colOff>0</xdr:colOff>
                    <xdr:row>59</xdr:row>
                    <xdr:rowOff>22860</xdr:rowOff>
                  </from>
                  <to>
                    <xdr:col>0</xdr:col>
                    <xdr:colOff>152400</xdr:colOff>
                    <xdr:row>60</xdr:row>
                    <xdr:rowOff>38100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58653-D229-49AB-8598-6175DD3D4E6C}">
  <sheetPr codeName="Sheet23">
    <tabColor theme="3" tint="0.79998168889431442"/>
  </sheetPr>
  <dimension ref="A1:AM128"/>
  <sheetViews>
    <sheetView showGridLines="0" showRowColHeaders="0" showRuler="0" view="pageLayout" zoomScale="90" zoomScaleNormal="100" zoomScalePageLayoutView="90" workbookViewId="0">
      <selection activeCell="D6" sqref="D6:H6"/>
    </sheetView>
  </sheetViews>
  <sheetFormatPr defaultColWidth="9.109375" defaultRowHeight="14.4" x14ac:dyDescent="0.3"/>
  <cols>
    <col min="1" max="1" width="5.44140625" style="15" customWidth="1"/>
    <col min="2" max="2" width="6.109375" customWidth="1"/>
    <col min="3" max="3" width="4" customWidth="1"/>
    <col min="6" max="7" width="9.109375" customWidth="1"/>
    <col min="8" max="8" width="12.88671875" customWidth="1"/>
    <col min="9" max="9" width="1.88671875" bestFit="1" customWidth="1"/>
    <col min="10" max="11" width="8.5546875" customWidth="1"/>
    <col min="12" max="12" width="9.109375" customWidth="1"/>
    <col min="13" max="13" width="8.6640625" customWidth="1"/>
    <col min="14" max="14" width="8.44140625" customWidth="1"/>
    <col min="15" max="15" width="3.109375" customWidth="1"/>
    <col min="16" max="16" width="8.109375" hidden="1" customWidth="1"/>
    <col min="17" max="17" width="5" hidden="1" customWidth="1"/>
    <col min="18" max="18" width="4.44140625" hidden="1" customWidth="1"/>
    <col min="19" max="19" width="10.6640625" hidden="1" customWidth="1"/>
    <col min="20" max="20" width="11.109375" hidden="1" customWidth="1"/>
    <col min="21" max="21" width="11.5546875" hidden="1" customWidth="1"/>
    <col min="22" max="22" width="6.33203125" hidden="1" customWidth="1"/>
    <col min="23" max="23" width="5.21875" hidden="1" customWidth="1"/>
    <col min="24" max="24" width="16.88671875" hidden="1" customWidth="1"/>
    <col min="25" max="26" width="1.109375" hidden="1" customWidth="1"/>
    <col min="27" max="27" width="6.88671875" hidden="1" customWidth="1"/>
    <col min="28" max="28" width="1.109375" hidden="1" customWidth="1"/>
    <col min="29" max="29" width="7" hidden="1" customWidth="1"/>
    <col min="30" max="30" width="1.21875" hidden="1" customWidth="1"/>
    <col min="31" max="31" width="5.5546875" hidden="1" customWidth="1"/>
    <col min="32" max="32" width="1.109375" hidden="1" customWidth="1"/>
    <col min="33" max="33" width="7.109375" hidden="1" customWidth="1"/>
    <col min="34" max="34" width="1" hidden="1" customWidth="1"/>
    <col min="35" max="35" width="7.109375" hidden="1" customWidth="1"/>
    <col min="36" max="36" width="1.21875" hidden="1" customWidth="1"/>
    <col min="37" max="37" width="1" hidden="1" customWidth="1"/>
    <col min="38" max="38" width="17" hidden="1" customWidth="1"/>
    <col min="39" max="39" width="0" hidden="1" customWidth="1"/>
    <col min="40" max="40" width="36.6640625" customWidth="1"/>
  </cols>
  <sheetData>
    <row r="1" spans="1:39" x14ac:dyDescent="0.3">
      <c r="L1" s="36"/>
      <c r="M1" s="36"/>
      <c r="N1" s="47">
        <f>'I&amp;D Worksheet'!J8</f>
        <v>0</v>
      </c>
      <c r="O1" s="47">
        <f>IF(OR(N1="VA",N1="FHA",N1="USDA"),2,1)</f>
        <v>1</v>
      </c>
      <c r="Q1" s="1791"/>
      <c r="R1" s="1791"/>
      <c r="S1" s="1791"/>
      <c r="AL1" s="1155"/>
    </row>
    <row r="2" spans="1:39" ht="36" customHeight="1" x14ac:dyDescent="0.5">
      <c r="B2" s="354"/>
      <c r="C2" s="354"/>
      <c r="D2" s="354"/>
      <c r="E2" s="354"/>
      <c r="F2" s="1321" t="s">
        <v>419</v>
      </c>
      <c r="G2" s="1321"/>
      <c r="H2" s="1321"/>
      <c r="I2" s="1321"/>
      <c r="J2" s="1321"/>
      <c r="K2" s="1969" t="s">
        <v>1397</v>
      </c>
      <c r="L2" s="2011"/>
      <c r="M2" s="2011"/>
      <c r="N2" s="2082"/>
      <c r="P2" s="1207" t="s">
        <v>803</v>
      </c>
      <c r="Q2" s="1207"/>
      <c r="R2" s="1207"/>
      <c r="S2" s="1207"/>
      <c r="T2" s="1207"/>
      <c r="U2" s="1207"/>
      <c r="V2" s="1207"/>
      <c r="W2" s="1207"/>
      <c r="X2" s="1207"/>
      <c r="Y2" s="1207"/>
      <c r="Z2" s="1207"/>
      <c r="AA2" s="1207"/>
      <c r="AB2" s="1207"/>
      <c r="AC2" s="1207"/>
      <c r="AD2" s="1207"/>
      <c r="AE2" s="1207"/>
      <c r="AF2" s="1207"/>
      <c r="AG2" s="1207"/>
      <c r="AH2" s="1207"/>
      <c r="AI2" s="1207"/>
      <c r="AJ2" s="1207"/>
      <c r="AK2" s="1207"/>
      <c r="AL2" s="1169" t="str">
        <f>IF(AND(OR(N1="Conventional",N1="Other"),M69=TRUE),"Yes, 1 yr returns confirmed","")</f>
        <v/>
      </c>
    </row>
    <row r="3" spans="1:39" ht="15" customHeight="1" x14ac:dyDescent="0.45">
      <c r="B3" s="355"/>
      <c r="C3" s="355"/>
      <c r="D3" s="355"/>
      <c r="E3" s="355"/>
      <c r="F3" s="1970" t="s">
        <v>420</v>
      </c>
      <c r="G3" s="1970"/>
      <c r="H3" s="1970"/>
      <c r="I3" s="1970"/>
      <c r="J3" s="1970"/>
      <c r="K3" s="1150" t="s">
        <v>1375</v>
      </c>
      <c r="L3" s="1171" t="s">
        <v>941</v>
      </c>
      <c r="M3" s="1172" t="s">
        <v>942</v>
      </c>
      <c r="N3" s="2082"/>
      <c r="P3" s="1207"/>
      <c r="Q3" s="1207"/>
      <c r="R3" s="1207"/>
      <c r="S3" s="1207"/>
      <c r="T3" s="1207"/>
      <c r="U3" s="1207"/>
      <c r="V3" s="1207"/>
      <c r="W3" s="1207"/>
      <c r="X3" s="1207"/>
      <c r="Y3" s="1207"/>
      <c r="Z3" s="1207"/>
      <c r="AA3" s="1207"/>
      <c r="AB3" s="1207"/>
      <c r="AC3" s="1207"/>
      <c r="AD3" s="1207"/>
      <c r="AE3" s="1207"/>
      <c r="AF3" s="1207"/>
      <c r="AG3" s="1207"/>
      <c r="AH3" s="1207"/>
      <c r="AI3" s="1207"/>
      <c r="AJ3" s="1207"/>
      <c r="AK3" s="1207"/>
      <c r="AL3" s="1155" t="str">
        <f>IF(AND(OR(N1="Conventional",N1="Other"),M69=TRUE),"No","")</f>
        <v/>
      </c>
    </row>
    <row r="4" spans="1:39" ht="31.8" customHeight="1" x14ac:dyDescent="0.3">
      <c r="A4"/>
      <c r="F4" s="1970"/>
      <c r="G4" s="1970"/>
      <c r="H4" s="1970"/>
      <c r="I4" s="1970"/>
      <c r="J4" s="1970"/>
      <c r="K4" s="2050" t="s">
        <v>1236</v>
      </c>
      <c r="L4" s="1923"/>
      <c r="M4" s="1923"/>
      <c r="N4" s="1923"/>
      <c r="O4" s="8"/>
      <c r="P4" s="1791"/>
      <c r="Q4" s="1791"/>
      <c r="R4" s="1791"/>
      <c r="S4" s="1791"/>
      <c r="T4" s="1791"/>
      <c r="U4" s="1791"/>
      <c r="V4" s="1791"/>
      <c r="W4" s="1791"/>
      <c r="X4" s="1791"/>
      <c r="Y4" s="1791"/>
      <c r="Z4" s="1791"/>
      <c r="AD4" s="2"/>
      <c r="AE4" s="2"/>
      <c r="AF4" s="2"/>
      <c r="AG4" s="2"/>
      <c r="AH4" s="2"/>
      <c r="AI4" s="2"/>
      <c r="AJ4" s="2"/>
      <c r="AM4" s="476" t="s">
        <v>1392</v>
      </c>
    </row>
    <row r="5" spans="1:39" ht="7.2" customHeight="1" x14ac:dyDescent="0.3">
      <c r="A5"/>
      <c r="D5" s="2"/>
      <c r="E5" s="2"/>
      <c r="F5" s="2"/>
      <c r="G5" s="2"/>
      <c r="H5" s="2"/>
      <c r="I5" s="2"/>
      <c r="J5" s="1948" t="s">
        <v>1227</v>
      </c>
      <c r="K5" s="1948"/>
      <c r="L5" s="1948"/>
      <c r="M5" s="1948"/>
      <c r="N5" s="1948"/>
      <c r="O5" s="1948"/>
      <c r="S5" s="2"/>
      <c r="T5" s="2"/>
      <c r="U5" s="2"/>
      <c r="V5" s="2"/>
      <c r="W5" s="2"/>
      <c r="X5" s="2"/>
      <c r="Y5" s="2"/>
      <c r="Z5" s="2"/>
      <c r="AA5" s="2"/>
      <c r="AB5" s="2"/>
      <c r="AC5" s="2"/>
      <c r="AD5" s="2"/>
      <c r="AE5" s="2"/>
      <c r="AF5" s="2"/>
      <c r="AG5" s="2"/>
      <c r="AH5" s="2"/>
      <c r="AI5" s="2"/>
      <c r="AJ5" s="2"/>
    </row>
    <row r="6" spans="1:39" ht="15.6" x14ac:dyDescent="0.3">
      <c r="A6" s="1407" t="s">
        <v>37</v>
      </c>
      <c r="B6" s="1407"/>
      <c r="C6" s="1407"/>
      <c r="D6" s="1359"/>
      <c r="E6" s="1359"/>
      <c r="F6" s="1359"/>
      <c r="G6" s="1359"/>
      <c r="H6" s="1359"/>
      <c r="I6" s="46" t="str">
        <f>IF(D6="","",D6)</f>
        <v/>
      </c>
      <c r="J6" s="1948"/>
      <c r="K6" s="1948"/>
      <c r="L6" s="1948"/>
      <c r="M6" s="1948"/>
      <c r="N6" s="1948"/>
      <c r="O6" s="1948"/>
      <c r="P6" s="1407" t="s">
        <v>37</v>
      </c>
      <c r="Q6" s="1407"/>
      <c r="R6" s="1407"/>
      <c r="S6" s="1412" t="str">
        <f>IF(D6&lt;&gt;"",D6,"")</f>
        <v/>
      </c>
      <c r="T6" s="1412"/>
      <c r="U6" s="1412"/>
      <c r="V6" s="1412"/>
      <c r="W6" s="1412"/>
      <c r="X6" s="91"/>
      <c r="Y6" s="53"/>
      <c r="Z6" s="2"/>
      <c r="AA6" s="2"/>
      <c r="AB6" s="2"/>
      <c r="AC6" s="2"/>
      <c r="AD6" s="2"/>
      <c r="AE6" s="2"/>
      <c r="AF6" s="2"/>
      <c r="AG6" s="2"/>
      <c r="AH6" s="2"/>
      <c r="AI6" s="2"/>
      <c r="AJ6" s="2"/>
      <c r="AM6" s="1157" t="s">
        <v>1393</v>
      </c>
    </row>
    <row r="7" spans="1:39" ht="7.5" customHeight="1" x14ac:dyDescent="0.3">
      <c r="A7" s="4"/>
      <c r="B7" s="4"/>
      <c r="C7" s="4"/>
      <c r="D7" s="91"/>
      <c r="E7" s="91"/>
      <c r="F7" s="91"/>
      <c r="G7" s="91"/>
      <c r="H7" s="91"/>
      <c r="I7" s="2"/>
      <c r="J7" s="1948"/>
      <c r="K7" s="1948"/>
      <c r="L7" s="1948"/>
      <c r="M7" s="1948"/>
      <c r="N7" s="1948"/>
      <c r="O7" s="1948"/>
      <c r="P7" s="4"/>
      <c r="Q7" s="4"/>
      <c r="R7" s="4"/>
      <c r="S7" s="10"/>
      <c r="T7" s="10"/>
      <c r="U7" s="10"/>
      <c r="V7" s="10"/>
      <c r="W7" s="10"/>
      <c r="X7" s="10"/>
      <c r="Y7" s="2"/>
      <c r="Z7" s="2"/>
      <c r="AA7" s="2"/>
      <c r="AB7" s="2"/>
      <c r="AC7" s="2"/>
      <c r="AD7" s="2"/>
      <c r="AE7" s="2"/>
      <c r="AF7" s="2"/>
      <c r="AG7" s="2"/>
      <c r="AH7" s="2"/>
      <c r="AI7" s="2"/>
      <c r="AJ7" s="2"/>
    </row>
    <row r="8" spans="1:39" ht="15.6" x14ac:dyDescent="0.3">
      <c r="A8" s="1407" t="s">
        <v>35</v>
      </c>
      <c r="B8" s="1407"/>
      <c r="C8" s="1407"/>
      <c r="D8" s="1359"/>
      <c r="E8" s="1359"/>
      <c r="F8" s="1359"/>
      <c r="G8" s="1359"/>
      <c r="H8" s="1359"/>
      <c r="I8" s="46" t="str">
        <f>IF(D8="","",D8)</f>
        <v/>
      </c>
      <c r="J8" s="2143" t="s">
        <v>1270</v>
      </c>
      <c r="K8" s="2144"/>
      <c r="L8" s="2144"/>
      <c r="M8" s="2144"/>
      <c r="N8" s="2144"/>
      <c r="O8" s="2144"/>
      <c r="P8" s="1407" t="s">
        <v>35</v>
      </c>
      <c r="Q8" s="1407"/>
      <c r="R8" s="1407"/>
      <c r="S8" s="1412" t="str">
        <f>IF(D8&lt;&gt;"",D8,"")</f>
        <v/>
      </c>
      <c r="T8" s="1412"/>
      <c r="U8" s="1412"/>
      <c r="V8" s="1412"/>
      <c r="W8" s="1412"/>
      <c r="X8" s="91"/>
      <c r="Y8" s="2"/>
      <c r="Z8" s="46" t="str">
        <f>IF(S8="","",S8)</f>
        <v/>
      </c>
      <c r="AA8" s="46"/>
      <c r="AB8" s="46"/>
      <c r="AC8" s="46"/>
      <c r="AD8" s="2"/>
      <c r="AE8" s="2"/>
      <c r="AF8" s="2"/>
      <c r="AG8" s="2"/>
      <c r="AH8" s="2"/>
      <c r="AI8" s="2"/>
      <c r="AJ8" s="2"/>
    </row>
    <row r="9" spans="1:39" x14ac:dyDescent="0.3">
      <c r="A9"/>
      <c r="J9" s="2144"/>
      <c r="K9" s="2144"/>
      <c r="L9" s="2144"/>
      <c r="M9" s="2144"/>
      <c r="N9" s="2144"/>
      <c r="O9" s="2144"/>
      <c r="AG9" s="36">
        <f>AF10-2000</f>
        <v>25</v>
      </c>
    </row>
    <row r="10" spans="1:39" ht="18" x14ac:dyDescent="0.3">
      <c r="A10" s="2145" t="str">
        <f>IF(O68=TRUE," Total Adjusted S Corporation Income (W2+K1+1120S) from Vendor wkst:"," Form 1040 &amp; W2's:")</f>
        <v xml:space="preserve"> Form 1040 &amp; W2's:</v>
      </c>
      <c r="B10" s="2145"/>
      <c r="C10" s="2145"/>
      <c r="D10" s="2145"/>
      <c r="E10" s="2145"/>
      <c r="F10" s="2145"/>
      <c r="G10" s="2145"/>
      <c r="H10" s="2145"/>
      <c r="I10" s="2145"/>
      <c r="J10" s="1988">
        <v>2025</v>
      </c>
      <c r="K10" s="1988"/>
      <c r="L10" s="2"/>
      <c r="M10" s="1987">
        <f>J10-1</f>
        <v>2024</v>
      </c>
      <c r="N10" s="1987"/>
      <c r="P10" s="1174"/>
      <c r="Q10" s="1174"/>
      <c r="R10" s="1174"/>
      <c r="S10" s="239"/>
      <c r="T10" s="2"/>
      <c r="U10" s="2"/>
      <c r="V10" s="2"/>
      <c r="W10" s="2"/>
      <c r="X10" s="2"/>
      <c r="Y10" s="2"/>
      <c r="Z10" s="2041">
        <v>2026</v>
      </c>
      <c r="AA10" s="2041"/>
      <c r="AB10" s="2041"/>
      <c r="AC10" s="404" t="s">
        <v>816</v>
      </c>
      <c r="AD10" s="416"/>
      <c r="AE10" s="393"/>
      <c r="AF10" s="2042">
        <f>Z10-1</f>
        <v>2025</v>
      </c>
      <c r="AG10" s="2042"/>
      <c r="AH10" s="2042"/>
      <c r="AI10" s="436" t="s">
        <v>816</v>
      </c>
      <c r="AJ10" s="437"/>
    </row>
    <row r="11" spans="1:39" ht="15.6" x14ac:dyDescent="0.3">
      <c r="A11" s="4" t="s">
        <v>1</v>
      </c>
      <c r="B11" s="1701" t="s">
        <v>548</v>
      </c>
      <c r="C11" s="1701"/>
      <c r="D11" s="1701"/>
      <c r="E11" s="1701"/>
      <c r="F11" s="1701"/>
      <c r="G11" s="1701"/>
      <c r="H11" s="1701"/>
      <c r="I11" s="1701"/>
      <c r="J11" s="1957"/>
      <c r="K11" s="1957"/>
      <c r="L11" s="3"/>
      <c r="M11" s="1957"/>
      <c r="N11" s="1957"/>
      <c r="O11" s="3"/>
      <c r="P11" s="4"/>
      <c r="R11" s="2156" t="b">
        <v>0</v>
      </c>
      <c r="S11" s="1960" t="s">
        <v>1415</v>
      </c>
      <c r="T11" s="1960"/>
      <c r="U11" s="1960"/>
      <c r="V11" s="1419" t="s">
        <v>805</v>
      </c>
      <c r="W11" s="1419"/>
      <c r="X11" s="1419"/>
      <c r="Y11" s="186"/>
      <c r="Z11" s="2043">
        <v>46023</v>
      </c>
      <c r="AA11" s="2043"/>
      <c r="AB11" s="388"/>
      <c r="AC11" s="2043"/>
      <c r="AD11" s="2043"/>
      <c r="AE11" s="3"/>
      <c r="AF11" s="2044" t="str">
        <f>CONCATENATE("1/1/",AG9)</f>
        <v>1/1/25</v>
      </c>
      <c r="AG11" s="2044"/>
      <c r="AH11" s="388"/>
      <c r="AI11" s="2044" t="str">
        <f>CONCATENATE("12/31/",AG9)</f>
        <v>12/31/25</v>
      </c>
      <c r="AJ11" s="2044"/>
      <c r="AK11" s="3"/>
    </row>
    <row r="12" spans="1:39" ht="15.6" x14ac:dyDescent="0.3">
      <c r="A12" s="4" t="s">
        <v>2</v>
      </c>
      <c r="B12" s="1701" t="s">
        <v>1286</v>
      </c>
      <c r="C12" s="1701"/>
      <c r="D12" s="1701"/>
      <c r="E12" s="1701"/>
      <c r="F12" s="1701"/>
      <c r="G12" s="1701"/>
      <c r="H12" s="1701"/>
      <c r="I12" s="58" t="s">
        <v>14</v>
      </c>
      <c r="J12" s="2141"/>
      <c r="K12" s="2141"/>
      <c r="L12" s="12" t="s">
        <v>1287</v>
      </c>
      <c r="M12" s="1957"/>
      <c r="N12" s="1957"/>
      <c r="O12" s="3" t="s">
        <v>13</v>
      </c>
      <c r="P12" s="4"/>
      <c r="Q12" s="2"/>
      <c r="R12" s="2156"/>
      <c r="S12" s="2134" t="s">
        <v>1416</v>
      </c>
      <c r="T12" s="2134"/>
      <c r="U12" s="2134"/>
      <c r="V12" s="2134"/>
      <c r="W12" s="732">
        <f>YEAR(Z11)</f>
        <v>2026</v>
      </c>
      <c r="X12" s="2"/>
      <c r="Y12" s="3"/>
      <c r="Z12" s="6"/>
      <c r="AA12" s="2059" t="s">
        <v>97</v>
      </c>
      <c r="AB12" s="2059"/>
      <c r="AC12" s="2059"/>
      <c r="AD12" s="389"/>
      <c r="AE12" s="2"/>
      <c r="AF12" s="389"/>
      <c r="AG12" s="2059" t="s">
        <v>97</v>
      </c>
      <c r="AH12" s="2059"/>
      <c r="AI12" s="2059"/>
      <c r="AJ12" s="6"/>
      <c r="AK12" s="3"/>
    </row>
    <row r="13" spans="1:39" ht="15.6" x14ac:dyDescent="0.3">
      <c r="A13" s="4" t="s">
        <v>3</v>
      </c>
      <c r="B13" s="2" t="s">
        <v>239</v>
      </c>
      <c r="C13" s="2080"/>
      <c r="D13" s="2080"/>
      <c r="E13" s="2080"/>
      <c r="F13" s="2080"/>
      <c r="G13" s="2080"/>
      <c r="H13" s="2"/>
      <c r="I13" s="3"/>
      <c r="J13" s="1957"/>
      <c r="K13" s="1957"/>
      <c r="L13" s="3"/>
      <c r="M13" s="1957"/>
      <c r="N13" s="1957"/>
      <c r="O13" s="3"/>
      <c r="Q13" s="2045" t="str">
        <f>IF(AND(AF34&lt;&gt;0,J45=0,M45&lt;&gt;0),"Most recent Filed returns must be entered in the left column on the 1065 Worksheet and year updated at top.",IF(AND(AF34&lt;&gt;0,AF10&lt;&gt;(J10+1)),"Error, Tax Years and P&amp;L years are not entered correctly; see the Instructions tab under P&amp;L's",IF(AND(AF34=0,Z34&lt;&gt;0,Z10&lt;&gt;(J10+1)),"Error, Tax Years and P&amp;L years are not entered correctly; see the Instructions tab under P&amp;L's","")))</f>
        <v/>
      </c>
      <c r="R13" s="2045"/>
      <c r="S13" s="2045"/>
      <c r="T13" s="2045"/>
      <c r="U13" s="2045"/>
      <c r="V13" s="401"/>
      <c r="W13" s="401"/>
      <c r="X13" s="2"/>
      <c r="Y13" s="3"/>
      <c r="Z13" s="6"/>
      <c r="AA13" s="2046" t="str">
        <f>IF(OR(Z11="",AC11=""),"=",CONCATENATE(ROUND(AC14,2)," Months"))</f>
        <v>=</v>
      </c>
      <c r="AB13" s="2046"/>
      <c r="AC13" s="2046"/>
      <c r="AE13" s="3"/>
      <c r="AF13" s="6"/>
      <c r="AG13" s="2046" t="str">
        <f>IF(OR(AF11="",AI11=""),"=",CONCATENATE(ROUND(AI14,2)," Months"))</f>
        <v>12 Months</v>
      </c>
      <c r="AH13" s="2046"/>
      <c r="AI13" s="2046"/>
      <c r="AK13" s="3"/>
    </row>
    <row r="14" spans="1:39" ht="7.5" customHeight="1" x14ac:dyDescent="0.3">
      <c r="A14" s="4"/>
      <c r="B14" s="2"/>
      <c r="C14" s="2"/>
      <c r="D14" s="2"/>
      <c r="E14" s="2"/>
      <c r="F14" s="2"/>
      <c r="G14" s="2"/>
      <c r="H14" s="2"/>
      <c r="I14" s="3"/>
      <c r="J14" s="11"/>
      <c r="K14" s="11"/>
      <c r="L14" s="3"/>
      <c r="M14" s="11"/>
      <c r="N14" s="11"/>
      <c r="O14" s="3"/>
      <c r="P14" s="401"/>
      <c r="Q14" s="2045"/>
      <c r="R14" s="2045"/>
      <c r="S14" s="2045"/>
      <c r="T14" s="2045"/>
      <c r="U14" s="2045"/>
      <c r="V14" s="401"/>
      <c r="W14" s="401"/>
      <c r="X14" s="2"/>
      <c r="Z14" s="11"/>
      <c r="AA14" s="220">
        <f>YEARFRAC(Z11,AC11+1,4)</f>
        <v>126</v>
      </c>
      <c r="AB14" s="394" t="str">
        <f>IF(OR(Z11="",AC11=""),"=",(ROUND(AC14,2)))</f>
        <v>=</v>
      </c>
      <c r="AC14" s="221">
        <f>AA14*12</f>
        <v>1512</v>
      </c>
      <c r="AD14" s="11"/>
      <c r="AE14" s="3"/>
      <c r="AF14" s="11"/>
      <c r="AG14" s="220">
        <f>YEARFRAC(AF11,AI11+1,4)</f>
        <v>1</v>
      </c>
      <c r="AH14" s="394">
        <f>IF(OR(AF11="",AI11=""),"=",(ROUND(AI14,2)))</f>
        <v>12</v>
      </c>
      <c r="AI14" s="221">
        <f>AG14*12</f>
        <v>12</v>
      </c>
      <c r="AJ14" s="11"/>
      <c r="AK14" s="3"/>
    </row>
    <row r="15" spans="1:39" ht="15.6" x14ac:dyDescent="0.3">
      <c r="A15" s="1398" t="s">
        <v>38</v>
      </c>
      <c r="B15" s="1398"/>
      <c r="C15" s="1398"/>
      <c r="D15" s="2"/>
      <c r="E15" s="2"/>
      <c r="F15" s="2142"/>
      <c r="G15" s="2142"/>
      <c r="H15" s="2142"/>
      <c r="I15" s="3"/>
      <c r="J15" s="11"/>
      <c r="K15" s="11"/>
      <c r="L15" s="3"/>
      <c r="M15" s="11"/>
      <c r="N15" s="11"/>
      <c r="O15" s="3"/>
      <c r="P15" s="2027" t="s">
        <v>804</v>
      </c>
      <c r="Q15" s="2027"/>
      <c r="R15" s="2027"/>
      <c r="S15" s="2027"/>
      <c r="T15" s="419"/>
      <c r="U15" s="419"/>
      <c r="Z15" s="1517" t="str">
        <f>IF(Z10&lt;&gt;W12,"Error: Years don’t match",IF(AND(AC11&lt;&gt;"",AC11&lt;Z11),"Error: &lt; 1 day",IF(AND(AB14&gt;12,AC11&lt;&gt;""),"Error: &gt; 12 Mo","")))</f>
        <v/>
      </c>
      <c r="AA15" s="1517"/>
      <c r="AB15" s="1517"/>
      <c r="AC15" s="1517"/>
      <c r="AD15" s="1517"/>
      <c r="AE15" s="421"/>
      <c r="AF15" s="2028" t="str">
        <f>IF(AND(AH14&gt;12,AI11&lt;&gt;""),"Error: &gt; 12 Mo","")</f>
        <v/>
      </c>
      <c r="AG15" s="2028"/>
      <c r="AH15" s="2028"/>
      <c r="AI15" s="2028"/>
      <c r="AJ15" s="2028"/>
    </row>
    <row r="16" spans="1:39" ht="15.6" customHeight="1" x14ac:dyDescent="0.3">
      <c r="A16" s="4" t="s">
        <v>4</v>
      </c>
      <c r="B16" s="1701" t="s">
        <v>1196</v>
      </c>
      <c r="C16" s="1701"/>
      <c r="D16" s="1701"/>
      <c r="E16" s="1701"/>
      <c r="F16" s="2142"/>
      <c r="G16" s="2142"/>
      <c r="H16" s="2142"/>
      <c r="I16" s="889"/>
      <c r="J16" s="1985"/>
      <c r="K16" s="1985"/>
      <c r="L16" s="3"/>
      <c r="M16" s="1985"/>
      <c r="N16" s="1985"/>
      <c r="O16" s="3"/>
      <c r="P16" s="4" t="s">
        <v>1</v>
      </c>
      <c r="Q16" s="2" t="s">
        <v>811</v>
      </c>
      <c r="R16" s="2"/>
      <c r="S16" s="2"/>
      <c r="T16" s="2"/>
      <c r="U16" s="2"/>
      <c r="V16" s="2"/>
      <c r="W16" s="2"/>
      <c r="X16" s="2"/>
      <c r="Y16" s="3"/>
      <c r="Z16" s="2126"/>
      <c r="AA16" s="2126"/>
      <c r="AB16" s="2126"/>
      <c r="AC16" s="2126"/>
      <c r="AD16" s="2126"/>
      <c r="AE16" s="3"/>
      <c r="AF16" s="2126"/>
      <c r="AG16" s="2126"/>
      <c r="AH16" s="2126"/>
      <c r="AI16" s="2126"/>
      <c r="AJ16" s="2126"/>
      <c r="AK16" s="3"/>
    </row>
    <row r="17" spans="1:37" ht="15.6" x14ac:dyDescent="0.3">
      <c r="A17" s="4" t="s">
        <v>5</v>
      </c>
      <c r="B17" s="1701" t="s">
        <v>33</v>
      </c>
      <c r="C17" s="1701"/>
      <c r="D17" s="1701"/>
      <c r="E17" s="1701"/>
      <c r="F17" s="2142"/>
      <c r="G17" s="2142"/>
      <c r="H17" s="2142"/>
      <c r="I17" s="889"/>
      <c r="J17" s="1985"/>
      <c r="K17" s="1985"/>
      <c r="L17" s="3"/>
      <c r="M17" s="1985"/>
      <c r="N17" s="1985"/>
      <c r="O17" s="3"/>
      <c r="P17" s="4"/>
      <c r="Q17" s="2130" t="s">
        <v>1093</v>
      </c>
      <c r="R17" s="2130"/>
      <c r="S17" s="2130"/>
      <c r="T17" s="2130"/>
      <c r="U17" s="2130"/>
      <c r="V17" s="418"/>
      <c r="W17" s="2"/>
      <c r="X17" s="2"/>
      <c r="Y17" s="3"/>
      <c r="Z17" s="2127"/>
      <c r="AA17" s="2127"/>
      <c r="AB17" s="2127"/>
      <c r="AC17" s="2127"/>
      <c r="AD17" s="2127"/>
      <c r="AE17" s="3"/>
      <c r="AF17" s="2127"/>
      <c r="AG17" s="2127"/>
      <c r="AH17" s="2127"/>
      <c r="AI17" s="2127"/>
      <c r="AJ17" s="2127"/>
      <c r="AK17" s="3"/>
    </row>
    <row r="18" spans="1:37" ht="15.6" x14ac:dyDescent="0.3">
      <c r="A18" s="4" t="s">
        <v>6</v>
      </c>
      <c r="B18" s="2" t="s">
        <v>239</v>
      </c>
      <c r="C18" s="2080"/>
      <c r="D18" s="2080"/>
      <c r="E18" s="2080"/>
      <c r="F18" s="2080"/>
      <c r="G18" s="2080"/>
      <c r="H18" s="2"/>
      <c r="I18" s="3"/>
      <c r="J18" s="1985"/>
      <c r="K18" s="1985"/>
      <c r="L18" s="3"/>
      <c r="M18" s="1985"/>
      <c r="N18" s="1985"/>
      <c r="O18" s="3"/>
      <c r="P18" s="4" t="s">
        <v>2</v>
      </c>
      <c r="Q18" s="2" t="s">
        <v>239</v>
      </c>
      <c r="R18" s="2080"/>
      <c r="S18" s="2080"/>
      <c r="T18" s="2080"/>
      <c r="U18" s="2080"/>
      <c r="V18" s="2080"/>
      <c r="W18" s="2"/>
      <c r="X18" s="2"/>
      <c r="Y18" s="3"/>
      <c r="Z18" s="1917"/>
      <c r="AA18" s="1917"/>
      <c r="AB18" s="1917"/>
      <c r="AC18" s="1917"/>
      <c r="AD18" s="1917"/>
      <c r="AE18" s="3"/>
      <c r="AF18" s="1917"/>
      <c r="AG18" s="1917"/>
      <c r="AH18" s="1917"/>
      <c r="AI18" s="1917"/>
      <c r="AJ18" s="1917"/>
      <c r="AK18" s="3"/>
    </row>
    <row r="19" spans="1:37" ht="15.75" customHeight="1" thickBot="1" x14ac:dyDescent="0.35">
      <c r="A19" s="4" t="s">
        <v>7</v>
      </c>
      <c r="B19" s="1427" t="s">
        <v>267</v>
      </c>
      <c r="C19" s="1427"/>
      <c r="D19" s="1427"/>
      <c r="E19" s="1427"/>
      <c r="F19" s="1427"/>
      <c r="G19" s="1427"/>
      <c r="H19" s="1427"/>
      <c r="I19" s="3"/>
      <c r="J19" s="2128">
        <f>J11-J12+J13+J16+J17+J18</f>
        <v>0</v>
      </c>
      <c r="K19" s="2128"/>
      <c r="L19" s="870">
        <f>J16+J17+J18</f>
        <v>0</v>
      </c>
      <c r="M19" s="2128">
        <f>IF(O69=TRUE,0,M11-M12+M13+M16+M17+M18)</f>
        <v>0</v>
      </c>
      <c r="N19" s="2128"/>
      <c r="O19" s="870">
        <f>M16+M17+M18</f>
        <v>0</v>
      </c>
      <c r="P19" s="4" t="s">
        <v>3</v>
      </c>
      <c r="Q19" s="3" t="s">
        <v>267</v>
      </c>
      <c r="R19" s="3"/>
      <c r="S19" s="3"/>
      <c r="T19" s="3"/>
      <c r="U19" s="3"/>
      <c r="V19" s="3"/>
      <c r="W19" s="3"/>
      <c r="X19" s="3"/>
      <c r="Y19" s="3"/>
      <c r="Z19" s="2122">
        <f>Z16+Z18</f>
        <v>0</v>
      </c>
      <c r="AA19" s="2122"/>
      <c r="AB19" s="2122"/>
      <c r="AC19" s="2122"/>
      <c r="AD19" s="2122"/>
      <c r="AE19" s="3"/>
      <c r="AF19" s="2122">
        <f>AF16+AF18</f>
        <v>0</v>
      </c>
      <c r="AG19" s="2122"/>
      <c r="AH19" s="2122"/>
      <c r="AI19" s="2122"/>
      <c r="AJ19" s="2122"/>
      <c r="AK19" s="3"/>
    </row>
    <row r="20" spans="1:37" ht="10.5" customHeight="1" thickTop="1" x14ac:dyDescent="0.3">
      <c r="A20" s="4"/>
      <c r="B20" s="3"/>
      <c r="C20" s="3"/>
      <c r="D20" s="3"/>
      <c r="E20" s="3"/>
      <c r="F20" s="3"/>
      <c r="G20" s="3"/>
      <c r="H20" s="3"/>
      <c r="I20" s="3"/>
      <c r="J20" s="22"/>
      <c r="K20" s="22"/>
      <c r="L20" s="3"/>
      <c r="M20" s="22"/>
      <c r="N20" s="22"/>
      <c r="O20" s="3"/>
      <c r="AK20" s="3"/>
    </row>
    <row r="21" spans="1:37" ht="15.6" x14ac:dyDescent="0.3">
      <c r="A21"/>
      <c r="B21" s="3"/>
      <c r="C21" s="2157" t="s">
        <v>887</v>
      </c>
      <c r="D21" s="2157"/>
      <c r="E21" s="2157"/>
      <c r="F21" s="2157"/>
      <c r="G21" s="2157"/>
      <c r="H21" s="2157"/>
      <c r="I21" s="2157"/>
      <c r="J21" s="2157"/>
      <c r="K21" s="2157"/>
      <c r="L21" s="2157"/>
      <c r="M21" s="2157"/>
      <c r="N21" s="3"/>
      <c r="O21" s="3"/>
      <c r="P21" s="4"/>
      <c r="Q21" s="3"/>
      <c r="R21" s="3"/>
      <c r="S21" s="3"/>
      <c r="T21" s="3"/>
      <c r="U21" s="3"/>
      <c r="V21" s="3"/>
      <c r="W21" s="3"/>
      <c r="X21" s="3"/>
      <c r="Y21" s="3"/>
      <c r="Z21" s="22"/>
      <c r="AA21" s="22"/>
      <c r="AB21" s="22"/>
      <c r="AC21" s="22"/>
      <c r="AD21" s="22"/>
      <c r="AE21" s="3"/>
      <c r="AF21" s="22"/>
      <c r="AG21" s="22"/>
      <c r="AH21" s="22"/>
      <c r="AI21" s="22"/>
      <c r="AJ21" s="22"/>
      <c r="AK21" s="3"/>
    </row>
    <row r="22" spans="1:37" ht="14.25" customHeight="1" x14ac:dyDescent="0.35">
      <c r="A22" s="1356" t="s">
        <v>421</v>
      </c>
      <c r="B22" s="1356"/>
      <c r="C22" s="1356"/>
      <c r="D22" s="1356"/>
      <c r="E22" s="1356"/>
      <c r="F22" s="1356"/>
      <c r="G22" s="1356"/>
      <c r="H22" s="1356"/>
      <c r="I22" s="1356"/>
      <c r="J22" s="1356"/>
      <c r="K22" s="1356"/>
      <c r="L22" s="1356"/>
      <c r="M22" s="1356"/>
      <c r="N22" s="1356"/>
      <c r="O22" s="1356"/>
      <c r="P22" s="1364" t="s">
        <v>810</v>
      </c>
      <c r="Q22" s="1364"/>
      <c r="R22" s="1364"/>
      <c r="S22" s="3"/>
      <c r="T22" s="3"/>
      <c r="U22" s="3"/>
      <c r="V22" s="3"/>
      <c r="W22" s="3"/>
      <c r="X22" s="3"/>
      <c r="Y22" s="3"/>
      <c r="Z22" s="3"/>
      <c r="AA22" s="3"/>
      <c r="AB22" s="3"/>
      <c r="AC22" s="3"/>
      <c r="AD22" s="3"/>
      <c r="AE22" s="3"/>
      <c r="AF22" s="3"/>
      <c r="AG22" s="12"/>
      <c r="AH22" s="12"/>
      <c r="AI22" s="12"/>
      <c r="AJ22" s="3"/>
      <c r="AK22" s="3"/>
    </row>
    <row r="23" spans="1:37" ht="7.5" customHeight="1" x14ac:dyDescent="0.3">
      <c r="A23" s="4"/>
      <c r="B23" s="24"/>
      <c r="C23" s="24"/>
      <c r="D23" s="24"/>
      <c r="E23" s="24"/>
      <c r="F23" s="24"/>
      <c r="G23" s="24"/>
      <c r="H23" s="24"/>
      <c r="I23" s="24"/>
      <c r="J23" s="24"/>
      <c r="K23" s="24"/>
      <c r="L23" s="24"/>
      <c r="M23" s="24"/>
      <c r="N23" s="24"/>
      <c r="O23" s="3"/>
      <c r="P23" s="1364"/>
      <c r="Q23" s="1364"/>
      <c r="R23" s="1364"/>
      <c r="S23" s="56"/>
      <c r="T23" s="56"/>
      <c r="U23" s="56"/>
      <c r="V23" s="56"/>
      <c r="W23" s="56"/>
      <c r="X23" s="56"/>
      <c r="Y23" s="56"/>
      <c r="Z23" s="56"/>
      <c r="AA23" s="56"/>
      <c r="AB23" s="56"/>
      <c r="AC23" s="56"/>
      <c r="AD23" s="56"/>
      <c r="AE23" s="56"/>
      <c r="AF23" s="56"/>
      <c r="AG23" s="56"/>
      <c r="AH23" s="56"/>
      <c r="AI23" s="56"/>
      <c r="AJ23" s="56"/>
      <c r="AK23" s="56"/>
    </row>
    <row r="24" spans="1:37" ht="15.6" x14ac:dyDescent="0.3">
      <c r="A24" s="1404" t="s">
        <v>422</v>
      </c>
      <c r="B24" s="1404"/>
      <c r="C24" s="1404"/>
      <c r="D24" s="2146" t="str">
        <f>IF(O1=2,"","(For Fannie, only complete lines 8-15 if ownership is 25% or Greater)")</f>
        <v>(For Fannie, only complete lines 8-15 if ownership is 25% or Greater)</v>
      </c>
      <c r="E24" s="2146"/>
      <c r="F24" s="2146"/>
      <c r="G24" s="2146"/>
      <c r="H24" s="2146"/>
      <c r="I24" s="2146"/>
      <c r="J24" s="375">
        <f>J25*-1</f>
        <v>0</v>
      </c>
      <c r="K24" s="11"/>
      <c r="L24" s="3"/>
      <c r="M24" s="375">
        <f>M25*-1</f>
        <v>0</v>
      </c>
      <c r="N24" s="11"/>
      <c r="O24" s="3"/>
      <c r="P24" s="4" t="s">
        <v>4</v>
      </c>
      <c r="Q24" s="66" t="s">
        <v>807</v>
      </c>
      <c r="R24" s="66"/>
      <c r="S24" s="66"/>
      <c r="T24" s="66"/>
      <c r="U24" s="66"/>
      <c r="V24" s="66"/>
      <c r="W24" s="66"/>
      <c r="X24" s="66"/>
      <c r="Y24" s="66"/>
      <c r="Z24" s="1917"/>
      <c r="AA24" s="1917"/>
      <c r="AB24" s="1917"/>
      <c r="AC24" s="1917"/>
      <c r="AD24" s="1917"/>
      <c r="AE24" s="3"/>
      <c r="AF24" s="1917"/>
      <c r="AG24" s="1917"/>
      <c r="AH24" s="1917"/>
      <c r="AI24" s="1917"/>
      <c r="AJ24" s="1917"/>
      <c r="AK24" s="56"/>
    </row>
    <row r="25" spans="1:37" ht="15.6" x14ac:dyDescent="0.3">
      <c r="A25" s="4" t="s">
        <v>8</v>
      </c>
      <c r="B25" s="1701" t="s">
        <v>762</v>
      </c>
      <c r="C25" s="1701"/>
      <c r="D25" s="1701"/>
      <c r="E25" s="1701"/>
      <c r="F25" s="1701"/>
      <c r="G25" s="1701"/>
      <c r="H25" s="1701"/>
      <c r="I25" s="58" t="s">
        <v>14</v>
      </c>
      <c r="J25" s="1985"/>
      <c r="K25" s="1985"/>
      <c r="L25" s="12" t="s">
        <v>1287</v>
      </c>
      <c r="M25" s="1985"/>
      <c r="N25" s="1985"/>
      <c r="O25" s="3" t="s">
        <v>13</v>
      </c>
      <c r="P25" s="4" t="s">
        <v>5</v>
      </c>
      <c r="Q25" s="2" t="s">
        <v>792</v>
      </c>
      <c r="R25" s="2"/>
      <c r="S25" s="2"/>
      <c r="T25" s="2"/>
      <c r="U25" s="2"/>
      <c r="V25" s="2"/>
      <c r="W25" s="2"/>
      <c r="X25" s="2"/>
      <c r="Y25" s="3"/>
      <c r="Z25" s="1917"/>
      <c r="AA25" s="1917"/>
      <c r="AB25" s="1917"/>
      <c r="AC25" s="1917"/>
      <c r="AD25" s="1917"/>
      <c r="AE25" s="3"/>
      <c r="AF25" s="1917"/>
      <c r="AG25" s="1917"/>
      <c r="AH25" s="1917"/>
      <c r="AI25" s="1917"/>
      <c r="AJ25" s="1917"/>
      <c r="AK25" s="3"/>
    </row>
    <row r="26" spans="1:37" ht="15.6" x14ac:dyDescent="0.3">
      <c r="A26" s="4" t="s">
        <v>9</v>
      </c>
      <c r="B26" s="1701" t="s">
        <v>43</v>
      </c>
      <c r="C26" s="1701"/>
      <c r="D26" s="1701"/>
      <c r="E26" s="1701"/>
      <c r="F26" s="1701"/>
      <c r="G26" s="1701"/>
      <c r="H26" s="1701"/>
      <c r="I26" s="3"/>
      <c r="J26" s="1985"/>
      <c r="K26" s="1985"/>
      <c r="L26" s="3"/>
      <c r="M26" s="1985"/>
      <c r="N26" s="1985"/>
      <c r="O26" s="3"/>
      <c r="P26" s="4" t="s">
        <v>6</v>
      </c>
      <c r="Q26" s="2" t="s">
        <v>806</v>
      </c>
      <c r="R26" s="2"/>
      <c r="S26" s="2"/>
      <c r="T26" s="2"/>
      <c r="U26" s="2"/>
      <c r="V26" s="2"/>
      <c r="W26" s="2"/>
      <c r="X26" s="2"/>
      <c r="Y26" s="3"/>
      <c r="Z26" s="1917"/>
      <c r="AA26" s="1917"/>
      <c r="AB26" s="1917"/>
      <c r="AC26" s="1917"/>
      <c r="AD26" s="1917"/>
      <c r="AE26" s="3"/>
      <c r="AF26" s="1917"/>
      <c r="AG26" s="1917"/>
      <c r="AH26" s="1917"/>
      <c r="AI26" s="1917"/>
      <c r="AJ26" s="1917"/>
      <c r="AK26" s="12"/>
    </row>
    <row r="27" spans="1:37" ht="15.6" x14ac:dyDescent="0.3">
      <c r="A27" s="4" t="s">
        <v>10</v>
      </c>
      <c r="B27" s="1701" t="s">
        <v>423</v>
      </c>
      <c r="C27" s="1701"/>
      <c r="D27" s="1701"/>
      <c r="E27" s="1701"/>
      <c r="F27" s="1701"/>
      <c r="G27" s="1701"/>
      <c r="H27" s="1701"/>
      <c r="I27" s="3"/>
      <c r="J27" s="1985"/>
      <c r="K27" s="1985"/>
      <c r="L27" s="3"/>
      <c r="M27" s="1985"/>
      <c r="N27" s="1985"/>
      <c r="O27" s="3"/>
      <c r="P27" s="4" t="s">
        <v>7</v>
      </c>
      <c r="Q27" s="2" t="s">
        <v>239</v>
      </c>
      <c r="R27" s="2031"/>
      <c r="S27" s="2031"/>
      <c r="T27" s="2031"/>
      <c r="U27" s="2031"/>
      <c r="V27" s="2031"/>
      <c r="W27" s="2"/>
      <c r="X27" s="2"/>
      <c r="Y27" s="3"/>
      <c r="Z27" s="1917"/>
      <c r="AA27" s="1917"/>
      <c r="AB27" s="1917"/>
      <c r="AC27" s="1917"/>
      <c r="AD27" s="1917"/>
      <c r="AE27" s="3"/>
      <c r="AF27" s="1917"/>
      <c r="AG27" s="1917"/>
      <c r="AH27" s="1917"/>
      <c r="AI27" s="1917"/>
      <c r="AJ27" s="1917"/>
      <c r="AK27" s="12"/>
    </row>
    <row r="28" spans="1:37" ht="15.6" x14ac:dyDescent="0.3">
      <c r="A28" s="4" t="s">
        <v>11</v>
      </c>
      <c r="B28" s="1701" t="s">
        <v>424</v>
      </c>
      <c r="C28" s="1701"/>
      <c r="D28" s="1701"/>
      <c r="E28" s="1701"/>
      <c r="F28" s="1701"/>
      <c r="G28" s="1701"/>
      <c r="H28" s="1701"/>
      <c r="I28" s="1701"/>
      <c r="J28" s="1985"/>
      <c r="K28" s="1985"/>
      <c r="L28" s="212" t="s">
        <v>256</v>
      </c>
      <c r="M28" s="1985"/>
      <c r="N28" s="1985"/>
      <c r="O28" s="213" t="s">
        <v>256</v>
      </c>
      <c r="P28" s="4" t="s">
        <v>8</v>
      </c>
      <c r="Q28" s="2" t="s">
        <v>239</v>
      </c>
      <c r="R28" s="2029"/>
      <c r="S28" s="2029"/>
      <c r="T28" s="2029"/>
      <c r="U28" s="2029"/>
      <c r="V28" s="2029"/>
      <c r="W28" s="2"/>
      <c r="X28" s="2"/>
      <c r="Y28" s="2"/>
      <c r="Z28" s="1917"/>
      <c r="AA28" s="1917"/>
      <c r="AB28" s="1917"/>
      <c r="AC28" s="1917"/>
      <c r="AD28" s="1917"/>
      <c r="AE28" s="212"/>
      <c r="AF28" s="1917"/>
      <c r="AG28" s="1917"/>
      <c r="AH28" s="1917"/>
      <c r="AI28" s="1917"/>
      <c r="AJ28" s="1917"/>
      <c r="AK28" s="3"/>
    </row>
    <row r="29" spans="1:37" ht="15.6" x14ac:dyDescent="0.3">
      <c r="A29" s="4" t="s">
        <v>29</v>
      </c>
      <c r="B29" s="1701" t="s">
        <v>64</v>
      </c>
      <c r="C29" s="1701"/>
      <c r="D29" s="1701"/>
      <c r="E29" s="1701"/>
      <c r="F29" s="1701"/>
      <c r="G29" s="1701"/>
      <c r="H29" s="1701"/>
      <c r="I29" s="1448" t="s">
        <v>14</v>
      </c>
      <c r="J29" s="2096"/>
      <c r="K29" s="2096"/>
      <c r="L29" s="1228" t="s">
        <v>1288</v>
      </c>
      <c r="M29" s="2096"/>
      <c r="N29" s="2096"/>
      <c r="O29" s="1809" t="s">
        <v>13</v>
      </c>
      <c r="P29" s="23" t="s">
        <v>9</v>
      </c>
      <c r="Q29" s="3" t="s">
        <v>41</v>
      </c>
      <c r="R29" s="3"/>
      <c r="S29" s="3"/>
      <c r="T29" s="3"/>
      <c r="U29" s="3"/>
      <c r="V29" s="3"/>
      <c r="W29" s="3"/>
      <c r="X29" s="3"/>
      <c r="Y29" s="3"/>
      <c r="Z29" s="2140">
        <f>Z24+Z25+Z26+Z27+Z28</f>
        <v>0</v>
      </c>
      <c r="AA29" s="2140"/>
      <c r="AB29" s="2140"/>
      <c r="AC29" s="2140"/>
      <c r="AD29" s="2140"/>
      <c r="AE29" s="3"/>
      <c r="AF29" s="2140">
        <f>AF24+AF25+AF26+AF27+AF28</f>
        <v>0</v>
      </c>
      <c r="AG29" s="2140"/>
      <c r="AH29" s="2140"/>
      <c r="AI29" s="2140"/>
      <c r="AJ29" s="2140"/>
      <c r="AK29" s="3"/>
    </row>
    <row r="30" spans="1:37" ht="8.25" customHeight="1" x14ac:dyDescent="0.3">
      <c r="A30" s="4"/>
      <c r="B30" s="2119" t="s">
        <v>425</v>
      </c>
      <c r="C30" s="2119"/>
      <c r="D30" s="2119"/>
      <c r="E30" s="2119"/>
      <c r="F30" s="2119"/>
      <c r="G30" s="2119"/>
      <c r="H30" s="2119"/>
      <c r="I30" s="1448"/>
      <c r="J30" s="2097"/>
      <c r="K30" s="2097"/>
      <c r="L30" s="1228"/>
      <c r="M30" s="2097"/>
      <c r="N30" s="2097"/>
      <c r="O30" s="1809"/>
      <c r="P30" s="1708" t="s">
        <v>10</v>
      </c>
      <c r="Q30" s="2129" t="s">
        <v>809</v>
      </c>
      <c r="R30" s="2129"/>
      <c r="S30" s="2129"/>
      <c r="T30" s="2129"/>
      <c r="U30" s="2129"/>
      <c r="V30" s="2129"/>
      <c r="W30" s="2129"/>
      <c r="X30" s="391"/>
      <c r="Y30" s="2"/>
      <c r="Z30" s="2099">
        <v>0</v>
      </c>
      <c r="AA30" s="2099"/>
      <c r="AB30" s="2099"/>
      <c r="AC30" s="2099"/>
      <c r="AD30" s="2099"/>
      <c r="AE30" s="2"/>
      <c r="AF30" s="2099">
        <v>0</v>
      </c>
      <c r="AG30" s="2099"/>
      <c r="AH30" s="2099"/>
      <c r="AI30" s="2099"/>
      <c r="AJ30" s="2099"/>
      <c r="AK30" s="212" t="s">
        <v>257</v>
      </c>
    </row>
    <row r="31" spans="1:37" ht="18" customHeight="1" x14ac:dyDescent="0.3">
      <c r="A31" s="4" t="s">
        <v>39</v>
      </c>
      <c r="B31" s="1701" t="s">
        <v>1142</v>
      </c>
      <c r="C31" s="1701"/>
      <c r="D31" s="1701"/>
      <c r="E31" s="1701"/>
      <c r="F31" s="1701"/>
      <c r="G31" s="2107" t="s">
        <v>1143</v>
      </c>
      <c r="H31" s="2107"/>
      <c r="I31" s="58" t="s">
        <v>14</v>
      </c>
      <c r="J31" s="1957"/>
      <c r="K31" s="1957"/>
      <c r="L31" s="12" t="s">
        <v>1287</v>
      </c>
      <c r="M31" s="1985"/>
      <c r="N31" s="1985"/>
      <c r="O31" s="3" t="s">
        <v>13</v>
      </c>
      <c r="P31" s="1708"/>
      <c r="Q31" s="2129"/>
      <c r="R31" s="2129"/>
      <c r="S31" s="2129"/>
      <c r="T31" s="2129"/>
      <c r="U31" s="2129"/>
      <c r="V31" s="2129"/>
      <c r="W31" s="2129"/>
      <c r="X31" s="391"/>
      <c r="Y31" s="2"/>
      <c r="Z31" s="2100"/>
      <c r="AA31" s="2100"/>
      <c r="AB31" s="2100"/>
      <c r="AC31" s="2100"/>
      <c r="AD31" s="2100"/>
      <c r="AE31" s="2"/>
      <c r="AF31" s="2100"/>
      <c r="AG31" s="2100"/>
      <c r="AH31" s="2100"/>
      <c r="AI31" s="2100"/>
      <c r="AJ31" s="2100"/>
      <c r="AK31" s="3"/>
    </row>
    <row r="32" spans="1:37" ht="15.6" customHeight="1" thickBot="1" x14ac:dyDescent="0.35">
      <c r="A32" s="9" t="str">
        <f>IF(O1=2,"13. ","14. ")</f>
        <v xml:space="preserve">14. </v>
      </c>
      <c r="B32" s="1701" t="s">
        <v>426</v>
      </c>
      <c r="C32" s="1701"/>
      <c r="D32" s="1701"/>
      <c r="E32" s="1701"/>
      <c r="F32" s="1701"/>
      <c r="G32" s="1701"/>
      <c r="H32" s="1701"/>
      <c r="I32" s="3"/>
      <c r="J32" s="1957"/>
      <c r="K32" s="1957"/>
      <c r="L32" s="3"/>
      <c r="M32" s="1985"/>
      <c r="N32" s="1985"/>
      <c r="O32" s="3"/>
      <c r="P32" s="4" t="s">
        <v>11</v>
      </c>
      <c r="Q32" s="3" t="s">
        <v>808</v>
      </c>
      <c r="R32" s="3"/>
      <c r="S32" s="3"/>
      <c r="T32" s="3"/>
      <c r="U32" s="3"/>
      <c r="V32" s="3"/>
      <c r="W32" s="3"/>
      <c r="X32" s="3"/>
      <c r="Y32" s="3"/>
      <c r="Z32" s="2058">
        <f>Z29*Z30</f>
        <v>0</v>
      </c>
      <c r="AA32" s="2058"/>
      <c r="AB32" s="2058"/>
      <c r="AC32" s="2058"/>
      <c r="AD32" s="2058"/>
      <c r="AE32" s="3"/>
      <c r="AF32" s="2058">
        <f>AF29*AF30</f>
        <v>0</v>
      </c>
      <c r="AG32" s="2058"/>
      <c r="AH32" s="2058"/>
      <c r="AI32" s="2058"/>
      <c r="AJ32" s="2058"/>
      <c r="AK32" s="8"/>
    </row>
    <row r="33" spans="1:37" ht="15.6" customHeight="1" thickTop="1" x14ac:dyDescent="0.3">
      <c r="A33" s="9" t="str">
        <f>IF(O1=2,"14. ","15. ")</f>
        <v xml:space="preserve">15. </v>
      </c>
      <c r="B33" s="2" t="s">
        <v>239</v>
      </c>
      <c r="C33" s="2080"/>
      <c r="D33" s="2080"/>
      <c r="E33" s="2080"/>
      <c r="F33" s="2080"/>
      <c r="G33" s="2080"/>
      <c r="H33" s="2"/>
      <c r="I33" s="3"/>
      <c r="J33" s="1957"/>
      <c r="K33" s="1957"/>
      <c r="L33" s="3"/>
      <c r="M33" s="1985"/>
      <c r="N33" s="1985"/>
      <c r="O33" s="3"/>
      <c r="P33" s="4"/>
      <c r="Q33" s="2"/>
      <c r="R33" s="10"/>
      <c r="S33" s="10"/>
      <c r="T33" s="10"/>
      <c r="U33" s="10"/>
      <c r="V33" s="10"/>
      <c r="W33" s="2"/>
      <c r="X33" s="2"/>
      <c r="Y33" s="3"/>
      <c r="Z33" s="6"/>
      <c r="AA33" s="6"/>
      <c r="AB33" s="6"/>
      <c r="AC33" s="6"/>
      <c r="AD33" s="6"/>
      <c r="AE33" s="3"/>
      <c r="AF33" s="6"/>
      <c r="AG33" s="6"/>
      <c r="AH33" s="6"/>
      <c r="AI33" s="6"/>
      <c r="AJ33" s="6"/>
      <c r="AK33" s="12"/>
    </row>
    <row r="34" spans="1:37" ht="16.2" thickBot="1" x14ac:dyDescent="0.35">
      <c r="A34" s="9" t="str">
        <f>IF(O1=2,"15. ","16. ")</f>
        <v xml:space="preserve">16. </v>
      </c>
      <c r="B34" s="1427" t="s">
        <v>41</v>
      </c>
      <c r="C34" s="1427"/>
      <c r="D34" s="1427"/>
      <c r="E34" s="1427"/>
      <c r="F34" s="1427"/>
      <c r="G34" s="1427"/>
      <c r="H34" s="1855" t="str">
        <f>IF(AND(J35&gt;0,J11="",J12="",J13="",J16="",J17="",J18="",J25="",J26="",J27="",J28="",J29="",J31="",J32="",J33=""),"Leave at 0% if not entering numbers for this year","")</f>
        <v/>
      </c>
      <c r="I34" s="1855"/>
      <c r="J34" s="2103">
        <f>IF(O1=2,J24+J26+J27+J28-J29+J32+J33,J24+J26+J27+J28-J29-J31+J32+J33)</f>
        <v>0</v>
      </c>
      <c r="K34" s="2103"/>
      <c r="L34" s="3"/>
      <c r="M34" s="2103">
        <f>IF(O69=TRUE,0,IF(O1=2,M24+M26+M27+M28-M29+M32+M33,M24+M26+M27+M28-M29-M31+M32+M33))</f>
        <v>0</v>
      </c>
      <c r="N34" s="2103"/>
      <c r="O34" s="3"/>
      <c r="P34" s="4" t="s">
        <v>29</v>
      </c>
      <c r="Q34" s="3" t="s">
        <v>813</v>
      </c>
      <c r="R34" s="3"/>
      <c r="S34" s="3"/>
      <c r="T34" s="3"/>
      <c r="U34" s="3"/>
      <c r="V34" s="3"/>
      <c r="W34" s="3"/>
      <c r="X34" s="3"/>
      <c r="Y34" s="3"/>
      <c r="Z34" s="2058">
        <f>Z19+Z32</f>
        <v>0</v>
      </c>
      <c r="AA34" s="2058"/>
      <c r="AB34" s="2058"/>
      <c r="AC34" s="2058"/>
      <c r="AD34" s="2058"/>
      <c r="AE34" s="3"/>
      <c r="AF34" s="2058">
        <f>AF19+AF32</f>
        <v>0</v>
      </c>
      <c r="AG34" s="2058"/>
      <c r="AH34" s="2058"/>
      <c r="AI34" s="2058"/>
      <c r="AJ34" s="2058"/>
      <c r="AK34" s="3"/>
    </row>
    <row r="35" spans="1:37" ht="28.2" customHeight="1" thickTop="1" x14ac:dyDescent="0.3">
      <c r="A35" s="866" t="str">
        <f>IF(O1=2,"16. ","17. ")</f>
        <v xml:space="preserve">17. </v>
      </c>
      <c r="B35" s="2147" t="s">
        <v>1313</v>
      </c>
      <c r="C35" s="2147"/>
      <c r="D35" s="2147"/>
      <c r="E35" s="2147"/>
      <c r="F35" s="2147"/>
      <c r="G35" s="2147"/>
      <c r="H35" s="1855"/>
      <c r="I35" s="1855"/>
      <c r="J35" s="2100">
        <v>0</v>
      </c>
      <c r="K35" s="2100"/>
      <c r="L35" s="2"/>
      <c r="M35" s="2100">
        <v>0</v>
      </c>
      <c r="N35" s="2100"/>
      <c r="P35" s="23"/>
      <c r="Q35" s="68"/>
      <c r="R35" s="68"/>
      <c r="S35" s="68"/>
      <c r="T35" s="68"/>
      <c r="U35" s="68"/>
      <c r="V35" s="68"/>
      <c r="W35" s="68"/>
      <c r="X35" s="68"/>
      <c r="Y35" s="2"/>
      <c r="Z35" s="2036" t="str">
        <f>IF(AND(Z34&lt;&gt;0,OR(AB14="",AB14&lt;0,AB14&gt;12)),"Error, Correct Dates",IF(AA13&lt;&gt;"=",CONCATENATE("Annualized based on income/(loss) of $",Z34," over ",AA13," ="),CONCATENATE("Annualized based on income/(loss) of $",Z34," over # Months =")))</f>
        <v>Annualized based on income/(loss) of $0 over # Months =</v>
      </c>
      <c r="AA35" s="2036"/>
      <c r="AB35" s="2036"/>
      <c r="AC35" s="2036"/>
      <c r="AD35" s="2036"/>
      <c r="AE35" s="2"/>
      <c r="AF35" s="2036" t="str">
        <f>IF(AND(AF34&lt;&gt;0,OR(AH14="",AH14&lt;0,AH14&gt;12)),"Error, Correct Dates",IF(AND(AF34&lt;&gt;0,J45=0,M45&lt;&gt;0),"Error, Move Most Recent Filed Returns To Left Column on the 1065 Worksheet",IF(AG13&lt;&gt;"=",CONCATENATE("Annualized based on income/(loss) of $",AF34," over ",AG13," ="),CONCATENATE("Annualized based on income/(loss) of $",AF34," over # Months ="))))</f>
        <v>Annualized based on income/(loss) of $0 over 12 Months =</v>
      </c>
      <c r="AG35" s="2036"/>
      <c r="AH35" s="2036"/>
      <c r="AI35" s="2036"/>
      <c r="AJ35" s="2036"/>
      <c r="AK35" s="3"/>
    </row>
    <row r="36" spans="1:37" ht="15" customHeight="1" thickBot="1" x14ac:dyDescent="0.35">
      <c r="A36" s="9" t="str">
        <f>IF(O1=2,"17. ","18. ")</f>
        <v xml:space="preserve">18. </v>
      </c>
      <c r="B36" s="1427" t="s">
        <v>427</v>
      </c>
      <c r="C36" s="1427"/>
      <c r="D36" s="1427"/>
      <c r="E36" s="1427"/>
      <c r="F36" s="1427"/>
      <c r="H36" s="1855"/>
      <c r="I36" s="1855"/>
      <c r="J36" s="1959">
        <f>J34*J35</f>
        <v>0</v>
      </c>
      <c r="K36" s="1959"/>
      <c r="L36" s="3"/>
      <c r="M36" s="1959">
        <f>IF(O69=TRUE,0,M34*M35)</f>
        <v>0</v>
      </c>
      <c r="N36" s="1959"/>
      <c r="O36" s="3"/>
      <c r="P36" s="23"/>
      <c r="Q36" s="68"/>
      <c r="R36" s="68"/>
      <c r="S36" s="68"/>
      <c r="T36" s="214"/>
      <c r="U36" s="68"/>
      <c r="V36" s="68"/>
      <c r="W36" s="68"/>
      <c r="X36" s="68"/>
      <c r="Y36" s="2"/>
      <c r="Z36" s="2037"/>
      <c r="AA36" s="2037"/>
      <c r="AB36" s="2037"/>
      <c r="AC36" s="2037"/>
      <c r="AD36" s="2037"/>
      <c r="AE36" s="2"/>
      <c r="AF36" s="2037"/>
      <c r="AG36" s="2037"/>
      <c r="AH36" s="2037"/>
      <c r="AI36" s="2037"/>
      <c r="AJ36" s="2037"/>
      <c r="AK36" s="3"/>
    </row>
    <row r="37" spans="1:37" ht="18" customHeight="1" thickTop="1" x14ac:dyDescent="0.3">
      <c r="A37" s="1056" t="str">
        <f>IF(O2=2,"","19. ")</f>
        <v xml:space="preserve">19. </v>
      </c>
      <c r="B37" s="2137" t="s">
        <v>1280</v>
      </c>
      <c r="C37" s="2137"/>
      <c r="D37" s="2137"/>
      <c r="E37" s="2137"/>
      <c r="F37" s="2137"/>
      <c r="G37" s="2137"/>
      <c r="H37" s="2137"/>
      <c r="I37" s="2137"/>
      <c r="J37" s="205"/>
      <c r="L37" s="895"/>
      <c r="N37" s="895"/>
      <c r="O37" s="3"/>
      <c r="P37" s="4"/>
      <c r="Q37" s="3"/>
      <c r="R37" s="3"/>
      <c r="S37" s="3"/>
      <c r="T37" s="3"/>
      <c r="U37" s="3"/>
      <c r="V37" s="3"/>
      <c r="W37" s="3"/>
      <c r="X37" s="3"/>
      <c r="Y37" s="3"/>
      <c r="Z37" s="2037"/>
      <c r="AA37" s="2037"/>
      <c r="AB37" s="2037"/>
      <c r="AC37" s="2037"/>
      <c r="AD37" s="2037"/>
      <c r="AE37" s="3"/>
      <c r="AF37" s="2037"/>
      <c r="AG37" s="2037"/>
      <c r="AH37" s="2037"/>
      <c r="AI37" s="2037"/>
      <c r="AJ37" s="2037"/>
    </row>
    <row r="38" spans="1:37" ht="22.8" customHeight="1" x14ac:dyDescent="0.3">
      <c r="A38" s="866"/>
      <c r="B38" s="2152" t="s">
        <v>1275</v>
      </c>
      <c r="C38" s="2152"/>
      <c r="D38" s="2152"/>
      <c r="E38" s="2152"/>
      <c r="F38" s="2152"/>
      <c r="G38" s="2152"/>
      <c r="H38" s="2152"/>
      <c r="I38" s="2152"/>
      <c r="J38" s="2152"/>
      <c r="K38" s="2155">
        <f>IF(O1=2,0,
IF(AND(J41&lt;=0,M41&lt;=0),0,
IF(AND(J41=0,J35=0,J19=0,J34=0,J11="",J16="",J26="",M41&gt;0),M16+M17+M18+M36,
IF(J41&gt;0,J16+J17+J18+J36,0))))</f>
        <v>0</v>
      </c>
      <c r="L38" s="2155"/>
      <c r="M38" s="1956" t="str">
        <f>IF(AND(OR(J19&lt;&gt;0,J34&lt;&gt;0),J35=0,O68&lt;&gt;TRUE),"Ownership %
 Needed",IF(AND(OR(M19&lt;&gt;0,M34&lt;&gt;0),M35=0,O68&lt;&gt;TRUE,O69&lt;&gt;TRUE),"Ownership %
 Needed",
IF(AND(N1="Conventional",K40="",K38&gt;0),"Test required currently based on lines 4 - 18",
IF(AND(N1="Conventional",OR(J35&gt;0,M35&gt;0),K38&lt;=0),"Test not currently required based on lines 4 - 18",
IF(AND(N1="Conventional",K40="N/A",K38&gt;0),"Cannot be N/A on Conv. when test is required","")))))</f>
        <v/>
      </c>
      <c r="N38" s="1956"/>
      <c r="O38" s="3"/>
      <c r="P38" s="4"/>
      <c r="Q38" s="3"/>
      <c r="R38" s="3"/>
      <c r="S38" s="3"/>
      <c r="T38" s="3"/>
      <c r="U38" s="3"/>
      <c r="V38" s="3"/>
      <c r="W38" s="3"/>
      <c r="X38" s="3"/>
      <c r="Y38" s="3"/>
      <c r="Z38" s="2037"/>
      <c r="AA38" s="2037"/>
      <c r="AB38" s="2037"/>
      <c r="AC38" s="2037"/>
      <c r="AD38" s="2037"/>
      <c r="AE38" s="3"/>
      <c r="AF38" s="2037"/>
      <c r="AG38" s="2037"/>
      <c r="AH38" s="2037"/>
      <c r="AI38" s="2037"/>
      <c r="AJ38" s="2037"/>
    </row>
    <row r="39" spans="1:37" ht="6.6" customHeight="1" x14ac:dyDescent="0.3">
      <c r="A39" s="866"/>
      <c r="B39" s="2152"/>
      <c r="C39" s="2152"/>
      <c r="D39" s="2152"/>
      <c r="E39" s="2152"/>
      <c r="F39" s="2152"/>
      <c r="G39" s="2152"/>
      <c r="H39" s="2152"/>
      <c r="I39" s="2152"/>
      <c r="J39" s="2152"/>
      <c r="K39" s="1059"/>
      <c r="L39" s="1059"/>
      <c r="M39" s="1956"/>
      <c r="N39" s="1956"/>
      <c r="O39" s="3"/>
      <c r="P39" s="4"/>
      <c r="Q39" s="3"/>
      <c r="R39" s="3"/>
      <c r="S39" s="3"/>
      <c r="T39" s="3"/>
      <c r="U39" s="3"/>
      <c r="V39" s="3"/>
      <c r="W39" s="3"/>
      <c r="X39" s="3"/>
      <c r="Y39" s="3"/>
      <c r="Z39" s="2037"/>
      <c r="AA39" s="2037"/>
      <c r="AB39" s="2037"/>
      <c r="AC39" s="2037"/>
      <c r="AD39" s="2037"/>
      <c r="AE39" s="3"/>
      <c r="AF39" s="2037"/>
      <c r="AG39" s="2037"/>
      <c r="AH39" s="2037"/>
      <c r="AI39" s="2037"/>
      <c r="AJ39" s="2037"/>
    </row>
    <row r="40" spans="1:37" ht="19.8" customHeight="1" x14ac:dyDescent="0.3">
      <c r="A40" s="866"/>
      <c r="B40" s="2112" t="s">
        <v>1274</v>
      </c>
      <c r="C40" s="2153"/>
      <c r="D40" s="2153"/>
      <c r="E40" s="2153"/>
      <c r="F40" s="2153"/>
      <c r="G40" s="2153"/>
      <c r="H40" s="2153"/>
      <c r="I40" s="2153"/>
      <c r="J40" s="2153"/>
      <c r="K40" s="2150"/>
      <c r="L40" s="2151"/>
      <c r="M40" s="1956"/>
      <c r="N40" s="1956"/>
      <c r="O40" s="3"/>
      <c r="P40" s="4"/>
      <c r="Q40" s="3"/>
      <c r="R40" s="3"/>
      <c r="S40" s="3"/>
      <c r="T40" s="3"/>
      <c r="U40" s="3"/>
      <c r="V40" s="3"/>
      <c r="W40" s="3"/>
      <c r="X40" s="3"/>
      <c r="Y40" s="3"/>
      <c r="Z40" s="2037"/>
      <c r="AA40" s="2037"/>
      <c r="AB40" s="2037"/>
      <c r="AC40" s="2037"/>
      <c r="AD40" s="2037"/>
      <c r="AE40" s="3"/>
      <c r="AF40" s="2037"/>
      <c r="AG40" s="2037"/>
      <c r="AH40" s="2037"/>
      <c r="AI40" s="2037"/>
      <c r="AJ40" s="2037"/>
    </row>
    <row r="41" spans="1:37" ht="7.2" customHeight="1" x14ac:dyDescent="0.3">
      <c r="A41" s="866"/>
      <c r="B41" s="1058"/>
      <c r="C41" s="1058"/>
      <c r="D41" s="1058"/>
      <c r="E41" s="1058"/>
      <c r="F41" s="1058"/>
      <c r="G41" s="1058"/>
      <c r="H41" s="1058"/>
      <c r="I41" s="1058"/>
      <c r="J41" s="2138">
        <f>IF(AND(J35&gt;0,(J16+J17+J18+J36)&gt;0),J16+J17+J18+J36,0)</f>
        <v>0</v>
      </c>
      <c r="K41" s="2138"/>
      <c r="L41" s="1060"/>
      <c r="M41" s="2139">
        <f>IF(AND(M35&gt;0,(M16+M17+M18+M36)&gt;0),M16+M17+M18+M36,0)</f>
        <v>0</v>
      </c>
      <c r="N41" s="2139"/>
      <c r="O41" s="3"/>
      <c r="P41" s="4"/>
      <c r="Q41" s="3"/>
      <c r="R41" s="3"/>
      <c r="S41" s="3"/>
      <c r="T41" s="3"/>
      <c r="U41" s="3"/>
      <c r="V41" s="3"/>
      <c r="W41" s="3"/>
      <c r="X41" s="3"/>
      <c r="Y41" s="3"/>
      <c r="Z41" s="2037"/>
      <c r="AA41" s="2037"/>
      <c r="AB41" s="2037"/>
      <c r="AC41" s="2037"/>
      <c r="AD41" s="2037"/>
      <c r="AE41" s="3"/>
      <c r="AF41" s="2037"/>
      <c r="AG41" s="2037"/>
      <c r="AH41" s="2037"/>
      <c r="AI41" s="2037"/>
      <c r="AJ41" s="2037"/>
    </row>
    <row r="42" spans="1:37" ht="15.6" customHeight="1" x14ac:dyDescent="0.3">
      <c r="A42" s="866"/>
      <c r="B42" s="2117" t="s">
        <v>1311</v>
      </c>
      <c r="C42" s="2117"/>
      <c r="D42" s="2117"/>
      <c r="E42" s="2117"/>
      <c r="F42" s="2117"/>
      <c r="G42" s="2117"/>
      <c r="H42" s="2117"/>
      <c r="I42" s="1098"/>
      <c r="J42" s="2118"/>
      <c r="K42" s="2118"/>
      <c r="M42" s="2118"/>
      <c r="N42" s="2118"/>
      <c r="P42" s="4"/>
      <c r="Q42" s="3"/>
      <c r="R42" s="3"/>
      <c r="S42" s="3"/>
      <c r="T42" s="3"/>
      <c r="U42" s="3"/>
      <c r="V42" s="3"/>
      <c r="W42" s="3"/>
      <c r="X42" s="3"/>
      <c r="Y42" s="3"/>
      <c r="Z42" s="2037"/>
      <c r="AA42" s="2037"/>
      <c r="AB42" s="2037"/>
      <c r="AC42" s="2037"/>
      <c r="AD42" s="2037"/>
      <c r="AE42" s="3"/>
      <c r="AF42" s="2037"/>
      <c r="AG42" s="2037"/>
      <c r="AH42" s="2037"/>
      <c r="AI42" s="2037"/>
      <c r="AJ42" s="2037"/>
    </row>
    <row r="43" spans="1:37" ht="26.4" customHeight="1" x14ac:dyDescent="0.3">
      <c r="A43" s="866"/>
      <c r="B43" s="1058"/>
      <c r="C43" s="1058"/>
      <c r="D43" s="1058"/>
      <c r="E43" s="1058"/>
      <c r="F43" s="1058"/>
      <c r="G43" s="1058"/>
      <c r="H43" s="1058"/>
      <c r="I43" s="1058"/>
      <c r="J43" s="2120" t="str">
        <f>IF(AND(K40="FAIL",J42&gt;K38),"Error: Exceeds 19a","")</f>
        <v/>
      </c>
      <c r="K43" s="2120"/>
      <c r="L43" s="1099"/>
      <c r="M43" s="2120" t="str">
        <f>IF(AND(K40="FAIL",J35=0,M35&gt;0,M42&gt;K38),"Error: Exceeds 19a",
IF(AND(K40="FAIL",J35&gt;0,M35&gt;0,M42&gt;M41),CONCATENATE("Exceeds adj. business income of $",M41),""))</f>
        <v/>
      </c>
      <c r="N43" s="2120"/>
      <c r="O43" s="3"/>
      <c r="P43" s="4"/>
      <c r="Q43" s="3"/>
      <c r="R43" s="3"/>
      <c r="S43" s="3"/>
      <c r="T43" s="3"/>
      <c r="U43" s="3"/>
      <c r="V43" s="3"/>
      <c r="W43" s="3"/>
      <c r="X43" s="3"/>
      <c r="Y43" s="3"/>
      <c r="Z43" s="2037"/>
      <c r="AA43" s="2037"/>
      <c r="AB43" s="2037"/>
      <c r="AC43" s="2037"/>
      <c r="AD43" s="2037"/>
      <c r="AE43" s="3"/>
      <c r="AF43" s="2037"/>
      <c r="AG43" s="2037"/>
      <c r="AH43" s="2037"/>
      <c r="AI43" s="2037"/>
      <c r="AJ43" s="2037"/>
    </row>
    <row r="44" spans="1:37" ht="16.5" customHeight="1" thickBot="1" x14ac:dyDescent="0.35">
      <c r="A44" s="9" t="str">
        <f>IF(O1=2,"18. ","20. ")</f>
        <v xml:space="preserve">20. </v>
      </c>
      <c r="B44" s="1427" t="s">
        <v>428</v>
      </c>
      <c r="C44" s="1427"/>
      <c r="D44" s="1427"/>
      <c r="E44" s="1427"/>
      <c r="F44" s="1427"/>
      <c r="G44" s="1427"/>
      <c r="H44" s="1427"/>
      <c r="I44" s="3"/>
      <c r="J44" s="1959">
        <f>IF(O68=TRUE,J11,
IF(J35=0,0,
IF(AND(O1=2,J35&gt;0),J19+J36,
IF(AND(N1=0,J35&gt;0,K38&gt;0,K40=""),0,
IF(AND(N1=0,J35&gt;0,K38&gt;0,K40="Pass"),J19+J36,
IF(AND(N1=0,J35&gt;0,K38&gt;0,K40="Fail",J42&lt;=K38),J11-J12+J13+J42,
IF(AND(N1=0,J35&gt;0,K38&gt;0,K40="N/A"),J19+J36,
IF(AND(N1="Conventional",J35&gt;0,K38&gt;0,K40=""),0,
IF(AND(N1="Conventional",J35&gt;0,K38&gt;0,K40="N/A"),0,
IF(AND(N1="Conventional",J35&gt;0,K38&gt;0,K40="Pass"),J19+J36,
IF(AND(N1="Conventional",J35&gt;0,K38&gt;0,K40="Fail",J42&lt;=K38),J11-J12+J13+J42,
IF(AND(N1="Other",J35&gt;0,K38&gt;0,K40=""),0,
IF(AND(N1="Other",J35&gt;0,K38&gt;0,K40="Pass"),J19+J36,
IF(AND(N1="Other",J35&gt;0,K38&gt;0,K40="Fail",J42&lt;=K38),J11-J12+J13+J42,
IF(AND(N1="Other",J35&gt;0,K38&gt;0,K40="N/A"),J19+J36,
IF(AND(J35&gt;0,K38=0),J19+J36,0))))))))))))))))</f>
        <v>0</v>
      </c>
      <c r="K44" s="1959"/>
      <c r="L44" s="3"/>
      <c r="M44" s="1959">
        <f>IF(O69=TRUE,0,
IF(O68=TRUE,M11,
IF(M35=0,0,
IF(AND(O1=2,M35&gt;0),M19+M36,
IF(AND(M35&gt;0,K38=0),M19+M36,
IF(AND(N1=0,M35&gt;0,K38&gt;0,K40=""),0,
IF(AND(N1=0,M35&gt;0,K38&gt;0,K40="Pass"),M19+M36,
IF(AND(N1=0,M35&gt;0,K38&gt;0,J35=0,K40="Fail",M42&lt;=K38),M11-M12+M13+M42,
IF(AND(N1=0,M35&gt;0,K38&gt;0,J35&gt;0,K40="Fail",(M19+M36)&lt;(M11-M12+M13+M42)),M19+M36+M42,
IF(AND(N1=0,M35&gt;0,K38&gt;0,J35&gt;0,K40="Fail",(M19+M36)&gt;=(M11-M12+M13+M42)),M11-M12+M13+M42,
IF(AND(N1=0,M35&gt;0,K38&gt;0,K40="N/A"),M19+M36,
IF(AND(N1="Conventional",M35&gt;0,K38&gt;0,K40=""),0,
IF(AND(N1="Conventional",M35&gt;0,K38&gt;0,K40="N/A"),0,
IF(AND(N1="Conventional",M35&gt;0,K38&gt;0,K40="Pass"),M19+M36,
IF(AND(N1="Conventional",M35&gt;0,K38&gt;0,J35=0,K40="Fail",M42&lt;=K38),M11-M12+M13+M42,
IF(AND(N1="Conventional",M35&gt;0,K38&gt;0,J35&gt;0,K40="Fail",(M19+M36)&lt;(M11-M12+M13+M42)),M19+M36+M42,
IF(AND(N1="Conventional",M35&gt;0,K38&gt;0,J35&gt;0,K40="Fail",(M19+M36)&gt;=(M11-M12+M13+M42)),M11-M12+M13+M42,
IF(AND(N1="Other",M35&gt;0,K38&gt;0,K40=""),0,
IF(AND(N1="Other",M35&gt;0,K38&gt;0,K40="Pass"),M19+M36,
IF(AND(N1="Other",M35&gt;0,K38&gt;0,J35=0,K40="Fail",M42&lt;=K38),M11-M12+M13+M42,
IF(AND(N1="Other",M35&gt;0,K38&gt;0,J35&gt;0,K40="Fail",(M19+M36)&lt;(M11-M12+M13+M42)),M19+M36+M42,
IF(AND(N1="Other",M35&gt;0,K38&gt;0,J35&gt;0,K40="Fail",(M19+M36)&gt;=(M11-M12+M13+M42)),M11-M12+M13+M42,
IF(AND(N1="Other",M35&gt;0,K38&gt;0,K40="N/A"),M19+M36,0)))))))))))))))))))))))</f>
        <v>0</v>
      </c>
      <c r="N44" s="1959"/>
      <c r="O44" s="3"/>
      <c r="P44" s="4"/>
      <c r="Q44" s="3"/>
      <c r="R44" s="3"/>
      <c r="S44" s="3"/>
      <c r="T44" s="3"/>
      <c r="U44" s="3"/>
      <c r="V44" s="3"/>
      <c r="W44" s="3"/>
      <c r="X44" s="3"/>
      <c r="Y44" s="3"/>
      <c r="Z44" s="2125"/>
      <c r="AA44" s="2125"/>
      <c r="AB44" s="2125"/>
      <c r="AC44" s="2125"/>
      <c r="AD44" s="2125"/>
      <c r="AE44" s="3"/>
      <c r="AF44" s="2125"/>
      <c r="AG44" s="2125"/>
      <c r="AH44" s="2125"/>
      <c r="AI44" s="2125"/>
      <c r="AJ44" s="2125"/>
    </row>
    <row r="45" spans="1:37" ht="12" customHeight="1" thickTop="1" x14ac:dyDescent="0.3">
      <c r="A45" s="1054"/>
      <c r="B45" s="1517" t="str">
        <f>IF(AND(O1=1,K40="Fail",K38&gt;0,M38&lt;&gt;"Test not currently required based on lines 4 - 18"),"Only the W2 portion &amp; 19c will be added when Liquidity Fails, continue.",
IF(AND(O1=1,K40="Fail",M38&lt;&gt;"Test not currently required based on lines 4 - 18"),"Only the W2 portion will be added when Liquidity Fails, continue.",""))</f>
        <v/>
      </c>
      <c r="C45" s="1517"/>
      <c r="D45" s="1517"/>
      <c r="E45" s="1517"/>
      <c r="F45" s="1517"/>
      <c r="G45" s="1517"/>
      <c r="H45" s="1062" t="s">
        <v>814</v>
      </c>
      <c r="I45" s="1061"/>
      <c r="J45" s="1989">
        <f>IF(AND(F54&lt;12,F54&lt;&gt;""),(J44/F54)*12,J44)</f>
        <v>0</v>
      </c>
      <c r="K45" s="1989"/>
      <c r="L45" s="387"/>
      <c r="M45" s="1989">
        <f>IF(AND(D54&lt;12,D54&lt;&gt;""),(M44/D54)*12,M44)</f>
        <v>0</v>
      </c>
      <c r="N45" s="1989"/>
      <c r="O45" s="3"/>
      <c r="P45" s="2061" t="s">
        <v>39</v>
      </c>
      <c r="Q45" s="1809" t="s">
        <v>812</v>
      </c>
      <c r="R45" s="1809"/>
      <c r="S45" s="1809"/>
      <c r="T45" s="1809"/>
      <c r="U45" s="1809"/>
      <c r="V45" s="1809"/>
      <c r="W45" s="1809"/>
      <c r="X45" s="30"/>
      <c r="Y45" s="30"/>
      <c r="Z45" s="2060">
        <f>IF(Z35="Error, Correct Dates",0,IF(AND(Z34&lt;&gt;0,AA13&lt;&gt;"="),(Z34/AB14)*12,0))</f>
        <v>0</v>
      </c>
      <c r="AA45" s="2060"/>
      <c r="AB45" s="2060"/>
      <c r="AC45" s="2060"/>
      <c r="AD45" s="2060"/>
      <c r="AE45" s="387">
        <f>IF(AJ74=TRUE,0,Z45)</f>
        <v>0</v>
      </c>
      <c r="AF45" s="2060">
        <f>IF(OR(AF35="Error, Move Most Recent Filed Returns To Left Column on the 1065 Worksheet",AF35="Error, Correct Dates"),0,IF(AND(AF34&lt;&gt;0,AG13&lt;&gt;"="),(AF34/AH14)*12,0))</f>
        <v>0</v>
      </c>
      <c r="AG45" s="2060"/>
      <c r="AH45" s="2060"/>
      <c r="AI45" s="2060"/>
      <c r="AJ45" s="2060"/>
      <c r="AK45" s="1525"/>
    </row>
    <row r="46" spans="1:37" ht="15.75" customHeight="1" thickBot="1" x14ac:dyDescent="0.35">
      <c r="A46" s="4"/>
      <c r="B46" s="3"/>
      <c r="C46" s="30"/>
      <c r="D46" s="1960" t="str">
        <f>CONCATENATE("Exclude ", M10, " from Total Adjusted Business Income Below")</f>
        <v>Exclude 2024 from Total Adjusted Business Income Below</v>
      </c>
      <c r="E46" s="1960"/>
      <c r="F46" s="1960"/>
      <c r="G46" s="1960"/>
      <c r="H46" s="1960"/>
      <c r="I46" s="1960"/>
      <c r="J46" s="25"/>
      <c r="K46" s="1991" t="str">
        <f>IF(AND(J45&lt;M45,OR(G53="",G53=12,G53=24)),CONCATENATE(ROUND(((M45-J45)/M45)*100,2),"%"," Decline from ",M10," to ",J10,),
IF(AND(G53&gt;12,G53&lt;24,J45&lt;M45),CONCATENATE(ROUND(((M45-J45)/M45)*100,2),"%"," Decline from ",M10," to ",J10,),
IF(J45&lt;M45,(CONCATENATE("Decline from ",M10," to ",J10,)),
IF(AND(J45&gt;M45,OR(G53="",G53=12,G53=24)),CONCATENATE(ROUND(((J45-M45)/M45)*100,2),"%"," Increase from ",M10," to ",J10,),
IF(AND(G53&gt;12,G53&lt;24,J45&gt;M45),CONCATENATE(ROUND(((J45-M45)/M45)*100,2),"%"," Increase from ",M10," to ",J10,),"")))))</f>
        <v/>
      </c>
      <c r="L46" s="1991"/>
      <c r="M46" s="1991"/>
      <c r="N46" s="25"/>
      <c r="O46" s="3"/>
      <c r="P46" s="2061"/>
      <c r="Q46" s="1809"/>
      <c r="R46" s="1809"/>
      <c r="S46" s="1809"/>
      <c r="T46" s="1809"/>
      <c r="U46" s="1809"/>
      <c r="V46" s="1809"/>
      <c r="W46" s="1809"/>
      <c r="X46" s="30"/>
      <c r="Y46" s="30"/>
      <c r="Z46" s="1915"/>
      <c r="AA46" s="1915"/>
      <c r="AB46" s="1915"/>
      <c r="AC46" s="1915"/>
      <c r="AD46" s="1915"/>
      <c r="AE46" s="30"/>
      <c r="AF46" s="1915"/>
      <c r="AG46" s="1915"/>
      <c r="AH46" s="1915"/>
      <c r="AI46" s="1915"/>
      <c r="AJ46" s="1915"/>
      <c r="AK46" s="1525"/>
    </row>
    <row r="47" spans="1:37" ht="12" customHeight="1" thickTop="1" x14ac:dyDescent="0.3">
      <c r="A47" s="2149"/>
      <c r="B47" s="2149"/>
      <c r="C47" s="2149"/>
      <c r="D47" s="3"/>
      <c r="E47" s="3"/>
      <c r="F47" s="3"/>
      <c r="G47" s="3"/>
      <c r="H47" s="3"/>
      <c r="I47" s="3"/>
      <c r="J47" s="25"/>
      <c r="K47" s="25"/>
      <c r="L47" s="26"/>
      <c r="M47" s="27"/>
      <c r="N47" s="25"/>
      <c r="O47" s="3"/>
      <c r="P47" s="8"/>
      <c r="Q47" s="417"/>
      <c r="R47" s="417"/>
      <c r="S47" s="2032">
        <f>M10</f>
        <v>2024</v>
      </c>
      <c r="T47" s="2032">
        <f>J10</f>
        <v>2025</v>
      </c>
      <c r="U47" s="2121">
        <f>IF(AF45&lt;&gt;0,AF10,Z10)</f>
        <v>2026</v>
      </c>
      <c r="V47" s="2032" t="str">
        <f>IF(AF45&lt;&gt;0,Z10,"")</f>
        <v/>
      </c>
      <c r="W47" s="2032"/>
      <c r="X47" s="359"/>
      <c r="Y47" s="2135" t="s">
        <v>1367</v>
      </c>
      <c r="Z47" s="2135"/>
      <c r="AA47" s="2135"/>
      <c r="AB47" s="2135"/>
      <c r="AC47" s="2135"/>
      <c r="AD47" s="2135" t="str">
        <f>IF(AF45&lt;&gt;0,(CONCATENATE("Effective Income + ",AF10," avg.")),"")</f>
        <v/>
      </c>
      <c r="AE47" s="2135"/>
      <c r="AF47" s="2135"/>
      <c r="AG47" s="2135"/>
      <c r="AH47" s="2135"/>
      <c r="AI47" s="2135"/>
      <c r="AJ47" s="360"/>
      <c r="AK47" s="387"/>
    </row>
    <row r="48" spans="1:37" ht="15" customHeight="1" x14ac:dyDescent="0.3">
      <c r="A48" s="9" t="str">
        <f>IF(O1=2,"19. ","21. ")</f>
        <v xml:space="preserve">21. </v>
      </c>
      <c r="B48" s="1701" t="s">
        <v>26</v>
      </c>
      <c r="C48" s="1701"/>
      <c r="D48" s="1701"/>
      <c r="E48" s="1701"/>
      <c r="F48" s="1701"/>
      <c r="G48" s="1701"/>
      <c r="H48" s="1701"/>
      <c r="I48" s="3"/>
      <c r="J48" s="2"/>
      <c r="K48" s="5"/>
      <c r="L48" s="2068">
        <f>IF(AND(M38&lt;&gt;"",M38&lt;&gt;"Test not currently required based on lines 4 - 18"),0,IF(H34&lt;&gt;"",0,IF(N70=TRUE,J44,J44+M44)))</f>
        <v>0</v>
      </c>
      <c r="M48" s="2068"/>
      <c r="P48" s="2"/>
      <c r="Q48" s="417"/>
      <c r="R48" s="417"/>
      <c r="S48" s="2032"/>
      <c r="T48" s="2032"/>
      <c r="U48" s="2121"/>
      <c r="V48" s="2032"/>
      <c r="W48" s="2032"/>
      <c r="X48" s="3"/>
      <c r="Y48" s="2135"/>
      <c r="Z48" s="2135"/>
      <c r="AA48" s="2135"/>
      <c r="AB48" s="2135"/>
      <c r="AC48" s="2135"/>
      <c r="AD48" s="2135"/>
      <c r="AE48" s="2135"/>
      <c r="AF48" s="2135"/>
      <c r="AG48" s="2135"/>
      <c r="AH48" s="2135"/>
      <c r="AI48" s="2135"/>
      <c r="AJ48" s="25"/>
      <c r="AK48" s="3"/>
    </row>
    <row r="49" spans="1:37" ht="15" customHeight="1" x14ac:dyDescent="0.3">
      <c r="A49" s="9" t="str">
        <f>IF(O1=2,"20. ","22. ")</f>
        <v xml:space="preserve">22. </v>
      </c>
      <c r="B49" s="1701" t="s">
        <v>12</v>
      </c>
      <c r="C49" s="1701"/>
      <c r="D49" s="1701"/>
      <c r="E49" s="1701"/>
      <c r="F49" s="420"/>
      <c r="G49" s="2"/>
      <c r="H49" s="2"/>
      <c r="I49" s="2"/>
      <c r="J49" s="2"/>
      <c r="K49" s="6"/>
      <c r="L49" s="2148"/>
      <c r="M49" s="2148"/>
      <c r="N49" s="2"/>
      <c r="P49" s="2101" t="s">
        <v>815</v>
      </c>
      <c r="Q49" s="2101"/>
      <c r="R49" s="2101"/>
      <c r="S49" s="415">
        <f>M45</f>
        <v>0</v>
      </c>
      <c r="T49" s="415">
        <f>J45</f>
        <v>0</v>
      </c>
      <c r="U49" s="415">
        <f>IF(AF45&lt;&gt;0,AF45,Z45)</f>
        <v>0</v>
      </c>
      <c r="V49" s="2034">
        <f>IF(AF45&lt;&gt;0,Z45,0)</f>
        <v>0</v>
      </c>
      <c r="W49" s="2034"/>
      <c r="X49" s="2"/>
      <c r="Y49" s="2048">
        <f>L55*12</f>
        <v>0</v>
      </c>
      <c r="Z49" s="2048"/>
      <c r="AA49" s="2048"/>
      <c r="AB49" s="2048"/>
      <c r="AC49" s="2048"/>
      <c r="AD49" s="2048">
        <f>IF(AF45&lt;&gt;0,((Y49+U49)/2),0)</f>
        <v>0</v>
      </c>
      <c r="AE49" s="2048"/>
      <c r="AF49" s="2048"/>
      <c r="AG49" s="2048"/>
      <c r="AH49" s="2048"/>
      <c r="AI49" s="2048"/>
      <c r="AK49" s="360"/>
    </row>
    <row r="50" spans="1:37" ht="3" customHeight="1" thickBot="1" x14ac:dyDescent="0.35">
      <c r="A50" s="4"/>
      <c r="B50" s="2"/>
      <c r="C50" s="2"/>
      <c r="D50" s="2"/>
      <c r="E50" s="2"/>
      <c r="F50" s="12">
        <v>17</v>
      </c>
      <c r="G50" s="2"/>
      <c r="H50" s="2000" t="str">
        <f>IF(OR(AND(O69=TRUE,F49&gt;12),AND(D54&lt;&gt;"",D54&gt;12),AND(F54&lt;&gt;"",F54&gt;12)),"Error: Greater than 12 months in one year entered","")</f>
        <v/>
      </c>
      <c r="I50" s="2000"/>
      <c r="J50" s="2000"/>
      <c r="K50" s="2000"/>
      <c r="L50" s="14"/>
      <c r="M50" s="14"/>
      <c r="N50" s="2"/>
      <c r="AK50" s="3"/>
    </row>
    <row r="51" spans="1:37" ht="10.5" customHeight="1" thickBot="1" x14ac:dyDescent="0.35">
      <c r="A51" s="4"/>
      <c r="B51" s="1993" t="s">
        <v>299</v>
      </c>
      <c r="C51" s="1994"/>
      <c r="D51" s="1994"/>
      <c r="E51" s="1994"/>
      <c r="F51" s="1994"/>
      <c r="G51" s="1995"/>
      <c r="H51" s="2000"/>
      <c r="I51" s="2000"/>
      <c r="J51" s="2000"/>
      <c r="K51" s="2000"/>
      <c r="L51" s="14"/>
      <c r="M51" s="14"/>
      <c r="N51" s="2"/>
      <c r="P51" s="2102" t="str">
        <f>IF(M45&lt;&gt;0,CONCATENATE(M10," Tax Return - ", J10," Tax Return:"),"")</f>
        <v/>
      </c>
      <c r="Q51" s="2102"/>
      <c r="R51" s="2102"/>
      <c r="S51" s="2102"/>
      <c r="T51" s="2102"/>
      <c r="U51" s="2051" t="str">
        <f>IF(AND(J45&lt;&gt;0,J45&lt;M45,OR(G53="",G53=12,G53=24)),CONCATENATE(ROUND(((M45-J45)/M45)*100,2),"%"," Decline from '",M10," Tax Returns' to '",J10," Tax Returns'"),
IF(AND(J45&lt;&gt;0,G53&gt;12,G53&lt;24,J45&lt;M45),CONCATENATE(ROUND(((M45-J45)/M45)*100,2),"%"," Decline from '",M10," Tax Returns' to '",J10," Tax Returns'"),
IF(AND(J45&lt;&gt;0,J45&lt;M45),(CONCATENATE("Decline from '",M10," Tax Retunrs' to '",J10," Tax Returns'")),
IF(AND(J45&lt;&gt;0,J45&gt;M45,OR(G53="",G53=12,G53=24)),CONCATENATE(ROUND(((J45-M45)/M45)*100,2),"%"," Increase from '",M10," Tax Returns' to '",J10," Tax Returns'"),
IF(AND(J45&lt;&gt;0,G53&gt;12,G53&lt;24,J45&gt;M45),CONCATENATE(ROUND(((J45-M45)/M45)*100,2),"%"," Increase from '",M10," Tax Returns' to '",J10," Tax Returns'"),IF(AND(J45&lt;&gt;0,M45&lt;&gt;0,M45=J45),"No Change",""))))))</f>
        <v/>
      </c>
      <c r="V51" s="2051"/>
      <c r="W51" s="2051"/>
      <c r="X51" s="2051"/>
      <c r="Y51" s="2051"/>
      <c r="Z51" s="2051"/>
      <c r="AA51" s="2051"/>
      <c r="AB51" s="2051"/>
      <c r="AC51" s="2051"/>
      <c r="AD51" s="2051"/>
      <c r="AE51" s="2051"/>
      <c r="AF51" s="2051"/>
      <c r="AG51" s="2051"/>
      <c r="AH51" s="2051"/>
      <c r="AI51" s="2051"/>
      <c r="AJ51" s="2051"/>
      <c r="AK51" s="29"/>
    </row>
    <row r="52" spans="1:37" ht="9.75" customHeight="1" x14ac:dyDescent="0.35">
      <c r="A52" s="4"/>
      <c r="B52" s="1996" t="str">
        <f>CONCATENATE(M10," Start:")</f>
        <v>2024 Start:</v>
      </c>
      <c r="C52" s="1997"/>
      <c r="D52" s="405" t="str">
        <f>CONCATENATE(M10," End:")</f>
        <v>2024 End:</v>
      </c>
      <c r="E52" s="406" t="str">
        <f>CONCATENATE(J10," Start:")</f>
        <v>2025 Start:</v>
      </c>
      <c r="F52" s="405" t="str">
        <f>CONCATENATE(J10," End:")</f>
        <v>2025 End:</v>
      </c>
      <c r="G52" s="407" t="s">
        <v>178</v>
      </c>
      <c r="H52" s="2000"/>
      <c r="I52" s="2000"/>
      <c r="J52" s="2000"/>
      <c r="K52" s="2000"/>
      <c r="L52" s="14"/>
      <c r="M52" s="14"/>
      <c r="N52" s="2"/>
      <c r="P52" s="2102"/>
      <c r="Q52" s="2102"/>
      <c r="R52" s="2102"/>
      <c r="S52" s="2102"/>
      <c r="T52" s="2102"/>
      <c r="U52" s="2051"/>
      <c r="V52" s="2051"/>
      <c r="W52" s="2051"/>
      <c r="X52" s="2051"/>
      <c r="Y52" s="2051"/>
      <c r="Z52" s="2051"/>
      <c r="AA52" s="2051"/>
      <c r="AB52" s="2051"/>
      <c r="AC52" s="2051"/>
      <c r="AD52" s="2051"/>
      <c r="AE52" s="2051"/>
      <c r="AF52" s="2051"/>
      <c r="AG52" s="2051"/>
      <c r="AH52" s="2051"/>
      <c r="AI52" s="2051"/>
      <c r="AJ52" s="2051"/>
      <c r="AK52" s="424"/>
    </row>
    <row r="53" spans="1:37" ht="12" customHeight="1" thickBot="1" x14ac:dyDescent="0.4">
      <c r="A53" s="4"/>
      <c r="B53" s="1998"/>
      <c r="C53" s="1999"/>
      <c r="D53" s="408"/>
      <c r="E53" s="409"/>
      <c r="F53" s="408"/>
      <c r="G53" s="410" t="str">
        <f>G54</f>
        <v/>
      </c>
      <c r="H53" s="2000"/>
      <c r="I53" s="2000"/>
      <c r="J53" s="2000"/>
      <c r="K53" s="2000"/>
      <c r="L53" s="14"/>
      <c r="M53" s="14"/>
      <c r="N53" s="2"/>
      <c r="P53" s="2040" t="str">
        <f>IF(N1="FHA2",CONCATENATE("Effective Income vs. ",Z10," ",AC10,":"),
IF(AND(AF45=0,N1&lt;&gt;"FHA"),CONCATENATE(J10," Tax Return - ",Z10," ",AC10,":"),CONCATENATE(J10," Tax Return - ",AF10," ",AI10,":")))</f>
        <v>2025 Tax Return - 2026 P&amp;L:</v>
      </c>
      <c r="Q53" s="2040"/>
      <c r="R53" s="2040"/>
      <c r="S53" s="2040"/>
      <c r="T53" s="2040"/>
      <c r="U53" s="1524" t="str">
        <f>IF(AND(N1="FHA2",L55=0),"",
IF(AND(N1="FHA2",Y49&lt;&gt;0,Z45&lt;&gt;0,Z45&lt;Y49),CONCATENATE(ROUND(((Y49-Z45)/Y49)*100,2),"%"," Decline from 'Effective income' to '",Z10,"'"),
IF(AND(N1="FHA2",Y49&lt;&gt;0,Z45&lt;&gt;0,Z45&gt;Y49),CONCATENATE(ROUND(((Z45-Y49)/Y49)*100,2),"%"," Increase from 'Effective income' to '",Z10,"'"),
IF(AND(N1="FHA2",Y49&lt;&gt;0,Z45&lt;&gt;0,Z45=Y49),"No Change",
IF(AND(J45&lt;&gt;0,Z45&lt;&gt;0,AF45=0,Z45&lt;J45),CONCATENATE(ROUND(((J45-Z45)/J45)*100,2),"%"," Decline from '",J10," Tax Returns' to '",Z10,"'"),
IF(AND(J45&lt;&gt;0,Z45&lt;&gt;0,AF45=0,Z45&gt;J45),CONCATENATE(ROUND(((Z45-J45)/J45)*100,2),"%"," Increase from '",J10," Tax Returns' to '",Z10,"'"),
IF(AND(J45&lt;&gt;0,Z45&lt;&gt;0,AF45=0,Z45=J45),"No Change",
IF(AND(J45&lt;&gt;0,AF45&lt;&gt;0,AF45&gt;J45),CONCATENATE(ROUND(((AF45-J45)/J45)*100,2),"%"," Increase from '",J10," Tax Returns' to '",AF10," ",AI10,"'"),
IF(AND(J45&lt;&gt;0,AF45&lt;&gt;0,AF45&lt;J45),CONCATENATE(ROUND(((J45-AF45)/J45)*100,2),"%"," Decline from '",J10," Tax Returns' to '",AF10," ",AI10,"'"),
IF(AND(J45&lt;&gt;0,AF45&lt;&gt;0,AF45=J45),"No Change",
""))))))))))</f>
        <v/>
      </c>
      <c r="V53" s="1524"/>
      <c r="W53" s="1524"/>
      <c r="X53" s="1524"/>
      <c r="Y53" s="1524"/>
      <c r="Z53" s="1524"/>
      <c r="AA53" s="1524"/>
      <c r="AB53" s="1524"/>
      <c r="AC53" s="1524"/>
      <c r="AD53" s="1524"/>
      <c r="AE53" s="1524"/>
      <c r="AF53" s="1524"/>
      <c r="AG53" s="1524"/>
      <c r="AH53" s="1524"/>
      <c r="AI53" s="1524"/>
      <c r="AJ53" s="1524"/>
      <c r="AK53" s="424"/>
    </row>
    <row r="54" spans="1:37" ht="4.2" customHeight="1" x14ac:dyDescent="0.35">
      <c r="A54" s="4"/>
      <c r="B54" s="1981" t="str">
        <f>IF(AND(B53="",D53="",M44&lt;&gt;0),1,IF(AND(B53="",D53="",M44=0),"",IF(AND(B53="",D53&lt;&gt;""),"",IF(AND(B53&lt;&gt;"",D53=""),"",YEARFRAC(B53,D53+1,4)))))</f>
        <v/>
      </c>
      <c r="C54" s="1981"/>
      <c r="D54" s="412" t="str">
        <f>IF(O69=TRUE,"",IF(B54="","",ROUND(B54*12,2)))</f>
        <v/>
      </c>
      <c r="E54" s="413" t="str">
        <f>IF(AND(E53="",F53="",J44&lt;&gt;0),1,IF(AND(E53="",F53="",J44=0),"",IF(AND(E53="",F53&lt;&gt;""),"",IF(AND(E53&lt;&gt;"",F53=""),"",YEARFRAC(E53,F53+1,4)))))</f>
        <v/>
      </c>
      <c r="F54" s="412" t="str">
        <f>IF(E54="","",ROUND(E54*12,2))</f>
        <v/>
      </c>
      <c r="G54" s="414" t="str">
        <f>IF(AND(D54&lt;&gt;"",F54&lt;&gt;""),F54+D54,IF(AND(D54&lt;&gt;"",F54=""),D54,IF(AND(D54="",F54&lt;&gt;""),F54,"")))</f>
        <v/>
      </c>
      <c r="H54" s="2000"/>
      <c r="I54" s="2000"/>
      <c r="J54" s="2000"/>
      <c r="K54" s="2000"/>
      <c r="L54" s="14"/>
      <c r="M54" s="14"/>
      <c r="N54" s="2"/>
      <c r="P54" s="2040"/>
      <c r="Q54" s="2040"/>
      <c r="R54" s="2040"/>
      <c r="S54" s="2040"/>
      <c r="T54" s="2040"/>
      <c r="U54" s="1524"/>
      <c r="V54" s="1524"/>
      <c r="W54" s="1524"/>
      <c r="X54" s="1524"/>
      <c r="Y54" s="1524"/>
      <c r="Z54" s="1524"/>
      <c r="AA54" s="1524"/>
      <c r="AB54" s="1524"/>
      <c r="AC54" s="1524"/>
      <c r="AD54" s="1524"/>
      <c r="AE54" s="1524"/>
      <c r="AF54" s="1524"/>
      <c r="AG54" s="1524"/>
      <c r="AH54" s="1524"/>
      <c r="AI54" s="1524"/>
      <c r="AJ54" s="1524"/>
      <c r="AK54" s="424"/>
    </row>
    <row r="55" spans="1:37" ht="16.2" customHeight="1" thickBot="1" x14ac:dyDescent="0.35">
      <c r="A55" s="9" t="str">
        <f>IF(O1=2,"21. ","23. ")</f>
        <v xml:space="preserve">23. </v>
      </c>
      <c r="B55" s="1427" t="s">
        <v>25</v>
      </c>
      <c r="C55" s="1427"/>
      <c r="D55" s="1427"/>
      <c r="E55" s="1427"/>
      <c r="F55" s="1427"/>
      <c r="G55" s="1427"/>
      <c r="H55" s="2000"/>
      <c r="I55" s="2000"/>
      <c r="J55" s="2000"/>
      <c r="K55" s="2000"/>
      <c r="L55" s="2058">
        <f>IF(F49&gt;0,L48/F49,)</f>
        <v>0</v>
      </c>
      <c r="M55" s="2058"/>
      <c r="N55" s="72">
        <f>IF(N69=TRUE,0,L55)</f>
        <v>0</v>
      </c>
      <c r="P55" s="2052" t="str">
        <f>IF(AF45=0,"",
IF(N1="FHA2",CONCATENATE("Effective Income vs. ",AF10," ",AI10,":"),
CONCATENATE(AF10," ",AI10," vs. ",Z10," ",AC10,":")))</f>
        <v/>
      </c>
      <c r="Q55" s="2052"/>
      <c r="R55" s="2052"/>
      <c r="S55" s="2052"/>
      <c r="T55" s="2052"/>
      <c r="U55" s="2154" t="str">
        <f>IF(AND(N1="FHA2",L55=0),"",
IF(AND(N1="FHA2",Y49&lt;&gt;0,AF45&lt;&gt;0,AF45&lt;Y49),CONCATENATE(ROUND(((Y49-AF45)/Y49)*100,2),"%"," Decline from 'Effective' income to '",AF10,"'"),
IF(AND(N1="FHA2",Y49&lt;&gt;0,AF45&lt;&gt;0,AF45&gt;Y49),CONCATENATE(ROUND(((AF45-Y49)/Y49)*100,2),"%"," Increase from 'Effective' income to '",AF10,"'"),
IF(AND(N1="FHA2",Y49&lt;&gt;0,AF45&lt;&gt;0,AF45=Y49),"No Change",
IF(AND(Z45&lt;&gt;0,AF45&lt;&gt;0,AF45&gt;Z45),CONCATENATE(ROUND(((AF45-Z45)/AF45)*100,2),"%"," Decline from '",AF10," ",AI10,"' to '",Z10," ",AC10,"'"),
IF(AND(Z45&lt;&gt;0,AF45&lt;&gt;0,AF45&lt;Z45),CONCATENATE(ROUND(((Z45-AF45)/AF45)*100,2),"%"," Increase from '",AF10," ",AI10,"' to '",Z10," ",AC10,"'"),
IF(AND(Z45&lt;&gt;0,AF45&lt;&gt;0,AF45=Z45),"No Change",
"")))))))</f>
        <v/>
      </c>
      <c r="V55" s="2154"/>
      <c r="W55" s="2154"/>
      <c r="X55" s="2154"/>
      <c r="Y55" s="2154"/>
      <c r="Z55" s="2154"/>
      <c r="AA55" s="2154"/>
      <c r="AB55" s="2154"/>
      <c r="AC55" s="2154"/>
      <c r="AD55" s="2154"/>
      <c r="AE55" s="2154"/>
      <c r="AF55" s="2154"/>
      <c r="AG55" s="2154"/>
      <c r="AH55" s="2154"/>
      <c r="AI55" s="2154"/>
      <c r="AJ55" s="2154"/>
      <c r="AK55" s="1140"/>
    </row>
    <row r="56" spans="1:37" ht="16.2" customHeight="1" thickTop="1" x14ac:dyDescent="0.3">
      <c r="A56" s="4"/>
      <c r="B56" s="3"/>
      <c r="C56" s="3"/>
      <c r="D56" s="3"/>
      <c r="E56" s="3"/>
      <c r="F56" s="3"/>
      <c r="G56" s="3"/>
      <c r="H56" s="2000"/>
      <c r="I56" s="2000"/>
      <c r="J56" s="2000"/>
      <c r="K56" s="2000"/>
      <c r="L56" s="21"/>
      <c r="M56" s="21"/>
      <c r="N56" s="2"/>
      <c r="P56" s="2065" t="str">
        <f>IF(AND(AF45&lt;&gt;0,N1="FHA2"),CONCATENATE("Effective Inc. + ",AF10," ",AI10," vs. ",Z10," ",AC10,":"),"")</f>
        <v/>
      </c>
      <c r="Q56" s="2065"/>
      <c r="R56" s="2065"/>
      <c r="S56" s="2065"/>
      <c r="T56" s="2065"/>
      <c r="U56" s="2133" t="str">
        <f>IF(AND(N1="FHA2",L55=0),"",
IF(AND(N1="FHA2",Y49&lt;&gt;0,Z45&lt;&gt;0,AF45&lt;&gt;0,Z45&lt;AD49),CONCATENATE(ROUND(((AD49-Z45)/AD49)*100,2),"%"," Decline from 'Effective income + ",AF10,"' to '",Z10,"'"),
IF(AND(N1="FHA2",Y49&lt;&gt;0,Z45&lt;&gt;0,AF45&lt;&gt;0,Z45&gt;AD49),CONCATENATE(ROUND(((Z45-AD49)/AD49)*100,2),"%"," Increase from 'Effective income + ",AF10,"' to '",Z10,"'"),
IF(AND(N1="FHA2",Y49&lt;&gt;0,Z45&lt;&gt;0,AF45&lt;&gt;0,Z45=AD49),"No Change",""))))</f>
        <v/>
      </c>
      <c r="V56" s="2133"/>
      <c r="W56" s="2133"/>
      <c r="X56" s="2133"/>
      <c r="Y56" s="2133"/>
      <c r="Z56" s="2133"/>
      <c r="AA56" s="2133"/>
      <c r="AB56" s="2133"/>
      <c r="AC56" s="2133"/>
      <c r="AD56" s="2133"/>
      <c r="AE56" s="2133"/>
      <c r="AF56" s="2133"/>
      <c r="AG56" s="2133"/>
      <c r="AH56" s="2133"/>
      <c r="AI56" s="2133"/>
      <c r="AJ56" s="2133"/>
      <c r="AK56" s="2133"/>
    </row>
    <row r="57" spans="1:37" ht="9" customHeight="1" x14ac:dyDescent="0.3">
      <c r="A57" s="4"/>
      <c r="B57" s="3"/>
      <c r="C57" s="3"/>
      <c r="D57" s="3"/>
      <c r="E57" s="3"/>
      <c r="F57" s="3"/>
      <c r="G57" s="3"/>
      <c r="H57" s="1051"/>
      <c r="I57" s="1051"/>
      <c r="J57" s="1051"/>
      <c r="K57" s="1051"/>
      <c r="L57" s="21"/>
      <c r="M57" s="21"/>
      <c r="N57" s="2"/>
      <c r="P57" s="1052"/>
      <c r="Q57" s="1052"/>
      <c r="R57" s="1052"/>
      <c r="S57" s="1052"/>
      <c r="T57" s="1052"/>
      <c r="U57" s="1053"/>
      <c r="V57" s="1053"/>
      <c r="W57" s="1053"/>
      <c r="X57" s="1053"/>
      <c r="Y57" s="1053"/>
      <c r="Z57" s="1053"/>
      <c r="AA57" s="1053"/>
      <c r="AB57" s="1053"/>
      <c r="AC57" s="1053"/>
      <c r="AD57" s="1053"/>
      <c r="AE57" s="1053"/>
      <c r="AF57" s="1053"/>
      <c r="AG57" s="1053"/>
      <c r="AH57" s="1053"/>
      <c r="AI57" s="1053"/>
      <c r="AJ57" s="1053"/>
      <c r="AK57" s="1053"/>
    </row>
    <row r="58" spans="1:37" ht="12.75" customHeight="1" x14ac:dyDescent="0.3">
      <c r="A58" s="2070" t="s">
        <v>846</v>
      </c>
      <c r="B58" s="2071"/>
      <c r="C58" s="3"/>
      <c r="D58" s="3"/>
      <c r="E58" s="3"/>
      <c r="F58" s="3"/>
      <c r="G58" s="3"/>
      <c r="H58" s="3"/>
      <c r="I58" s="3"/>
      <c r="J58" s="2"/>
      <c r="K58" s="5"/>
      <c r="L58" s="21"/>
      <c r="M58" s="21"/>
      <c r="N58" s="2"/>
      <c r="P58" s="1526" t="s">
        <v>1019</v>
      </c>
      <c r="Q58" s="1526"/>
      <c r="R58" s="1526"/>
      <c r="S58" s="1526"/>
      <c r="T58" s="1526"/>
      <c r="U58" s="1526"/>
      <c r="V58" s="1526"/>
      <c r="W58" s="1526"/>
      <c r="X58" s="1526"/>
      <c r="Y58" s="1526"/>
      <c r="Z58" s="1526"/>
      <c r="AA58" s="1526"/>
      <c r="AB58" s="1526"/>
      <c r="AC58" s="1526"/>
      <c r="AD58" s="1526"/>
      <c r="AE58" s="1526"/>
      <c r="AF58" s="1526"/>
      <c r="AG58" s="1526"/>
      <c r="AH58" s="1526"/>
      <c r="AI58" s="1526"/>
      <c r="AJ58" s="1526"/>
      <c r="AK58" s="399"/>
    </row>
    <row r="59" spans="1:37" ht="56.25" customHeight="1" x14ac:dyDescent="0.3">
      <c r="A59" s="2072"/>
      <c r="B59" s="2073"/>
      <c r="C59" s="2076" t="str">
        <f>IF(J45&lt;M45,C60,IF(J45=M45,C62,C61))</f>
        <v>Caution: Business income stable but 2024 is not excluded and/or the number of months reviewed is less than .  Generally when income is stable 2024 should be included and a  month average of this income should be used, or you must omit the prior year to average over 12 months.  Review above and correct to clear the alert or explain in your notes.</v>
      </c>
      <c r="D59" s="2076"/>
      <c r="E59" s="2076"/>
      <c r="F59" s="2076"/>
      <c r="G59" s="2076"/>
      <c r="H59" s="2076"/>
      <c r="I59" s="2076"/>
      <c r="J59" s="2076"/>
      <c r="K59" s="2076"/>
      <c r="L59" s="2076"/>
      <c r="M59" s="2076"/>
      <c r="N59" s="2"/>
      <c r="P59" s="2132" t="str">
        <f>IF(AND(AF45&lt;&gt;0,J45&lt;&gt;0,AF45&lt;J45,Z45&gt;=AF45),CONCATENATE("Underwriting and Approval Requirement:                                                                                                                                                   The '",AF10,"' for an extended or not yet filed tax return shows a decline of income from ",J10,". Convention loans: Refer to Fannie/Freddie Covid Guidelines.  Gov loans: Even though the income has stabilized now based on the '",Z10,"' they would need to file the returns with the IRS in order to use income from this business. (recalculated using the newly filed returns and ",J10,")"),"")</f>
        <v/>
      </c>
      <c r="Q59" s="2132"/>
      <c r="R59" s="2132"/>
      <c r="S59" s="2132"/>
      <c r="T59" s="2132"/>
      <c r="U59" s="2132"/>
      <c r="V59" s="2132"/>
      <c r="W59" s="2132"/>
      <c r="X59" s="2132"/>
      <c r="Y59" s="2132"/>
      <c r="Z59" s="2132"/>
      <c r="AA59" s="2132"/>
      <c r="AB59" s="2132"/>
      <c r="AC59" s="2132"/>
      <c r="AD59" s="2132"/>
      <c r="AE59" s="2132"/>
      <c r="AF59" s="2132"/>
      <c r="AG59" s="2132"/>
      <c r="AH59" s="2132"/>
      <c r="AI59" s="2132"/>
      <c r="AJ59" s="2132"/>
      <c r="AK59" s="399"/>
    </row>
    <row r="60" spans="1:37" ht="13.2" customHeight="1" x14ac:dyDescent="0.3">
      <c r="A60" s="2072"/>
      <c r="B60" s="2073"/>
      <c r="C60" s="217" t="str">
        <f>CONCATENATE("Caution: Declining income is detected and ", M7, " is not being excluded and/or the number of months reviewed is greater than 12.  Generally with declining income ", M7, " should be excluded and the number of months reviewed should be 12.  Review above and correct to clear the alert or explain the justification in your notes below for not excluding ", M7, " and/or using more than 12 months reviewed.")</f>
        <v>Caution: Declining income is detected and  is not being excluded and/or the number of months reviewed is greater than 12.  Generally with declining income  should be excluded and the number of months reviewed should be 12.  Review above and correct to clear the alert or explain the justification in your notes below for not excluding  and/or using more than 12 months reviewed.</v>
      </c>
      <c r="D60" s="2095" t="str">
        <f>IF(OR(AND(OR(N1=0,N1="FHA"),J45&lt;&gt;0,M45&lt;&gt;0,((M45-J45)&gt;=(M45*0.2))),
AND(OR(N1=0,N1="FHA"),T49&lt;&gt;0,U49&lt;&gt;0,((T49-U49)&gt;=(T49*0.2))),
AND(OR(N1=0,N1="FHA"),U49&lt;&gt;0,V49&lt;&gt;0,((U49-V49)&gt;=(U49*0.2))),
AND(OR(N1=0,N1="FHA2"),Y49&lt;&gt;0,AF45&lt;&gt;0,Z45&lt;&gt;0,((AD49-Z45)&gt;=(AD49*0.2)))),"*Self Employed with 20% or greater decline in business income, FHA loans require Manual Downgrade AND Further Analysis if using income.","")</f>
        <v/>
      </c>
      <c r="E60" s="2095"/>
      <c r="F60" s="2095"/>
      <c r="G60" s="2095"/>
      <c r="H60" s="1713" t="s">
        <v>1315</v>
      </c>
      <c r="I60" s="1726"/>
      <c r="J60" s="1726"/>
      <c r="K60" s="1726"/>
      <c r="L60" s="1726"/>
      <c r="M60" s="1726"/>
      <c r="N60" s="1726"/>
      <c r="O60" s="1726"/>
      <c r="P60" s="2132"/>
      <c r="Q60" s="2132"/>
      <c r="R60" s="2132"/>
      <c r="S60" s="2132"/>
      <c r="T60" s="2132"/>
      <c r="U60" s="2132"/>
      <c r="V60" s="2132"/>
      <c r="W60" s="2132"/>
      <c r="X60" s="2132"/>
      <c r="Y60" s="2132"/>
      <c r="Z60" s="2132"/>
      <c r="AA60" s="2132"/>
      <c r="AB60" s="2132"/>
      <c r="AC60" s="2132"/>
      <c r="AD60" s="2132"/>
      <c r="AE60" s="2132"/>
      <c r="AF60" s="2132"/>
      <c r="AG60" s="2132"/>
      <c r="AH60" s="2132"/>
      <c r="AI60" s="2132"/>
      <c r="AJ60" s="2132"/>
      <c r="AK60" s="397"/>
    </row>
    <row r="61" spans="1:37" ht="12" customHeight="1" x14ac:dyDescent="0.3">
      <c r="A61" s="2074"/>
      <c r="B61" s="2075"/>
      <c r="C61" s="217" t="str">
        <f>CONCATENATE("Caution: Business income increased but ", M10, " is being excluded and/or the number of months reviewed is other than ",G53,".  Generally when income increases ", M10, " should be included and a ",G53," month average of this income should be used.  Review above and correct to clear the alert or explain the justification in your notes below for not including ", M10, " and/or using other than ",G53," month reviewed.")</f>
        <v>Caution: Business income increased but 2024 is being excluded and/or the number of months reviewed is other than .  Generally when income increases 2024 should be included and a  month average of this income should be used.  Review above and correct to clear the alert or explain the justification in your notes below for not including 2024 and/or using other than  month reviewed.</v>
      </c>
      <c r="D61" s="2095"/>
      <c r="E61" s="2095"/>
      <c r="F61" s="2095"/>
      <c r="G61" s="2095"/>
      <c r="H61" s="1726"/>
      <c r="I61" s="1726"/>
      <c r="J61" s="1726"/>
      <c r="K61" s="1726"/>
      <c r="L61" s="1726"/>
      <c r="M61" s="1726"/>
      <c r="N61" s="1726"/>
      <c r="O61" s="1726"/>
      <c r="P61" s="2132"/>
      <c r="Q61" s="2132"/>
      <c r="R61" s="2132"/>
      <c r="S61" s="2132"/>
      <c r="T61" s="2132"/>
      <c r="U61" s="2132"/>
      <c r="V61" s="2132"/>
      <c r="W61" s="2132"/>
      <c r="X61" s="2132"/>
      <c r="Y61" s="2132"/>
      <c r="Z61" s="2132"/>
      <c r="AA61" s="2132"/>
      <c r="AB61" s="2132"/>
      <c r="AC61" s="2132"/>
      <c r="AD61" s="2132"/>
      <c r="AE61" s="2132"/>
      <c r="AF61" s="2132"/>
      <c r="AG61" s="2132"/>
      <c r="AH61" s="2132"/>
      <c r="AI61" s="2132"/>
      <c r="AJ61" s="2132"/>
      <c r="AK61" s="397"/>
    </row>
    <row r="62" spans="1:37" ht="10.5" customHeight="1" x14ac:dyDescent="0.3">
      <c r="A62" s="468"/>
      <c r="B62" s="468"/>
      <c r="C62" s="411" t="str">
        <f>CONCATENATE("Caution: Business income stable but ", M10, " is not excluded and/or the number of months reviewed is less than ",G53,".  Generally when income is stable ", M10, " should be included and a ",G53," month average of this income should be used, or you must omit the prior year to average over 12 months.  Review above and correct to clear the alert or explain in your notes.")</f>
        <v>Caution: Business income stable but 2024 is not excluded and/or the number of months reviewed is less than .  Generally when income is stable 2024 should be included and a  month average of this income should be used, or you must omit the prior year to average over 12 months.  Review above and correct to clear the alert or explain in your notes.</v>
      </c>
      <c r="D62" s="2095"/>
      <c r="E62" s="2095"/>
      <c r="F62" s="2095"/>
      <c r="G62" s="2095"/>
      <c r="H62" s="1726"/>
      <c r="I62" s="1726"/>
      <c r="J62" s="1726"/>
      <c r="K62" s="1726"/>
      <c r="L62" s="1726"/>
      <c r="M62" s="1726"/>
      <c r="N62" s="1726"/>
      <c r="O62" s="1726"/>
      <c r="Q62" s="422"/>
      <c r="R62" s="422"/>
      <c r="S62" s="422"/>
      <c r="T62" s="422"/>
      <c r="U62" s="422"/>
      <c r="V62" s="422"/>
      <c r="W62" s="422"/>
      <c r="X62" s="422"/>
      <c r="Y62" s="422"/>
      <c r="Z62" s="422"/>
      <c r="AA62" s="422"/>
      <c r="AB62" s="422"/>
      <c r="AC62" s="422"/>
      <c r="AD62" s="422"/>
      <c r="AE62" s="422"/>
      <c r="AF62" s="422"/>
      <c r="AG62" s="422"/>
      <c r="AH62" s="422"/>
      <c r="AI62" s="422"/>
      <c r="AJ62" s="422"/>
      <c r="AK62" s="400"/>
    </row>
    <row r="63" spans="1:37" ht="11.25" customHeight="1" x14ac:dyDescent="0.3">
      <c r="A63" s="468"/>
      <c r="B63" s="468"/>
      <c r="C63" s="3"/>
      <c r="D63" s="2095"/>
      <c r="E63" s="2095"/>
      <c r="F63" s="2095"/>
      <c r="G63" s="2095"/>
      <c r="H63" s="1713" t="s">
        <v>929</v>
      </c>
      <c r="I63" s="1726"/>
      <c r="J63" s="1726"/>
      <c r="K63" s="1726"/>
      <c r="L63" s="1726"/>
      <c r="M63" s="1726"/>
      <c r="N63" s="1726"/>
      <c r="O63" s="1726"/>
      <c r="P63" s="422"/>
      <c r="Q63" s="422"/>
      <c r="R63" s="2095" t="str">
        <f>IF(D60&lt;&gt;"","*Self Employed with 20% or greater decline in business income, FHA loans require Manual Downgrade AND Further Analysis if using income.","")</f>
        <v/>
      </c>
      <c r="S63" s="2095"/>
      <c r="T63" s="2095"/>
      <c r="U63" s="2095"/>
      <c r="V63" s="2095"/>
      <c r="W63" s="422"/>
      <c r="X63" s="422"/>
      <c r="Y63" s="422"/>
      <c r="Z63" s="422"/>
      <c r="AA63" s="422"/>
      <c r="AB63" s="422"/>
      <c r="AC63" s="422"/>
      <c r="AD63" s="422"/>
      <c r="AE63" s="422"/>
      <c r="AF63" s="422"/>
      <c r="AG63" s="422"/>
      <c r="AH63" s="422"/>
      <c r="AI63" s="422"/>
      <c r="AJ63" s="422"/>
    </row>
    <row r="64" spans="1:37" ht="15" customHeight="1" x14ac:dyDescent="0.3">
      <c r="A64" s="1475" t="s">
        <v>1074</v>
      </c>
      <c r="B64" s="1475"/>
      <c r="C64" s="1475"/>
      <c r="D64" s="1475"/>
      <c r="E64" s="1475"/>
      <c r="F64" s="19"/>
      <c r="G64" s="19"/>
      <c r="H64" s="1726"/>
      <c r="I64" s="1726"/>
      <c r="J64" s="1726"/>
      <c r="K64" s="1726"/>
      <c r="L64" s="1726"/>
      <c r="M64" s="1726"/>
      <c r="N64" s="1726"/>
      <c r="O64" s="1726"/>
      <c r="P64" s="1407"/>
      <c r="Q64" s="1407"/>
      <c r="R64" s="2095"/>
      <c r="S64" s="2095"/>
      <c r="T64" s="2095"/>
      <c r="U64" s="2095"/>
      <c r="V64" s="2095"/>
      <c r="W64" s="423"/>
      <c r="X64" s="423"/>
      <c r="Y64" s="423"/>
      <c r="Z64" s="423"/>
      <c r="AA64" s="423"/>
      <c r="AB64" s="423"/>
      <c r="AC64" s="1860"/>
      <c r="AD64" s="1860"/>
      <c r="AE64" s="2039"/>
      <c r="AF64" s="2039"/>
      <c r="AG64" s="2039"/>
      <c r="AH64" s="2039"/>
      <c r="AI64" s="2039"/>
      <c r="AJ64" s="2039"/>
    </row>
    <row r="65" spans="1:37" ht="14.4" customHeight="1" x14ac:dyDescent="0.3">
      <c r="A65" s="1325"/>
      <c r="B65" s="1325"/>
      <c r="C65" s="1325"/>
      <c r="D65" s="1325"/>
      <c r="E65" s="1325"/>
      <c r="F65" s="1325"/>
      <c r="G65" s="1325"/>
      <c r="H65" s="1325"/>
      <c r="I65" s="1325"/>
      <c r="J65" s="1325"/>
      <c r="K65" s="1325"/>
      <c r="L65" s="1325"/>
      <c r="M65" s="1325"/>
      <c r="N65" s="1325"/>
      <c r="O65" s="1325"/>
      <c r="P65" s="1475" t="s">
        <v>30</v>
      </c>
      <c r="Q65" s="1475"/>
      <c r="R65" s="2095"/>
      <c r="S65" s="2095"/>
      <c r="T65" s="2095"/>
      <c r="U65" s="2095"/>
      <c r="V65" s="2095"/>
      <c r="W65" s="423"/>
      <c r="X65" s="423"/>
      <c r="Y65" s="423"/>
      <c r="Z65" s="423"/>
      <c r="AA65" s="423"/>
      <c r="AB65" s="423"/>
      <c r="AC65" s="2038"/>
      <c r="AD65" s="2038"/>
      <c r="AE65" s="2039"/>
      <c r="AF65" s="2039"/>
      <c r="AG65" s="2039"/>
      <c r="AH65" s="2039"/>
      <c r="AI65" s="2039"/>
      <c r="AJ65" s="2039"/>
    </row>
    <row r="66" spans="1:37" x14ac:dyDescent="0.3">
      <c r="A66" s="1325"/>
      <c r="B66" s="1325"/>
      <c r="C66" s="1325"/>
      <c r="D66" s="1325"/>
      <c r="E66" s="1325"/>
      <c r="F66" s="1325"/>
      <c r="G66" s="1325"/>
      <c r="H66" s="1325"/>
      <c r="I66" s="1325"/>
      <c r="J66" s="1325"/>
      <c r="K66" s="1325"/>
      <c r="L66" s="1325"/>
      <c r="M66" s="1325"/>
      <c r="N66" s="1325"/>
      <c r="O66" s="1325"/>
      <c r="P66" s="1325"/>
      <c r="Q66" s="1325"/>
      <c r="R66" s="1325"/>
      <c r="S66" s="1325"/>
      <c r="T66" s="1325"/>
      <c r="U66" s="1325"/>
      <c r="V66" s="1325"/>
      <c r="W66" s="1325"/>
      <c r="X66" s="1325"/>
      <c r="Y66" s="1325"/>
      <c r="Z66" s="1325"/>
      <c r="AA66" s="1325"/>
      <c r="AB66" s="1325"/>
      <c r="AC66" s="1325"/>
      <c r="AD66" s="1325"/>
      <c r="AE66" s="1325"/>
      <c r="AF66" s="1325"/>
      <c r="AG66" s="1325"/>
      <c r="AH66" s="1325"/>
      <c r="AI66" s="1325"/>
      <c r="AJ66" s="1325"/>
      <c r="AK66" s="1325"/>
    </row>
    <row r="67" spans="1:37" x14ac:dyDescent="0.3">
      <c r="A67" s="1325"/>
      <c r="B67" s="1325"/>
      <c r="C67" s="1325"/>
      <c r="D67" s="1325"/>
      <c r="E67" s="1325"/>
      <c r="F67" s="1325"/>
      <c r="G67" s="1325"/>
      <c r="H67" s="1325"/>
      <c r="I67" s="1325"/>
      <c r="J67" s="1325"/>
      <c r="K67" s="1325"/>
      <c r="L67" s="1325"/>
      <c r="M67" s="1325"/>
      <c r="N67" s="1325"/>
      <c r="O67" s="1325"/>
      <c r="P67" s="1325"/>
      <c r="Q67" s="1325"/>
      <c r="R67" s="1325"/>
      <c r="S67" s="1325"/>
      <c r="T67" s="1325"/>
      <c r="U67" s="1325"/>
      <c r="V67" s="1325"/>
      <c r="W67" s="1325"/>
      <c r="X67" s="1325"/>
      <c r="Y67" s="1325"/>
      <c r="Z67" s="1325"/>
      <c r="AA67" s="1325"/>
      <c r="AB67" s="1325"/>
      <c r="AC67" s="1325"/>
      <c r="AD67" s="1325"/>
      <c r="AE67" s="1325"/>
      <c r="AF67" s="1325"/>
      <c r="AG67" s="1325"/>
      <c r="AH67" s="1325"/>
      <c r="AI67" s="1325"/>
      <c r="AJ67" s="1325"/>
      <c r="AK67" s="1325"/>
    </row>
    <row r="68" spans="1:37" ht="15.75" hidden="1" customHeight="1" x14ac:dyDescent="0.3">
      <c r="A68" s="609"/>
      <c r="B68" s="28"/>
      <c r="C68" s="28"/>
      <c r="D68" s="28"/>
      <c r="E68" s="28"/>
      <c r="F68" s="28"/>
      <c r="G68" s="28"/>
      <c r="H68" s="28"/>
      <c r="I68" s="28"/>
      <c r="J68" s="28"/>
      <c r="K68" s="28"/>
      <c r="L68" s="1192" t="b">
        <v>0</v>
      </c>
      <c r="M68" s="1163" t="b">
        <v>0</v>
      </c>
      <c r="N68" s="28"/>
      <c r="O68" s="1161" t="b">
        <f>IF(AND(M68=TRUE,OR(N1="Conventional",N1="Other")),TRUE,FALSE)</f>
        <v>0</v>
      </c>
      <c r="P68" s="625"/>
      <c r="Q68" s="19"/>
      <c r="R68" s="19"/>
      <c r="S68" s="19"/>
      <c r="T68" s="19"/>
      <c r="U68" s="19"/>
      <c r="V68" s="19"/>
      <c r="W68" s="19"/>
      <c r="X68" s="19"/>
      <c r="Y68" s="19"/>
      <c r="Z68" s="19"/>
      <c r="AA68" s="19"/>
      <c r="AB68" s="19"/>
      <c r="AC68" s="19"/>
      <c r="AD68" s="19"/>
      <c r="AE68" s="19"/>
      <c r="AF68" s="19"/>
      <c r="AG68" s="19"/>
      <c r="AH68" s="19"/>
      <c r="AI68" s="19"/>
      <c r="AJ68" s="19"/>
      <c r="AK68" s="19"/>
    </row>
    <row r="69" spans="1:37" hidden="1" x14ac:dyDescent="0.3">
      <c r="M69" s="1164" t="b">
        <v>0</v>
      </c>
      <c r="N69" s="1043" t="b">
        <v>0</v>
      </c>
      <c r="O69" s="1165" t="b">
        <f>IF(AND(M69=TRUE,OR(N1="Conventional",N1="Other"),N2="Yes, 1 yr returns confirmed"),TRUE,FALSE)</f>
        <v>0</v>
      </c>
      <c r="P69" s="28"/>
      <c r="Q69" s="28"/>
      <c r="R69" s="28"/>
      <c r="S69" s="28"/>
      <c r="T69" s="28"/>
      <c r="U69" s="28"/>
      <c r="V69" s="28"/>
      <c r="W69" s="28"/>
      <c r="X69" s="28"/>
      <c r="Y69" s="28"/>
      <c r="Z69" s="28"/>
      <c r="AA69" s="28"/>
      <c r="AB69" s="28"/>
      <c r="AC69" s="28"/>
      <c r="AD69" s="28"/>
      <c r="AE69" s="28"/>
      <c r="AF69" s="28"/>
      <c r="AG69" s="28"/>
      <c r="AH69" s="28"/>
      <c r="AI69" s="28"/>
      <c r="AJ69" s="28"/>
    </row>
    <row r="70" spans="1:37" hidden="1" x14ac:dyDescent="0.3">
      <c r="N70" s="1046" t="b">
        <v>0</v>
      </c>
      <c r="P70" s="15"/>
      <c r="AJ70" s="47" t="b">
        <v>0</v>
      </c>
    </row>
    <row r="71" spans="1:37" ht="6.6" customHeight="1" x14ac:dyDescent="0.3">
      <c r="A71" s="1482" t="str">
        <f ca="1">REPLACE(CELL("filename",A71),1,FIND("]",CELL("filename",A71)),"")</f>
        <v>1120S</v>
      </c>
      <c r="B71" s="1482"/>
      <c r="C71" s="1482"/>
      <c r="D71" s="1482"/>
      <c r="P71" s="15"/>
      <c r="AK71" s="390" t="b">
        <v>0</v>
      </c>
    </row>
    <row r="72" spans="1:37" ht="15" customHeight="1" x14ac:dyDescent="0.3">
      <c r="A72" s="219"/>
      <c r="B72" s="219"/>
      <c r="C72" s="219"/>
      <c r="D72" s="219"/>
      <c r="M72" s="244"/>
      <c r="N72" s="244"/>
      <c r="O72" s="244"/>
      <c r="P72" s="15"/>
      <c r="AC72" s="244"/>
      <c r="AD72" s="244"/>
      <c r="AE72" s="244"/>
      <c r="AF72" s="244"/>
      <c r="AG72" s="244"/>
      <c r="AH72" s="244"/>
      <c r="AI72" s="244"/>
      <c r="AJ72" s="244"/>
      <c r="AK72" s="390"/>
    </row>
    <row r="73" spans="1:37" ht="15" customHeight="1" x14ac:dyDescent="0.3">
      <c r="A73" s="219"/>
      <c r="B73" s="219"/>
      <c r="C73" s="219"/>
      <c r="D73" s="219"/>
      <c r="M73" s="244"/>
      <c r="N73" s="244"/>
      <c r="O73" s="244"/>
      <c r="P73" s="15"/>
      <c r="AC73" s="244"/>
      <c r="AD73" s="244"/>
      <c r="AE73" s="244"/>
      <c r="AF73" s="244"/>
      <c r="AG73" s="244"/>
      <c r="AH73" s="244"/>
      <c r="AI73" s="244"/>
      <c r="AJ73" s="244"/>
      <c r="AK73" s="390"/>
    </row>
    <row r="74" spans="1:37" ht="15" customHeight="1" x14ac:dyDescent="0.3">
      <c r="A74" s="219"/>
      <c r="B74" s="219"/>
      <c r="C74" s="219"/>
      <c r="D74" s="219"/>
      <c r="M74" s="1419" t="str">
        <f>Version</f>
        <v>Version 2026.1</v>
      </c>
      <c r="N74" s="1419"/>
      <c r="O74" s="1419"/>
      <c r="P74" s="15"/>
      <c r="AC74" s="1419" t="str">
        <f>Version</f>
        <v>Version 2026.1</v>
      </c>
      <c r="AD74" s="1419"/>
      <c r="AE74" s="1419"/>
      <c r="AF74" s="1419"/>
      <c r="AG74" s="1419"/>
      <c r="AH74" s="1419"/>
      <c r="AI74" s="1419"/>
      <c r="AJ74" s="1419"/>
      <c r="AK74" s="390"/>
    </row>
    <row r="75" spans="1:37" ht="15.6" customHeight="1" x14ac:dyDescent="0.3">
      <c r="P75" s="219"/>
      <c r="Q75" s="219"/>
      <c r="R75" s="219"/>
      <c r="S75" s="219"/>
      <c r="AC75" s="186"/>
      <c r="AD75" s="186"/>
      <c r="AE75" s="186"/>
      <c r="AF75" s="186"/>
      <c r="AG75" s="186"/>
      <c r="AH75" s="186"/>
      <c r="AI75" s="186"/>
      <c r="AJ75" s="186"/>
    </row>
    <row r="76" spans="1:37" ht="35.25" customHeight="1" x14ac:dyDescent="0.5">
      <c r="A76" s="1321" t="s">
        <v>419</v>
      </c>
      <c r="B76" s="1321"/>
      <c r="C76" s="1321"/>
      <c r="D76" s="1321"/>
      <c r="E76" s="1321"/>
      <c r="F76" s="1321"/>
      <c r="G76" s="1321"/>
      <c r="H76" s="1321"/>
      <c r="I76" s="1321"/>
      <c r="J76" s="1321"/>
      <c r="K76" s="1321"/>
      <c r="L76" s="1321"/>
      <c r="M76" s="1321"/>
      <c r="N76" s="1321"/>
      <c r="O76" s="1321"/>
      <c r="P76" s="354"/>
      <c r="Q76" s="354"/>
      <c r="R76" s="354"/>
      <c r="S76" s="354"/>
      <c r="T76" s="354"/>
      <c r="U76" s="354"/>
      <c r="V76" s="354"/>
      <c r="W76" s="354"/>
      <c r="X76" s="354"/>
      <c r="Y76" s="354"/>
      <c r="Z76" s="354"/>
      <c r="AA76" s="354"/>
      <c r="AB76" s="354"/>
      <c r="AC76" s="354"/>
      <c r="AD76" s="354"/>
      <c r="AE76" s="354"/>
      <c r="AF76" s="354"/>
      <c r="AG76" s="354"/>
      <c r="AH76" s="354"/>
      <c r="AI76" s="354"/>
      <c r="AJ76" s="354"/>
      <c r="AK76" s="354"/>
    </row>
    <row r="77" spans="1:37" ht="23.4" x14ac:dyDescent="0.45">
      <c r="A77" s="1409" t="s">
        <v>420</v>
      </c>
      <c r="B77" s="1409"/>
      <c r="C77" s="1409"/>
      <c r="D77" s="1409"/>
      <c r="E77" s="1409"/>
      <c r="F77" s="1409"/>
      <c r="G77" s="1409"/>
      <c r="H77" s="1409"/>
      <c r="I77" s="1409"/>
      <c r="J77" s="1409"/>
      <c r="K77" s="1409"/>
      <c r="L77" s="1409"/>
      <c r="M77" s="1409"/>
      <c r="N77" s="1409"/>
      <c r="O77" s="1409"/>
    </row>
    <row r="78" spans="1:37" x14ac:dyDescent="0.3">
      <c r="A78" s="1245"/>
      <c r="B78" s="1245"/>
      <c r="C78" s="1245"/>
      <c r="D78" s="1245"/>
      <c r="E78" s="1245"/>
      <c r="F78" s="1245"/>
      <c r="G78" s="1245"/>
      <c r="H78" s="1245"/>
      <c r="I78" s="1245"/>
      <c r="J78" s="1245"/>
      <c r="K78" s="1245"/>
      <c r="L78" s="1245"/>
      <c r="M78" s="1245"/>
      <c r="N78" s="1245"/>
    </row>
    <row r="79" spans="1:37" x14ac:dyDescent="0.3">
      <c r="A79" s="1245"/>
      <c r="B79" s="1245"/>
      <c r="C79" s="1245"/>
      <c r="D79" s="1245"/>
      <c r="E79" s="1245"/>
      <c r="F79" s="1245"/>
      <c r="G79" s="1245"/>
      <c r="H79" s="1245"/>
      <c r="I79" s="1245"/>
      <c r="J79" s="1245"/>
      <c r="K79" s="1245"/>
      <c r="L79" s="1245"/>
      <c r="M79" s="1245"/>
      <c r="N79" s="1245"/>
    </row>
    <row r="80" spans="1:37" x14ac:dyDescent="0.3">
      <c r="A80" s="1324" t="s">
        <v>223</v>
      </c>
      <c r="B80" s="1324"/>
      <c r="C80" s="1324"/>
      <c r="D80" s="1324"/>
      <c r="E80" s="1324"/>
      <c r="F80" s="1324"/>
      <c r="G80" s="1324"/>
      <c r="H80" s="1324"/>
      <c r="I80" s="1324"/>
      <c r="J80" s="1324"/>
      <c r="K80" s="1324"/>
      <c r="L80" s="1324"/>
      <c r="M80" s="1324"/>
      <c r="N80" s="1324"/>
    </row>
    <row r="81" spans="1:37" ht="8.25" customHeight="1" x14ac:dyDescent="0.3">
      <c r="A81" s="196"/>
      <c r="B81" s="196"/>
      <c r="C81" s="196"/>
      <c r="D81" s="196"/>
      <c r="E81" s="196"/>
      <c r="F81" s="196"/>
      <c r="G81" s="196"/>
      <c r="H81" s="196"/>
      <c r="I81" s="196"/>
      <c r="J81" s="196"/>
      <c r="K81" s="196"/>
      <c r="L81" s="196"/>
      <c r="M81" s="196"/>
      <c r="N81" s="196"/>
    </row>
    <row r="82" spans="1:37" x14ac:dyDescent="0.3">
      <c r="A82" s="1791" t="s">
        <v>268</v>
      </c>
      <c r="B82" s="1791"/>
      <c r="C82" s="1791"/>
      <c r="D82" s="1791"/>
      <c r="E82" s="1791"/>
      <c r="F82" s="1791"/>
      <c r="G82" s="1791"/>
      <c r="H82" s="1791"/>
      <c r="I82" s="1791"/>
      <c r="J82" s="1791"/>
      <c r="K82" s="1791"/>
      <c r="L82" s="1791"/>
      <c r="M82" s="1791"/>
      <c r="N82" s="1791"/>
      <c r="O82" s="1791"/>
    </row>
    <row r="83" spans="1:37" x14ac:dyDescent="0.3">
      <c r="A83" s="1791" t="s">
        <v>263</v>
      </c>
      <c r="B83" s="1791"/>
      <c r="C83" s="1791"/>
      <c r="D83" s="1791"/>
      <c r="E83" s="1791"/>
      <c r="F83" s="1791"/>
      <c r="G83" s="1791"/>
      <c r="H83" s="1791"/>
      <c r="I83" s="1791"/>
      <c r="J83" s="1791"/>
      <c r="K83" s="1791"/>
      <c r="L83" s="1791"/>
      <c r="M83" s="1791"/>
      <c r="N83" s="1791"/>
      <c r="O83" s="1791"/>
    </row>
    <row r="84" spans="1:37" x14ac:dyDescent="0.3">
      <c r="A84" s="1791" t="s">
        <v>265</v>
      </c>
      <c r="B84" s="1791"/>
      <c r="C84" s="1791"/>
      <c r="D84" s="1791"/>
      <c r="E84" s="1791"/>
      <c r="F84" s="1791"/>
      <c r="G84" s="1791"/>
      <c r="H84" s="1791"/>
      <c r="I84" s="1791"/>
      <c r="J84" s="1791"/>
      <c r="K84" s="1791"/>
      <c r="L84" s="1791"/>
      <c r="M84" s="1791"/>
      <c r="N84" s="1791"/>
      <c r="O84" s="1791"/>
    </row>
    <row r="85" spans="1:37" x14ac:dyDescent="0.3">
      <c r="A85" s="1791" t="s">
        <v>266</v>
      </c>
      <c r="B85" s="1791"/>
      <c r="C85" s="1791"/>
      <c r="D85" s="1791"/>
      <c r="E85" s="1791"/>
      <c r="F85" s="1791"/>
      <c r="G85" s="1791"/>
      <c r="H85" s="1791"/>
      <c r="I85" s="1791"/>
      <c r="J85" s="1791"/>
      <c r="K85" s="1791"/>
      <c r="L85" s="1791"/>
      <c r="M85" s="1791"/>
      <c r="N85" s="1791"/>
      <c r="O85" s="1791"/>
    </row>
    <row r="86" spans="1:37" x14ac:dyDescent="0.3">
      <c r="A86" s="1791" t="s">
        <v>838</v>
      </c>
      <c r="B86" s="1791"/>
      <c r="C86" s="1791"/>
      <c r="D86" s="1791"/>
      <c r="E86" s="1791"/>
      <c r="F86" s="1791"/>
      <c r="G86" s="1791"/>
      <c r="H86" s="1791"/>
      <c r="I86" s="1791"/>
      <c r="J86" s="1791"/>
      <c r="K86" s="1791"/>
      <c r="L86" s="1791"/>
      <c r="M86" s="1791"/>
      <c r="N86" s="1791"/>
      <c r="O86" s="1791"/>
    </row>
    <row r="87" spans="1:37" x14ac:dyDescent="0.3">
      <c r="A87" s="1791" t="s">
        <v>839</v>
      </c>
      <c r="B87" s="1791"/>
      <c r="C87" s="1791"/>
      <c r="D87" s="1791"/>
      <c r="E87" s="1791"/>
      <c r="F87" s="1791"/>
      <c r="G87" s="1791"/>
      <c r="H87" s="1791"/>
      <c r="I87" s="1791"/>
      <c r="J87" s="1791"/>
      <c r="K87" s="1791"/>
      <c r="L87" s="1791"/>
      <c r="M87" s="1791"/>
      <c r="N87" s="1791"/>
      <c r="O87" s="1791"/>
    </row>
    <row r="88" spans="1:37" x14ac:dyDescent="0.3">
      <c r="A88" s="1791" t="s">
        <v>840</v>
      </c>
      <c r="B88" s="1791"/>
      <c r="C88" s="1791"/>
      <c r="D88" s="1791"/>
      <c r="E88" s="1791"/>
      <c r="F88" s="1791"/>
      <c r="G88" s="1791"/>
      <c r="H88" s="1791"/>
      <c r="I88" s="1791"/>
      <c r="J88" s="1791"/>
      <c r="K88" s="1791"/>
      <c r="L88" s="1791"/>
      <c r="M88" s="1791"/>
      <c r="N88" s="1791"/>
      <c r="O88" s="1791"/>
    </row>
    <row r="89" spans="1:37" x14ac:dyDescent="0.3">
      <c r="A89" s="1791" t="s">
        <v>1269</v>
      </c>
      <c r="B89" s="1791"/>
      <c r="C89" s="1791"/>
      <c r="D89" s="1791"/>
      <c r="E89" s="1791"/>
      <c r="F89" s="1791"/>
      <c r="G89" s="1791"/>
      <c r="H89" s="1791"/>
      <c r="I89" s="1791"/>
      <c r="J89" s="1791"/>
      <c r="K89" s="1791"/>
      <c r="L89" s="1791"/>
      <c r="M89" s="1791"/>
      <c r="N89" s="1791"/>
      <c r="O89" s="1791"/>
    </row>
    <row r="90" spans="1:37" x14ac:dyDescent="0.3">
      <c r="A90" s="1791"/>
      <c r="B90" s="1791"/>
      <c r="C90" s="1791"/>
      <c r="D90" s="1791"/>
      <c r="E90" s="1791"/>
      <c r="F90" s="1791"/>
      <c r="G90" s="1791"/>
      <c r="H90" s="1791"/>
      <c r="I90" s="1791"/>
      <c r="J90" s="1791"/>
      <c r="K90" s="1791"/>
      <c r="L90" s="1791"/>
      <c r="M90" s="1791"/>
      <c r="N90" s="1791"/>
      <c r="O90" s="1791"/>
    </row>
    <row r="91" spans="1:37" ht="14.4" customHeight="1" x14ac:dyDescent="0.3">
      <c r="A91" s="1791" t="s">
        <v>429</v>
      </c>
      <c r="B91" s="1791"/>
      <c r="C91" s="1791"/>
      <c r="D91" s="1791"/>
      <c r="E91" s="1791"/>
      <c r="F91" s="1791"/>
      <c r="G91" s="1791"/>
      <c r="H91" s="1791"/>
      <c r="I91" s="1791"/>
      <c r="J91" s="1791"/>
      <c r="K91" s="1791"/>
      <c r="L91" s="1791"/>
      <c r="M91" s="1791"/>
      <c r="N91" s="1791"/>
      <c r="O91" s="1791"/>
    </row>
    <row r="92" spans="1:37" ht="14.4" customHeight="1" x14ac:dyDescent="0.3">
      <c r="A92" s="1494" t="s">
        <v>430</v>
      </c>
      <c r="B92" s="1494"/>
      <c r="C92" s="1494"/>
      <c r="D92" s="1494"/>
      <c r="E92" s="1494"/>
      <c r="F92" s="1494"/>
      <c r="G92" s="1494"/>
      <c r="H92" s="1494"/>
      <c r="I92" s="1494"/>
      <c r="J92" s="1494"/>
      <c r="K92" s="1494"/>
      <c r="L92" s="1494"/>
      <c r="M92" s="1494"/>
      <c r="N92" s="1494"/>
      <c r="O92" s="1494"/>
      <c r="P92" s="19"/>
      <c r="Q92" s="19"/>
      <c r="R92" s="19"/>
      <c r="S92" s="19"/>
      <c r="T92" s="19"/>
      <c r="U92" s="19"/>
      <c r="V92" s="19"/>
      <c r="W92" s="19"/>
      <c r="X92" s="19"/>
      <c r="Y92" s="19"/>
      <c r="Z92" s="19"/>
      <c r="AA92" s="19"/>
      <c r="AB92" s="19"/>
      <c r="AC92" s="19"/>
      <c r="AD92" s="19"/>
      <c r="AE92" s="19"/>
      <c r="AF92" s="19"/>
      <c r="AG92" s="19"/>
      <c r="AH92" s="19"/>
      <c r="AI92" s="19"/>
      <c r="AJ92" s="19"/>
      <c r="AK92" s="19"/>
    </row>
    <row r="93" spans="1:37" ht="15" customHeight="1" x14ac:dyDescent="0.3">
      <c r="A93" s="1494" t="s">
        <v>72</v>
      </c>
      <c r="B93" s="1494"/>
      <c r="C93" s="1494"/>
      <c r="D93" s="1494"/>
      <c r="E93" s="1494"/>
      <c r="F93" s="1494"/>
      <c r="G93" s="1494"/>
      <c r="H93" s="1494"/>
      <c r="I93" s="1494"/>
      <c r="J93" s="1494"/>
      <c r="K93" s="1494"/>
      <c r="L93" s="1494"/>
      <c r="M93" s="1494"/>
      <c r="N93" s="1494"/>
      <c r="O93" s="1494"/>
      <c r="P93" s="19"/>
      <c r="Q93" s="19"/>
      <c r="R93" s="19"/>
      <c r="S93" s="19"/>
      <c r="T93" s="19"/>
      <c r="U93" s="19"/>
      <c r="V93" s="19"/>
      <c r="W93" s="19"/>
      <c r="X93" s="19"/>
      <c r="Y93" s="19"/>
      <c r="Z93" s="19"/>
      <c r="AA93" s="19"/>
      <c r="AB93" s="19"/>
      <c r="AC93" s="19"/>
      <c r="AD93" s="19"/>
      <c r="AE93" s="19"/>
      <c r="AF93" s="19"/>
      <c r="AG93" s="19"/>
      <c r="AH93" s="19"/>
      <c r="AI93" s="19"/>
      <c r="AJ93" s="19"/>
      <c r="AK93" s="19"/>
    </row>
    <row r="94" spans="1:37" x14ac:dyDescent="0.3">
      <c r="A94" s="1494"/>
      <c r="B94" s="1494"/>
      <c r="C94" s="1494"/>
      <c r="D94" s="1494"/>
      <c r="E94" s="1494"/>
      <c r="F94" s="1494"/>
      <c r="G94" s="1494"/>
      <c r="H94" s="1494"/>
      <c r="I94" s="1494"/>
      <c r="J94" s="1494"/>
      <c r="K94" s="1494"/>
      <c r="L94" s="1494"/>
      <c r="M94" s="1494"/>
      <c r="N94" s="1494"/>
      <c r="O94" s="1494"/>
      <c r="P94" s="19"/>
      <c r="Q94" s="19"/>
      <c r="R94" s="19"/>
      <c r="S94" s="19"/>
      <c r="T94" s="19"/>
      <c r="U94" s="19"/>
      <c r="V94" s="19"/>
      <c r="W94" s="19"/>
      <c r="X94" s="19"/>
      <c r="Y94" s="19"/>
      <c r="Z94" s="19"/>
      <c r="AA94" s="19"/>
      <c r="AB94" s="19"/>
      <c r="AC94" s="19"/>
      <c r="AD94" s="19"/>
      <c r="AE94" s="19"/>
      <c r="AF94" s="19"/>
      <c r="AG94" s="19"/>
      <c r="AH94" s="19"/>
      <c r="AI94" s="19"/>
      <c r="AJ94" s="19"/>
      <c r="AK94" s="19"/>
    </row>
    <row r="95" spans="1:37" ht="14.4" customHeight="1" x14ac:dyDescent="0.3">
      <c r="A95" s="1791" t="s">
        <v>431</v>
      </c>
      <c r="B95" s="1791"/>
      <c r="C95" s="1791"/>
      <c r="D95" s="1791"/>
      <c r="E95" s="1791"/>
      <c r="F95" s="1791"/>
      <c r="G95" s="1791"/>
      <c r="H95" s="1791"/>
      <c r="I95" s="1791"/>
      <c r="J95" s="1791"/>
      <c r="K95" s="1791"/>
      <c r="L95" s="1791"/>
      <c r="M95" s="1791"/>
      <c r="N95" s="1791"/>
      <c r="O95" s="1791"/>
    </row>
    <row r="96" spans="1:37" ht="14.4" customHeight="1" x14ac:dyDescent="0.3">
      <c r="A96" s="1494" t="s">
        <v>763</v>
      </c>
      <c r="B96" s="1494"/>
      <c r="C96" s="1494"/>
      <c r="D96" s="1494"/>
      <c r="E96" s="1494"/>
      <c r="F96" s="1494"/>
      <c r="G96" s="1494"/>
      <c r="H96" s="1494"/>
      <c r="I96" s="1494"/>
      <c r="J96" s="1494"/>
      <c r="K96" s="1494"/>
      <c r="L96" s="1494"/>
      <c r="M96" s="1494"/>
      <c r="N96" s="1494"/>
      <c r="O96" s="1494"/>
      <c r="P96" s="19"/>
      <c r="Q96" s="19"/>
      <c r="R96" s="19"/>
      <c r="S96" s="19"/>
      <c r="T96" s="19"/>
      <c r="U96" s="19"/>
      <c r="V96" s="19"/>
      <c r="W96" s="19"/>
      <c r="X96" s="19"/>
      <c r="Y96" s="19"/>
      <c r="Z96" s="19"/>
      <c r="AA96" s="19"/>
      <c r="AB96" s="19"/>
      <c r="AC96" s="19"/>
      <c r="AD96" s="19"/>
      <c r="AE96" s="19"/>
      <c r="AF96" s="19"/>
      <c r="AG96" s="19"/>
      <c r="AH96" s="19"/>
      <c r="AI96" s="19"/>
      <c r="AJ96" s="19"/>
      <c r="AK96" s="19"/>
    </row>
    <row r="97" spans="1:37" ht="14.4" customHeight="1" x14ac:dyDescent="0.3">
      <c r="A97" s="1494" t="s">
        <v>432</v>
      </c>
      <c r="B97" s="1494"/>
      <c r="C97" s="1494"/>
      <c r="D97" s="1494"/>
      <c r="E97" s="1494"/>
      <c r="F97" s="1494"/>
      <c r="G97" s="1494"/>
      <c r="H97" s="1494"/>
      <c r="I97" s="1494"/>
      <c r="J97" s="1494"/>
      <c r="K97" s="1494"/>
      <c r="L97" s="1494"/>
      <c r="M97" s="1494"/>
      <c r="N97" s="1494"/>
      <c r="O97" s="1494"/>
      <c r="P97" s="19"/>
      <c r="Q97" s="19"/>
      <c r="R97" s="19"/>
      <c r="S97" s="19"/>
      <c r="T97" s="19"/>
      <c r="U97" s="19"/>
      <c r="V97" s="19"/>
      <c r="W97" s="19"/>
      <c r="X97" s="19"/>
      <c r="Y97" s="19"/>
      <c r="Z97" s="19"/>
      <c r="AA97" s="19"/>
      <c r="AB97" s="19"/>
      <c r="AC97" s="19"/>
      <c r="AD97" s="19"/>
      <c r="AE97" s="19"/>
      <c r="AF97" s="19"/>
      <c r="AG97" s="19"/>
      <c r="AH97" s="19"/>
      <c r="AI97" s="19"/>
      <c r="AJ97" s="19"/>
      <c r="AK97" s="19"/>
    </row>
    <row r="98" spans="1:37" ht="15" customHeight="1" x14ac:dyDescent="0.3">
      <c r="A98" s="1494" t="s">
        <v>764</v>
      </c>
      <c r="B98" s="1494"/>
      <c r="C98" s="1494"/>
      <c r="D98" s="1494"/>
      <c r="E98" s="1494"/>
      <c r="F98" s="1494"/>
      <c r="G98" s="1494"/>
      <c r="H98" s="1494"/>
      <c r="I98" s="1494"/>
      <c r="J98" s="1494"/>
      <c r="K98" s="1494"/>
      <c r="L98" s="1494"/>
      <c r="M98" s="1494"/>
      <c r="N98" s="1494"/>
      <c r="O98" s="1494"/>
      <c r="P98" s="19"/>
      <c r="Q98" s="19"/>
      <c r="R98" s="19"/>
      <c r="S98" s="19"/>
      <c r="T98" s="19"/>
      <c r="U98" s="19"/>
      <c r="V98" s="19"/>
      <c r="W98" s="19"/>
      <c r="X98" s="19"/>
      <c r="Y98" s="19"/>
      <c r="Z98" s="19"/>
      <c r="AA98" s="19"/>
      <c r="AB98" s="19"/>
      <c r="AC98" s="19"/>
      <c r="AD98" s="19"/>
      <c r="AE98" s="19"/>
      <c r="AF98" s="19"/>
      <c r="AG98" s="19"/>
      <c r="AH98" s="19"/>
      <c r="AI98" s="19"/>
      <c r="AJ98" s="19"/>
      <c r="AK98" s="19"/>
    </row>
    <row r="99" spans="1:37" x14ac:dyDescent="0.3">
      <c r="A99" s="1494"/>
      <c r="B99" s="1494"/>
      <c r="C99" s="1494"/>
      <c r="D99" s="1494"/>
      <c r="E99" s="1494"/>
      <c r="F99" s="1494"/>
      <c r="G99" s="1494"/>
      <c r="H99" s="1494"/>
      <c r="I99" s="1494"/>
      <c r="J99" s="1494"/>
      <c r="K99" s="1494"/>
      <c r="L99" s="1494"/>
      <c r="M99" s="1494"/>
      <c r="N99" s="1494"/>
      <c r="O99" s="1494"/>
      <c r="P99" s="19"/>
      <c r="Q99" s="19"/>
      <c r="R99" s="19"/>
      <c r="S99" s="19"/>
      <c r="T99" s="19"/>
      <c r="U99" s="19"/>
      <c r="V99" s="19"/>
      <c r="W99" s="19"/>
      <c r="X99" s="19"/>
      <c r="Y99" s="19"/>
      <c r="Z99" s="19"/>
      <c r="AA99" s="19"/>
      <c r="AB99" s="19"/>
      <c r="AC99" s="19"/>
      <c r="AD99" s="19"/>
      <c r="AE99" s="19"/>
      <c r="AF99" s="19"/>
      <c r="AG99" s="19"/>
      <c r="AH99" s="19"/>
      <c r="AI99" s="19"/>
      <c r="AJ99" s="19"/>
      <c r="AK99" s="19"/>
    </row>
    <row r="100" spans="1:37" x14ac:dyDescent="0.3">
      <c r="A100" s="1903" t="s">
        <v>433</v>
      </c>
      <c r="B100" s="1903"/>
      <c r="C100" s="1903"/>
      <c r="D100" s="1903"/>
      <c r="E100" s="1903"/>
      <c r="F100" s="1903"/>
      <c r="G100" s="1903"/>
      <c r="H100" s="1903"/>
      <c r="I100" s="1903"/>
      <c r="J100" s="1903"/>
      <c r="K100" s="1903"/>
      <c r="L100" s="1903"/>
      <c r="M100" s="1903"/>
      <c r="N100" s="1903"/>
      <c r="O100" s="1903"/>
    </row>
    <row r="101" spans="1:37" x14ac:dyDescent="0.3">
      <c r="A101" s="1903" t="s">
        <v>434</v>
      </c>
      <c r="B101" s="1903"/>
      <c r="C101" s="1903"/>
      <c r="D101" s="1903"/>
      <c r="E101" s="1903"/>
      <c r="F101" s="1903"/>
      <c r="G101" s="1903"/>
      <c r="H101" s="1903"/>
      <c r="I101" s="1903"/>
      <c r="J101" s="1903"/>
      <c r="K101" s="1903"/>
      <c r="L101" s="1903"/>
      <c r="M101" s="1903"/>
      <c r="N101" s="1903"/>
      <c r="O101" s="1903"/>
    </row>
    <row r="102" spans="1:37" x14ac:dyDescent="0.3">
      <c r="A102" s="1903" t="s">
        <v>264</v>
      </c>
      <c r="B102" s="1903"/>
      <c r="C102" s="1903"/>
      <c r="D102" s="1903"/>
      <c r="E102" s="1903"/>
      <c r="F102" s="1903"/>
      <c r="G102" s="1903"/>
      <c r="H102" s="1903"/>
      <c r="I102" s="1903"/>
      <c r="J102" s="1903"/>
      <c r="K102" s="1903"/>
      <c r="L102" s="1903"/>
      <c r="M102" s="1903"/>
      <c r="N102" s="1903"/>
      <c r="O102" s="1903"/>
    </row>
    <row r="103" spans="1:37" x14ac:dyDescent="0.3">
      <c r="A103" s="2077"/>
      <c r="B103" s="2077"/>
      <c r="C103" s="2077"/>
      <c r="D103" s="2077"/>
      <c r="E103" s="2077"/>
      <c r="F103" s="2077"/>
      <c r="G103" s="2077"/>
      <c r="H103" s="2077"/>
      <c r="I103" s="2077"/>
      <c r="J103" s="2077"/>
      <c r="K103" s="2077"/>
      <c r="L103" s="2077"/>
      <c r="M103" s="2077"/>
      <c r="N103" s="2077"/>
      <c r="O103" s="2077"/>
    </row>
    <row r="104" spans="1:37" x14ac:dyDescent="0.3">
      <c r="A104" s="1903" t="s">
        <v>435</v>
      </c>
      <c r="B104" s="1903"/>
      <c r="C104" s="1903"/>
      <c r="D104" s="1903"/>
      <c r="E104" s="1903"/>
      <c r="F104" s="1903"/>
      <c r="G104" s="1903"/>
      <c r="H104" s="1903"/>
      <c r="I104" s="1903"/>
      <c r="J104" s="1903"/>
      <c r="K104" s="1903"/>
      <c r="L104" s="1903"/>
      <c r="M104" s="1903"/>
      <c r="N104" s="1903"/>
      <c r="O104" s="1903"/>
    </row>
    <row r="105" spans="1:37" x14ac:dyDescent="0.3">
      <c r="A105" s="1392" t="s">
        <v>69</v>
      </c>
      <c r="B105" s="1392"/>
      <c r="C105" s="1392"/>
      <c r="D105" s="1392"/>
      <c r="E105" s="1392"/>
      <c r="F105" s="1392"/>
      <c r="G105" s="1392"/>
      <c r="H105" s="1392"/>
      <c r="I105" s="1392"/>
      <c r="J105" s="1392"/>
      <c r="K105" s="1392"/>
      <c r="L105" s="1392"/>
      <c r="M105" s="1392"/>
      <c r="N105" s="1392"/>
      <c r="O105" s="1392"/>
    </row>
    <row r="106" spans="1:37" x14ac:dyDescent="0.3">
      <c r="A106" s="1903" t="s">
        <v>67</v>
      </c>
      <c r="B106" s="1903"/>
      <c r="C106" s="1903"/>
      <c r="D106" s="1903"/>
      <c r="E106" s="1903"/>
      <c r="F106" s="1903"/>
      <c r="G106" s="1903"/>
      <c r="H106" s="1903"/>
      <c r="I106" s="1903"/>
      <c r="J106" s="1903"/>
      <c r="K106" s="1903"/>
      <c r="L106" s="1903"/>
      <c r="M106" s="1903"/>
      <c r="N106" s="1903"/>
      <c r="O106" s="1903"/>
    </row>
    <row r="107" spans="1:37" x14ac:dyDescent="0.3">
      <c r="A107" s="1903"/>
      <c r="B107" s="1903"/>
      <c r="C107" s="1903"/>
      <c r="D107" s="1903"/>
      <c r="E107" s="1903"/>
      <c r="F107" s="1903"/>
      <c r="G107" s="1903"/>
      <c r="H107" s="1903"/>
      <c r="I107" s="1903"/>
      <c r="J107" s="1903"/>
      <c r="K107" s="1903"/>
      <c r="L107" s="1903"/>
      <c r="M107" s="1903"/>
      <c r="N107" s="1903"/>
      <c r="O107" s="1903"/>
    </row>
    <row r="108" spans="1:37" x14ac:dyDescent="0.3">
      <c r="A108" s="1903" t="s">
        <v>436</v>
      </c>
      <c r="B108" s="1903"/>
      <c r="C108" s="1903"/>
      <c r="D108" s="1903"/>
      <c r="E108" s="1903"/>
      <c r="F108" s="1903"/>
      <c r="G108" s="1903"/>
      <c r="H108" s="1903"/>
      <c r="I108" s="1903"/>
      <c r="J108" s="1903"/>
      <c r="K108" s="1903"/>
      <c r="L108" s="1903"/>
      <c r="M108" s="1903"/>
      <c r="N108" s="1903"/>
      <c r="O108" s="1903"/>
    </row>
    <row r="109" spans="1:37" x14ac:dyDescent="0.3">
      <c r="A109" s="1903" t="s">
        <v>437</v>
      </c>
      <c r="B109" s="1903"/>
      <c r="C109" s="1903"/>
      <c r="D109" s="1903"/>
      <c r="E109" s="1903"/>
      <c r="F109" s="1903"/>
      <c r="G109" s="1903"/>
      <c r="H109" s="1903"/>
      <c r="I109" s="1903"/>
      <c r="J109" s="1903"/>
      <c r="K109" s="1903"/>
      <c r="L109" s="1903"/>
      <c r="M109" s="1903"/>
      <c r="N109" s="1903"/>
      <c r="O109" s="1903"/>
    </row>
    <row r="110" spans="1:37" x14ac:dyDescent="0.3">
      <c r="A110" s="1903" t="s">
        <v>438</v>
      </c>
      <c r="B110" s="1903"/>
      <c r="C110" s="1903"/>
      <c r="D110" s="1903"/>
      <c r="E110" s="1903"/>
      <c r="F110" s="1903"/>
      <c r="G110" s="1903"/>
      <c r="H110" s="1903"/>
      <c r="I110" s="1903"/>
      <c r="J110" s="1903"/>
      <c r="K110" s="1903"/>
      <c r="L110" s="1903"/>
      <c r="M110" s="1903"/>
      <c r="N110" s="1903"/>
      <c r="O110" s="1903"/>
    </row>
    <row r="111" spans="1:37" x14ac:dyDescent="0.3">
      <c r="A111" s="1903" t="s">
        <v>439</v>
      </c>
      <c r="B111" s="1903"/>
      <c r="C111" s="1903"/>
      <c r="D111" s="1903"/>
      <c r="E111" s="1903"/>
      <c r="F111" s="1903"/>
      <c r="G111" s="1903"/>
      <c r="H111" s="1903"/>
      <c r="I111" s="1903"/>
      <c r="J111" s="1903"/>
      <c r="K111" s="1903"/>
      <c r="L111" s="1903"/>
      <c r="M111" s="1903"/>
      <c r="N111" s="1903"/>
      <c r="O111" s="1903"/>
    </row>
    <row r="112" spans="1:37" x14ac:dyDescent="0.3">
      <c r="A112" s="1903" t="s">
        <v>440</v>
      </c>
      <c r="B112" s="1903"/>
      <c r="C112" s="1903"/>
      <c r="D112" s="1903"/>
      <c r="E112" s="1903"/>
      <c r="F112" s="1903"/>
      <c r="G112" s="1903"/>
      <c r="H112" s="1903"/>
      <c r="I112" s="1903"/>
      <c r="J112" s="1903"/>
      <c r="K112" s="1903"/>
      <c r="L112" s="1903"/>
      <c r="M112" s="1903"/>
      <c r="N112" s="1903"/>
      <c r="O112" s="1903"/>
    </row>
    <row r="113" spans="1:15" x14ac:dyDescent="0.3">
      <c r="A113" s="1903"/>
      <c r="B113" s="1903"/>
      <c r="C113" s="1903"/>
      <c r="D113" s="1903"/>
      <c r="E113" s="1903"/>
      <c r="F113" s="1903"/>
      <c r="G113" s="1903"/>
      <c r="H113" s="1903"/>
      <c r="I113" s="1903"/>
      <c r="J113" s="1903"/>
      <c r="K113" s="1903"/>
      <c r="L113" s="1903"/>
      <c r="M113" s="1903"/>
      <c r="N113" s="1903"/>
      <c r="O113" s="1903"/>
    </row>
    <row r="114" spans="1:15" x14ac:dyDescent="0.3">
      <c r="A114" s="1903"/>
      <c r="B114" s="1903"/>
      <c r="C114" s="1903"/>
      <c r="D114" s="1903"/>
      <c r="E114" s="1903"/>
      <c r="F114" s="1903"/>
      <c r="G114" s="1903"/>
      <c r="H114" s="1903"/>
      <c r="I114" s="1903"/>
      <c r="J114" s="1903"/>
      <c r="K114" s="1903"/>
      <c r="L114" s="1903"/>
      <c r="M114" s="1903"/>
      <c r="N114" s="1903"/>
      <c r="O114" s="1903"/>
    </row>
    <row r="115" spans="1:15" x14ac:dyDescent="0.3">
      <c r="A115" s="1903"/>
      <c r="B115" s="1903"/>
      <c r="C115" s="1903"/>
      <c r="D115" s="1903"/>
      <c r="E115" s="1903"/>
      <c r="F115" s="1903"/>
      <c r="G115" s="1903"/>
      <c r="H115" s="1903"/>
      <c r="I115" s="1903"/>
      <c r="J115" s="1903"/>
      <c r="K115" s="1903"/>
      <c r="L115" s="1903"/>
      <c r="M115" s="1903"/>
      <c r="N115" s="1903"/>
      <c r="O115" s="1903"/>
    </row>
    <row r="116" spans="1:15" x14ac:dyDescent="0.3">
      <c r="A116" s="1903"/>
      <c r="B116" s="1903"/>
      <c r="C116" s="1903"/>
      <c r="D116" s="1903"/>
      <c r="E116" s="1903"/>
      <c r="F116" s="1903"/>
      <c r="G116" s="1903"/>
      <c r="H116" s="1903"/>
      <c r="I116" s="1903"/>
      <c r="J116" s="1903"/>
      <c r="K116" s="1903"/>
      <c r="L116" s="1903"/>
      <c r="M116" s="1903"/>
      <c r="N116" s="1903"/>
      <c r="O116" s="1903"/>
    </row>
    <row r="117" spans="1:15" x14ac:dyDescent="0.3">
      <c r="A117" s="1903"/>
      <c r="B117" s="1903"/>
      <c r="C117" s="1903"/>
      <c r="D117" s="1903"/>
      <c r="E117" s="1903"/>
      <c r="F117" s="1903"/>
      <c r="G117" s="1903"/>
      <c r="H117" s="1903"/>
      <c r="I117" s="1903"/>
      <c r="J117" s="1903"/>
      <c r="K117" s="1903"/>
      <c r="L117" s="1903"/>
      <c r="M117" s="1903"/>
      <c r="N117" s="1903"/>
      <c r="O117" s="1903"/>
    </row>
    <row r="118" spans="1:15" x14ac:dyDescent="0.3">
      <c r="A118" s="1903"/>
      <c r="B118" s="1903"/>
      <c r="C118" s="1903"/>
      <c r="D118" s="1903"/>
      <c r="E118" s="1903"/>
      <c r="F118" s="1903"/>
      <c r="G118" s="1903"/>
      <c r="H118" s="1903"/>
      <c r="I118" s="1903"/>
      <c r="J118" s="1903"/>
      <c r="K118" s="1903"/>
      <c r="L118" s="1903"/>
      <c r="M118" s="1903"/>
      <c r="N118" s="1903"/>
      <c r="O118" s="1903"/>
    </row>
    <row r="119" spans="1:15" x14ac:dyDescent="0.3">
      <c r="A119" s="1903"/>
      <c r="B119" s="1903"/>
      <c r="C119" s="1903"/>
      <c r="D119" s="1903"/>
      <c r="E119" s="1903"/>
      <c r="F119" s="1903"/>
      <c r="G119" s="1903"/>
      <c r="H119" s="1903"/>
      <c r="I119" s="1903"/>
      <c r="J119" s="1903"/>
      <c r="K119" s="1903"/>
      <c r="L119" s="1903"/>
      <c r="M119" s="1903"/>
      <c r="N119" s="1903"/>
      <c r="O119" s="1903"/>
    </row>
    <row r="120" spans="1:15" x14ac:dyDescent="0.3">
      <c r="A120" s="1903"/>
      <c r="B120" s="1903"/>
      <c r="C120" s="1903"/>
      <c r="D120" s="1903"/>
      <c r="E120" s="1903"/>
      <c r="F120" s="1903"/>
      <c r="G120" s="1903"/>
      <c r="H120" s="1903"/>
      <c r="I120" s="1903"/>
      <c r="J120" s="1903"/>
      <c r="K120" s="1903"/>
      <c r="L120" s="1903"/>
      <c r="M120" s="1903"/>
      <c r="N120" s="1903"/>
      <c r="O120" s="1903"/>
    </row>
    <row r="121" spans="1:15" x14ac:dyDescent="0.3">
      <c r="A121" s="1903"/>
      <c r="B121" s="1903"/>
      <c r="C121" s="1903"/>
      <c r="D121" s="1903"/>
      <c r="E121" s="1903"/>
      <c r="F121" s="1903"/>
      <c r="G121" s="1903"/>
      <c r="H121" s="1903"/>
      <c r="I121" s="1903"/>
      <c r="J121" s="1903"/>
      <c r="K121" s="1903"/>
      <c r="L121" s="1903"/>
      <c r="M121" s="1903"/>
      <c r="N121" s="1903"/>
      <c r="O121" s="1903"/>
    </row>
    <row r="122" spans="1:15" x14ac:dyDescent="0.3">
      <c r="A122" s="1903"/>
      <c r="B122" s="1903"/>
      <c r="C122" s="1903"/>
      <c r="D122" s="1903"/>
      <c r="E122" s="1903"/>
      <c r="F122" s="1903"/>
      <c r="G122" s="1903"/>
      <c r="H122" s="1903"/>
      <c r="I122" s="1903"/>
      <c r="J122" s="1903"/>
      <c r="K122" s="1903"/>
      <c r="L122" s="1903"/>
      <c r="M122" s="1903"/>
      <c r="N122" s="1903"/>
      <c r="O122" s="1903"/>
    </row>
    <row r="123" spans="1:15" x14ac:dyDescent="0.3">
      <c r="A123" s="1903"/>
      <c r="B123" s="1903"/>
      <c r="C123" s="1903"/>
      <c r="D123" s="1903"/>
      <c r="E123" s="1903"/>
      <c r="F123" s="1903"/>
      <c r="G123" s="1903"/>
      <c r="H123" s="1903"/>
      <c r="I123" s="1903"/>
      <c r="J123" s="1903"/>
      <c r="K123" s="1903"/>
      <c r="L123" s="1903"/>
      <c r="M123" s="1903"/>
      <c r="N123" s="1903"/>
      <c r="O123" s="1903"/>
    </row>
    <row r="124" spans="1:15" x14ac:dyDescent="0.3">
      <c r="A124" s="1903"/>
      <c r="B124" s="1903"/>
      <c r="C124" s="1903"/>
      <c r="D124" s="1903"/>
      <c r="E124" s="1903"/>
      <c r="F124" s="1903"/>
      <c r="G124" s="1903"/>
      <c r="H124" s="1903"/>
      <c r="I124" s="1903"/>
      <c r="J124" s="1903"/>
      <c r="K124" s="1903"/>
      <c r="L124" s="1903"/>
      <c r="M124" s="1903"/>
      <c r="N124" s="1903"/>
      <c r="O124" s="1903"/>
    </row>
    <row r="125" spans="1:15" x14ac:dyDescent="0.3">
      <c r="A125" s="1903"/>
      <c r="B125" s="1903"/>
      <c r="C125" s="1903"/>
      <c r="D125" s="1903"/>
      <c r="E125" s="1903"/>
      <c r="F125" s="1903"/>
      <c r="G125" s="1903"/>
      <c r="H125" s="1903"/>
      <c r="I125" s="1903"/>
      <c r="J125" s="1903"/>
      <c r="K125" s="1903"/>
      <c r="L125" s="1903"/>
      <c r="M125" s="1903"/>
      <c r="N125" s="1903"/>
      <c r="O125" s="1903"/>
    </row>
    <row r="126" spans="1:15" x14ac:dyDescent="0.3">
      <c r="A126" s="1903"/>
      <c r="B126" s="1903"/>
      <c r="C126" s="1903"/>
      <c r="D126" s="1903"/>
      <c r="E126" s="1903"/>
      <c r="F126" s="1903"/>
      <c r="G126" s="1903"/>
      <c r="H126" s="1903"/>
      <c r="I126" s="1903"/>
      <c r="J126" s="1903"/>
      <c r="K126" s="1903"/>
      <c r="L126" s="1903"/>
      <c r="M126" s="1903"/>
      <c r="N126" s="1903"/>
      <c r="O126" s="1903"/>
    </row>
    <row r="127" spans="1:15" x14ac:dyDescent="0.3">
      <c r="A127" s="1903"/>
      <c r="B127" s="1903"/>
      <c r="C127" s="1903"/>
      <c r="D127" s="1903"/>
      <c r="E127" s="1903"/>
      <c r="F127" s="1903"/>
      <c r="G127" s="1903"/>
      <c r="H127" s="1903"/>
      <c r="I127" s="1903"/>
      <c r="J127" s="1903"/>
      <c r="K127" s="1903"/>
      <c r="L127" s="1903"/>
      <c r="M127" s="1903"/>
      <c r="N127" s="1903"/>
      <c r="O127" s="1903"/>
    </row>
    <row r="128" spans="1:15" x14ac:dyDescent="0.3">
      <c r="A128" s="1903"/>
      <c r="B128" s="1903"/>
      <c r="C128" s="1903"/>
      <c r="D128" s="1903"/>
      <c r="E128" s="1903"/>
      <c r="F128" s="1903"/>
      <c r="G128" s="1903"/>
      <c r="H128" s="1903"/>
      <c r="I128" s="1903"/>
      <c r="J128" s="1903"/>
      <c r="K128" s="1903"/>
      <c r="L128" s="1903"/>
      <c r="M128" s="1903"/>
      <c r="N128" s="1903"/>
      <c r="O128" s="1903"/>
    </row>
  </sheetData>
  <sheetProtection algorithmName="SHA-512" hashValue="PO4qR+iIIuGAUDf/whDMn+Fu50pjDFeWkZq8N/bBBJhka+Q8TOj4WT+bl9Z4XfVm+DRMAYOuHKhwheqeEa8B9Q==" saltValue="RUjex66JoDRC3IwMEqRWEA==" spinCount="100000" sheet="1" objects="1" scenarios="1" selectLockedCells="1"/>
  <mergeCells count="270">
    <mergeCell ref="R11:R12"/>
    <mergeCell ref="S11:U11"/>
    <mergeCell ref="V11:X11"/>
    <mergeCell ref="A76:O76"/>
    <mergeCell ref="Q1:S1"/>
    <mergeCell ref="N2:N3"/>
    <mergeCell ref="K2:M2"/>
    <mergeCell ref="Y47:AC48"/>
    <mergeCell ref="M36:N36"/>
    <mergeCell ref="J17:K17"/>
    <mergeCell ref="M16:N16"/>
    <mergeCell ref="M17:N17"/>
    <mergeCell ref="C21:M21"/>
    <mergeCell ref="B17:E17"/>
    <mergeCell ref="C18:G18"/>
    <mergeCell ref="J18:K18"/>
    <mergeCell ref="M18:N18"/>
    <mergeCell ref="J28:K28"/>
    <mergeCell ref="J19:K19"/>
    <mergeCell ref="C33:G33"/>
    <mergeCell ref="AC64:AD64"/>
    <mergeCell ref="D6:H6"/>
    <mergeCell ref="J35:K35"/>
    <mergeCell ref="AD47:AI48"/>
    <mergeCell ref="Y49:AC49"/>
    <mergeCell ref="AD49:AI49"/>
    <mergeCell ref="P55:T55"/>
    <mergeCell ref="U55:AJ55"/>
    <mergeCell ref="P56:T56"/>
    <mergeCell ref="U56:AK56"/>
    <mergeCell ref="K38:L38"/>
    <mergeCell ref="M38:N40"/>
    <mergeCell ref="J42:K42"/>
    <mergeCell ref="M42:N42"/>
    <mergeCell ref="J43:K43"/>
    <mergeCell ref="M43:N43"/>
    <mergeCell ref="AK45:AK46"/>
    <mergeCell ref="P45:P46"/>
    <mergeCell ref="A97:O97"/>
    <mergeCell ref="A64:E64"/>
    <mergeCell ref="P58:AJ58"/>
    <mergeCell ref="A94:O94"/>
    <mergeCell ref="A96:O96"/>
    <mergeCell ref="AE64:AF64"/>
    <mergeCell ref="V49:W49"/>
    <mergeCell ref="AG64:AH64"/>
    <mergeCell ref="AI64:AJ64"/>
    <mergeCell ref="P51:T52"/>
    <mergeCell ref="P59:AJ61"/>
    <mergeCell ref="A93:O93"/>
    <mergeCell ref="A79:N79"/>
    <mergeCell ref="A82:O82"/>
    <mergeCell ref="A77:O77"/>
    <mergeCell ref="P66:AK67"/>
    <mergeCell ref="A65:O67"/>
    <mergeCell ref="M74:O74"/>
    <mergeCell ref="AE65:AF65"/>
    <mergeCell ref="A71:D71"/>
    <mergeCell ref="R63:V65"/>
    <mergeCell ref="P53:T54"/>
    <mergeCell ref="P65:Q65"/>
    <mergeCell ref="P64:Q64"/>
    <mergeCell ref="A98:O98"/>
    <mergeCell ref="A99:O99"/>
    <mergeCell ref="A100:O100"/>
    <mergeCell ref="A110:O110"/>
    <mergeCell ref="L55:M55"/>
    <mergeCell ref="C59:M59"/>
    <mergeCell ref="D60:G63"/>
    <mergeCell ref="B51:G51"/>
    <mergeCell ref="B35:G35"/>
    <mergeCell ref="H34:I36"/>
    <mergeCell ref="B49:E49"/>
    <mergeCell ref="L49:M49"/>
    <mergeCell ref="J45:K45"/>
    <mergeCell ref="M45:N45"/>
    <mergeCell ref="B36:F36"/>
    <mergeCell ref="A47:C47"/>
    <mergeCell ref="K40:L40"/>
    <mergeCell ref="B38:J39"/>
    <mergeCell ref="B40:J40"/>
    <mergeCell ref="B54:C54"/>
    <mergeCell ref="A58:B61"/>
    <mergeCell ref="H63:O64"/>
    <mergeCell ref="H60:O62"/>
    <mergeCell ref="B42:H42"/>
    <mergeCell ref="M35:N35"/>
    <mergeCell ref="J36:K36"/>
    <mergeCell ref="M19:N19"/>
    <mergeCell ref="B26:H26"/>
    <mergeCell ref="J26:K26"/>
    <mergeCell ref="M26:N26"/>
    <mergeCell ref="B27:H27"/>
    <mergeCell ref="J27:K27"/>
    <mergeCell ref="M27:N27"/>
    <mergeCell ref="B19:H19"/>
    <mergeCell ref="D24:I24"/>
    <mergeCell ref="M28:N28"/>
    <mergeCell ref="A22:O22"/>
    <mergeCell ref="A24:C24"/>
    <mergeCell ref="B25:H25"/>
    <mergeCell ref="J25:K25"/>
    <mergeCell ref="M25:N25"/>
    <mergeCell ref="B28:I28"/>
    <mergeCell ref="J33:K33"/>
    <mergeCell ref="M33:N33"/>
    <mergeCell ref="O29:O30"/>
    <mergeCell ref="B30:H30"/>
    <mergeCell ref="J31:K31"/>
    <mergeCell ref="M31:N31"/>
    <mergeCell ref="B32:H32"/>
    <mergeCell ref="J32:K32"/>
    <mergeCell ref="M32:N32"/>
    <mergeCell ref="G31:H31"/>
    <mergeCell ref="B31:F31"/>
    <mergeCell ref="B29:H29"/>
    <mergeCell ref="L29:L30"/>
    <mergeCell ref="M29:N30"/>
    <mergeCell ref="I29:I30"/>
    <mergeCell ref="J29:K30"/>
    <mergeCell ref="A115:O115"/>
    <mergeCell ref="A116:O116"/>
    <mergeCell ref="A117:O117"/>
    <mergeCell ref="AC74:AJ74"/>
    <mergeCell ref="A113:O113"/>
    <mergeCell ref="A114:O114"/>
    <mergeCell ref="AG65:AH65"/>
    <mergeCell ref="AI65:AJ65"/>
    <mergeCell ref="A83:O83"/>
    <mergeCell ref="A84:O84"/>
    <mergeCell ref="A85:O85"/>
    <mergeCell ref="A86:O86"/>
    <mergeCell ref="A87:O87"/>
    <mergeCell ref="A88:O88"/>
    <mergeCell ref="A89:O89"/>
    <mergeCell ref="A90:O90"/>
    <mergeCell ref="A91:O91"/>
    <mergeCell ref="A92:O92"/>
    <mergeCell ref="AC65:AD65"/>
    <mergeCell ref="A78:N78"/>
    <mergeCell ref="A80:N80"/>
    <mergeCell ref="A95:O95"/>
    <mergeCell ref="A111:O111"/>
    <mergeCell ref="A112:O112"/>
    <mergeCell ref="A118:O118"/>
    <mergeCell ref="A119:O119"/>
    <mergeCell ref="A120:O120"/>
    <mergeCell ref="A127:O127"/>
    <mergeCell ref="A128:O128"/>
    <mergeCell ref="A121:O121"/>
    <mergeCell ref="A122:O122"/>
    <mergeCell ref="A123:O123"/>
    <mergeCell ref="A124:O124"/>
    <mergeCell ref="A125:O125"/>
    <mergeCell ref="A126:O126"/>
    <mergeCell ref="A101:O101"/>
    <mergeCell ref="A102:O102"/>
    <mergeCell ref="A103:O103"/>
    <mergeCell ref="A104:O104"/>
    <mergeCell ref="A105:O105"/>
    <mergeCell ref="A106:O106"/>
    <mergeCell ref="A107:O107"/>
    <mergeCell ref="A108:O108"/>
    <mergeCell ref="A109:O109"/>
    <mergeCell ref="A8:C8"/>
    <mergeCell ref="D8:H8"/>
    <mergeCell ref="B11:I11"/>
    <mergeCell ref="F2:J2"/>
    <mergeCell ref="J12:K12"/>
    <mergeCell ref="J10:K10"/>
    <mergeCell ref="M10:N10"/>
    <mergeCell ref="J11:K11"/>
    <mergeCell ref="B16:E16"/>
    <mergeCell ref="F15:H17"/>
    <mergeCell ref="C13:G13"/>
    <mergeCell ref="J13:K13"/>
    <mergeCell ref="M13:N13"/>
    <mergeCell ref="A15:C15"/>
    <mergeCell ref="J16:K16"/>
    <mergeCell ref="K4:N4"/>
    <mergeCell ref="M12:N12"/>
    <mergeCell ref="B12:H12"/>
    <mergeCell ref="J5:O7"/>
    <mergeCell ref="J8:O9"/>
    <mergeCell ref="A10:I10"/>
    <mergeCell ref="F3:J4"/>
    <mergeCell ref="M11:N11"/>
    <mergeCell ref="A6:C6"/>
    <mergeCell ref="P22:R23"/>
    <mergeCell ref="P2:AK3"/>
    <mergeCell ref="P4:Z4"/>
    <mergeCell ref="P6:R6"/>
    <mergeCell ref="S6:W6"/>
    <mergeCell ref="P8:R8"/>
    <mergeCell ref="S8:W8"/>
    <mergeCell ref="Z10:AB10"/>
    <mergeCell ref="AF10:AH10"/>
    <mergeCell ref="R18:V18"/>
    <mergeCell ref="Z11:AA11"/>
    <mergeCell ref="AC11:AD11"/>
    <mergeCell ref="AF11:AG11"/>
    <mergeCell ref="AI11:AJ11"/>
    <mergeCell ref="AA12:AC12"/>
    <mergeCell ref="AG12:AI12"/>
    <mergeCell ref="Z16:AD17"/>
    <mergeCell ref="AF16:AJ17"/>
    <mergeCell ref="P15:S15"/>
    <mergeCell ref="Q17:U17"/>
    <mergeCell ref="Q13:U14"/>
    <mergeCell ref="AA13:AC13"/>
    <mergeCell ref="AG13:AI13"/>
    <mergeCell ref="S12:V12"/>
    <mergeCell ref="Z26:AD26"/>
    <mergeCell ref="U47:U48"/>
    <mergeCell ref="R27:V27"/>
    <mergeCell ref="R28:V28"/>
    <mergeCell ref="Z27:AD27"/>
    <mergeCell ref="Z28:AD28"/>
    <mergeCell ref="U51:AJ52"/>
    <mergeCell ref="Z35:AD44"/>
    <mergeCell ref="P30:P31"/>
    <mergeCell ref="Q30:W31"/>
    <mergeCell ref="AF26:AJ26"/>
    <mergeCell ref="AF27:AJ27"/>
    <mergeCell ref="AF28:AJ28"/>
    <mergeCell ref="AF30:AJ31"/>
    <mergeCell ref="Z30:AD31"/>
    <mergeCell ref="Z29:AD29"/>
    <mergeCell ref="AF29:AJ29"/>
    <mergeCell ref="Z34:AD34"/>
    <mergeCell ref="T47:T48"/>
    <mergeCell ref="P49:R49"/>
    <mergeCell ref="Q45:W46"/>
    <mergeCell ref="Z45:AD46"/>
    <mergeCell ref="AF45:AJ46"/>
    <mergeCell ref="V47:W48"/>
    <mergeCell ref="AF25:AJ25"/>
    <mergeCell ref="Z24:AD24"/>
    <mergeCell ref="Z25:AD25"/>
    <mergeCell ref="AF24:AJ24"/>
    <mergeCell ref="Z15:AD15"/>
    <mergeCell ref="AF15:AJ15"/>
    <mergeCell ref="Z19:AD19"/>
    <mergeCell ref="AF19:AJ19"/>
    <mergeCell ref="Z18:AD18"/>
    <mergeCell ref="AF18:AJ18"/>
    <mergeCell ref="AF34:AJ34"/>
    <mergeCell ref="Z32:AD32"/>
    <mergeCell ref="AF32:AJ32"/>
    <mergeCell ref="U53:AJ54"/>
    <mergeCell ref="S47:S48"/>
    <mergeCell ref="B44:H44"/>
    <mergeCell ref="J44:K44"/>
    <mergeCell ref="M44:N44"/>
    <mergeCell ref="K46:M46"/>
    <mergeCell ref="B48:H48"/>
    <mergeCell ref="L48:M48"/>
    <mergeCell ref="B52:C52"/>
    <mergeCell ref="B53:C53"/>
    <mergeCell ref="H50:K56"/>
    <mergeCell ref="B37:I37"/>
    <mergeCell ref="J41:K41"/>
    <mergeCell ref="M41:N41"/>
    <mergeCell ref="B45:G45"/>
    <mergeCell ref="D46:I46"/>
    <mergeCell ref="M34:N34"/>
    <mergeCell ref="B55:G55"/>
    <mergeCell ref="AF35:AJ44"/>
    <mergeCell ref="B34:G34"/>
    <mergeCell ref="J34:K34"/>
  </mergeCells>
  <conditionalFormatting sqref="C21">
    <cfRule type="expression" dxfId="559" priority="91">
      <formula>OR($J$35&gt;=0.25,$M$35&gt;=0.25)</formula>
    </cfRule>
  </conditionalFormatting>
  <conditionalFormatting sqref="J25:K25">
    <cfRule type="expression" dxfId="558" priority="90">
      <formula>$J$25&lt;&gt;0</formula>
    </cfRule>
  </conditionalFormatting>
  <conditionalFormatting sqref="M25:N25">
    <cfRule type="expression" dxfId="557" priority="89">
      <formula>$M$25&lt;&gt;0</formula>
    </cfRule>
  </conditionalFormatting>
  <conditionalFormatting sqref="J28:K28">
    <cfRule type="expression" dxfId="556" priority="88">
      <formula>$J$28&lt;&gt;0</formula>
    </cfRule>
  </conditionalFormatting>
  <conditionalFormatting sqref="M28:N28">
    <cfRule type="expression" dxfId="555" priority="87">
      <formula>$M$28&lt;&gt;0</formula>
    </cfRule>
  </conditionalFormatting>
  <conditionalFormatting sqref="L28">
    <cfRule type="expression" dxfId="554" priority="86">
      <formula>$J$28&lt;&gt;0</formula>
    </cfRule>
  </conditionalFormatting>
  <conditionalFormatting sqref="A100:A102">
    <cfRule type="expression" dxfId="553" priority="85">
      <formula>OR($J$28&lt;&gt;0,$M$28&lt;&gt;0)</formula>
    </cfRule>
  </conditionalFormatting>
  <conditionalFormatting sqref="A95:A98">
    <cfRule type="expression" dxfId="552" priority="84">
      <formula>OR($J$25&lt;&gt;0,$M$25&lt;&gt;0)</formula>
    </cfRule>
  </conditionalFormatting>
  <conditionalFormatting sqref="L55:M55">
    <cfRule type="expression" dxfId="551" priority="83">
      <formula>$N$69=TRUE</formula>
    </cfRule>
  </conditionalFormatting>
  <conditionalFormatting sqref="AA13:AC13">
    <cfRule type="expression" dxfId="550" priority="58">
      <formula>AND($AC$11&lt;&gt;"",$AC$11&lt;$Z$11)</formula>
    </cfRule>
    <cfRule type="expression" dxfId="549" priority="82">
      <formula>AND($AB$14&gt;12,$AC$11&lt;&gt;"")</formula>
    </cfRule>
  </conditionalFormatting>
  <conditionalFormatting sqref="AG13:AI13">
    <cfRule type="expression" dxfId="548" priority="81">
      <formula>AND($AH$14&gt;12,$AI$11&lt;&gt;"")</formula>
    </cfRule>
  </conditionalFormatting>
  <conditionalFormatting sqref="U51">
    <cfRule type="expression" dxfId="547" priority="77">
      <formula>AND($M$45&lt;&gt;0,$J$45&lt;$M$45)</formula>
    </cfRule>
    <cfRule type="expression" dxfId="546" priority="80">
      <formula>$M$45=0</formula>
    </cfRule>
  </conditionalFormatting>
  <conditionalFormatting sqref="Z35">
    <cfRule type="expression" dxfId="545" priority="79">
      <formula>$Z$35="Error, Correct Dates"</formula>
    </cfRule>
  </conditionalFormatting>
  <conditionalFormatting sqref="AF35">
    <cfRule type="expression" dxfId="544" priority="78">
      <formula>OR($AF$35="Error, Correct Dates",$AF$35="Error, Move Most Recent Filed Returns To Left Column on the 1065 Worksheet")</formula>
    </cfRule>
  </conditionalFormatting>
  <conditionalFormatting sqref="J45:K45">
    <cfRule type="expression" dxfId="543" priority="76">
      <formula>AND($F$54&lt;12,$F$54&lt;&gt;"")</formula>
    </cfRule>
  </conditionalFormatting>
  <conditionalFormatting sqref="M45:N45">
    <cfRule type="expression" dxfId="542" priority="75">
      <formula>AND($D$54&lt;12,$D$54&lt;&gt;"")</formula>
    </cfRule>
  </conditionalFormatting>
  <conditionalFormatting sqref="H45">
    <cfRule type="expression" dxfId="541" priority="74">
      <formula>OR($G$54="",$G$54=12,$G$54=24)</formula>
    </cfRule>
  </conditionalFormatting>
  <conditionalFormatting sqref="U53">
    <cfRule type="expression" dxfId="540" priority="93">
      <formula>OR(AND($AF$45=0,$Z$45&lt;$J$45),AND($AF$45&lt;&gt;0,$AF$45&lt;$J$45))</formula>
    </cfRule>
  </conditionalFormatting>
  <conditionalFormatting sqref="AK60:AK61">
    <cfRule type="expression" dxfId="539" priority="94">
      <formula>AND($AF$45&lt;&gt;0,$AF$45&lt;$J$48)</formula>
    </cfRule>
  </conditionalFormatting>
  <conditionalFormatting sqref="U55">
    <cfRule type="expression" dxfId="538" priority="95">
      <formula>AND($AF$45&lt;&gt;0,$Z$45&lt;$AF$45)</formula>
    </cfRule>
  </conditionalFormatting>
  <conditionalFormatting sqref="B53:C53">
    <cfRule type="expression" dxfId="537" priority="72">
      <formula>AND($B$53="",$D$53&lt;&gt;"")</formula>
    </cfRule>
  </conditionalFormatting>
  <conditionalFormatting sqref="D53">
    <cfRule type="expression" dxfId="536" priority="71">
      <formula>AND($D$53="",$B$53&lt;&gt;"")</formula>
    </cfRule>
  </conditionalFormatting>
  <conditionalFormatting sqref="E53">
    <cfRule type="expression" dxfId="535" priority="70">
      <formula>AND($E$53="",$F$53&lt;&gt;"")</formula>
    </cfRule>
  </conditionalFormatting>
  <conditionalFormatting sqref="F53">
    <cfRule type="expression" dxfId="534" priority="69">
      <formula>AND($F$53="",$E$53&lt;&gt;"")</formula>
    </cfRule>
  </conditionalFormatting>
  <conditionalFormatting sqref="Q13:U14">
    <cfRule type="expression" dxfId="533" priority="68">
      <formula>OR($Q$13="Most recent Filed returns must be entered in the left column on the 1065 Worksheet and year updated at top.",$Q$13="Error, Tax Years and P&amp;L years are not entered correctly; see the Instructions tab under P&amp;L's")</formula>
    </cfRule>
  </conditionalFormatting>
  <conditionalFormatting sqref="A58:B61">
    <cfRule type="expression" dxfId="532" priority="66">
      <formula>AND(OR($F$49=12,$F$49=24,$F$49=0),$J$45&lt;&gt;0,$M$45&lt;&gt;0,$J$45&lt;$M$45)</formula>
    </cfRule>
    <cfRule type="expression" dxfId="531" priority="67">
      <formula>AND($J$45&lt;&gt;0,$M$45&lt;&gt;0,$J$45&lt;$M$45)</formula>
    </cfRule>
  </conditionalFormatting>
  <conditionalFormatting sqref="H63:O64">
    <cfRule type="expression" dxfId="530" priority="65">
      <formula>AND(A71&lt;&gt;"1120S",A71&lt;&gt;"1120S (2)",A71&lt;&gt;"1120S (3)",A71&lt;&gt;"1120S (4)",A71&lt;&gt;"1120S (5)",A71&lt;&gt;"1120S (6)",A71&lt;&gt;"1120S (7)",A71&lt;&gt;"1120S (8)")</formula>
    </cfRule>
  </conditionalFormatting>
  <conditionalFormatting sqref="J12:K13 M12:N13 C13:G13 J16:K18 M16:N18 C18:G18 J25:K33 M25:N33 J35:K35 M35:N35 C33:G33">
    <cfRule type="expression" dxfId="529" priority="64">
      <formula>$O$68=TRUE</formula>
    </cfRule>
  </conditionalFormatting>
  <conditionalFormatting sqref="A11:I11 A32:N33 A31:B31 I31:N31 G31 M38 A16:B17 J16:N17 A18:K19 A24:D24 N24 K24:L24 M18:N19 O25 O29:O31 A15:E15 I15:N15 A25:N30 A12:N14 A35:B36 A34:H34 J34:N36">
    <cfRule type="expression" dxfId="528" priority="40">
      <formula>$O$68=TRUE</formula>
    </cfRule>
  </conditionalFormatting>
  <conditionalFormatting sqref="J8 C46 J11:K11 M11:N11 B53:F53 F49 A58:B61">
    <cfRule type="expression" dxfId="527" priority="62">
      <formula>$O$68=TRUE</formula>
    </cfRule>
  </conditionalFormatting>
  <conditionalFormatting sqref="J5:O9">
    <cfRule type="expression" dxfId="526" priority="61">
      <formula>$O$68=TRUE</formula>
    </cfRule>
  </conditionalFormatting>
  <conditionalFormatting sqref="Z15:AD15">
    <cfRule type="expression" dxfId="525" priority="60">
      <formula>$Z$15&lt;&gt;""</formula>
    </cfRule>
  </conditionalFormatting>
  <conditionalFormatting sqref="Z10:AB10 Z11:AA11">
    <cfRule type="expression" dxfId="524" priority="59">
      <formula>$Z$10&lt;&gt;$W$12</formula>
    </cfRule>
  </conditionalFormatting>
  <conditionalFormatting sqref="M11:N13 M16:N18 M25:N33 M35:N35 B53:D53">
    <cfRule type="expression" dxfId="523" priority="57" stopIfTrue="1">
      <formula>$O$69=TRUE</formula>
    </cfRule>
  </conditionalFormatting>
  <conditionalFormatting sqref="M10:N10">
    <cfRule type="expression" dxfId="522" priority="56">
      <formula>$O$69=TRUE</formula>
    </cfRule>
  </conditionalFormatting>
  <conditionalFormatting sqref="A31:I31 L31 O31">
    <cfRule type="expression" dxfId="521" priority="55">
      <formula>$O$1=2</formula>
    </cfRule>
  </conditionalFormatting>
  <conditionalFormatting sqref="J31:K31 M31:N31">
    <cfRule type="expression" dxfId="520" priority="54">
      <formula>$O$1=2</formula>
    </cfRule>
  </conditionalFormatting>
  <conditionalFormatting sqref="O12">
    <cfRule type="expression" dxfId="519" priority="52">
      <formula>$O$68=TRUE</formula>
    </cfRule>
  </conditionalFormatting>
  <conditionalFormatting sqref="K46">
    <cfRule type="expression" dxfId="518" priority="96">
      <formula>$M$45=0</formula>
    </cfRule>
    <cfRule type="expression" dxfId="517" priority="97">
      <formula>AND($J$45&lt;&gt;0,$M$45&lt;&gt;0,$J$45&lt;$M$45)</formula>
    </cfRule>
    <cfRule type="expression" dxfId="516" priority="98">
      <formula>AND(OR($F$49=12,$F$49=24,$F$49=0),$J$45&lt;&gt;0,$M$45&lt;&gt;0,$J$45&lt;$M$45)</formula>
    </cfRule>
  </conditionalFormatting>
  <conditionalFormatting sqref="C59:M59">
    <cfRule type="expression" dxfId="515" priority="99">
      <formula>OR(AND($J$45&lt;&gt;0,$M$45&lt;&gt;0,$J$45&lt;$M$45,$N$70=FALSE,$F$49&gt;0), AND($J$45&lt;&gt;0,$M$45&lt;&gt;0,$J$45&lt;$M$45,$N$70=TRUE,$F$49&gt;12),AND($J$45&lt;&gt;0,$M$45&lt;&gt;0,$J$45&lt;$M$45,$F$49&gt;12),AND($J$45&lt;&gt;0,$M$45&lt;&gt;0,$J$45&gt;$M$45,$F$49&lt;&gt;$G$53,$F$49&lt;&gt;""),AND($J$45&lt;&gt;0,$M$45&lt;&gt;0,$M$45=$J$45,$F$49&gt;12,$F$49&lt;&gt;"",$N$70=TRUE),AND($J$45&lt;&gt;0,$M$45&lt;&gt;0,$M$45=$J$45,$F$49&lt;&gt;$G$53,$F$49&lt;&gt;"",$N$70=FALSE),AND($J$45&lt;&gt;0,$M$45&lt;&gt;0,$J$45&gt;$M$45,$N$70=TRUE),AND($J$45&lt;&gt;0,$M$45&lt;&gt;$J$45&lt;$M$45,$F$49&lt;&gt;"",$N$70=FALSE),AND($J$45&lt;&gt;0,$M$45&lt;&gt;0,$J$45=$M$45,$F$49=12,$F$49&lt;&gt;"",$N$70=FALSE),AND($J$45&lt;&gt;0,$M$45&lt;&gt;0,$J$45=$M$45,$F$49=$G$53,$F$49&lt;&gt;"",$F$49&lt;&gt;12,$N$70=TRUE),AND($J$45&lt;&gt;0,$M$45&lt;&gt;0,$J$45&lt;$M$45,$F$49&lt;&gt;"",$N$70&lt;&gt;TRUE))</formula>
    </cfRule>
  </conditionalFormatting>
  <conditionalFormatting sqref="M38">
    <cfRule type="expression" dxfId="514" priority="100">
      <formula>$M$38&lt;&gt;""</formula>
    </cfRule>
  </conditionalFormatting>
  <conditionalFormatting sqref="A37:A43">
    <cfRule type="expression" dxfId="513" priority="51">
      <formula>$O$68=TRUE</formula>
    </cfRule>
  </conditionalFormatting>
  <conditionalFormatting sqref="H60:O62">
    <cfRule type="expression" dxfId="512" priority="101">
      <formula>AND($O$1&lt;&gt;2,$K$38&gt;0)</formula>
    </cfRule>
  </conditionalFormatting>
  <conditionalFormatting sqref="K40:L40">
    <cfRule type="expression" dxfId="511" priority="48">
      <formula>AND(O68&lt;&gt;TRUE,N1="Conventional",K40="N/A",$K$38&gt;0)</formula>
    </cfRule>
    <cfRule type="expression" dxfId="510" priority="49">
      <formula>$K$40="N/A"</formula>
    </cfRule>
    <cfRule type="expression" dxfId="509" priority="50">
      <formula>$K$40="Pass"</formula>
    </cfRule>
  </conditionalFormatting>
  <conditionalFormatting sqref="F49">
    <cfRule type="expression" dxfId="508" priority="102">
      <formula>AND($O$69=TRUE,$F$49&gt;12)</formula>
    </cfRule>
    <cfRule type="expression" dxfId="507" priority="103">
      <formula>OR(AND($J$45&lt;&gt;0,$M$45&lt;&gt;0,$J$45&lt;$M$45,$F$49&gt;12),AND($J$45&lt;&gt;0,$M$45&lt;&gt;0,$J$45&gt;$M$45,$F$49&lt;&gt;$G$53,$F$49&lt;&gt;""),AND($J$45&lt;&gt;0,$M$45&lt;&gt;0,$M$45=$J$45,$F$45&gt;12,$F$49&lt;&gt;"",$N$70=TRUE),AND($J$45&lt;&gt;0,$M$45&lt;&gt;0,$M$45=$J$45,$F$49&lt;&gt;$G$53,$F$49&lt;&gt;"",$N$70=FALSE))</formula>
    </cfRule>
  </conditionalFormatting>
  <conditionalFormatting sqref="K46:M46">
    <cfRule type="expression" dxfId="506" priority="104">
      <formula>OR(AND($J$45&lt;&gt;0,$M$45&lt;&gt;0,$J$45&lt;$M$45,$N$70=FALSE,$F$49&gt;0), AND($J$45&lt;&gt;0,$M$45&lt;&gt;0,$J$45&lt;$M$45,$N$70=TRUE,$F$49&gt;12))</formula>
    </cfRule>
  </conditionalFormatting>
  <conditionalFormatting sqref="C46">
    <cfRule type="expression" dxfId="505" priority="105" stopIfTrue="1">
      <formula>$O$69=TRUE</formula>
    </cfRule>
    <cfRule type="expression" dxfId="504" priority="106">
      <formula>AND($J$45&lt;&gt;0,$M$45&lt;&gt;0,$J$45=$M$45,$F$49=$G$53,$F$49&lt;&gt;"",$F$49&lt;&gt;12,$N$70=TRUE)</formula>
    </cfRule>
    <cfRule type="expression" dxfId="503" priority="107">
      <formula>OR(AND($J$45&lt;&gt;0,$M$45&lt;&gt;0,$J$45&gt;$M$45,$N$70=TRUE),AND($J$45&lt;&gt;0,$M$45&lt;&gt;$J$45&lt;$M$45,$F$49&lt;&gt;"",$N$70=FALSE),AND($J$45&lt;&gt;0,$M$45&lt;&gt;0,$J$45=$M$45,$F$49=12,$F$49&lt;&gt;"",$N$70=FALSE),AND($J$45&lt;&gt;0,$M$45&lt;&gt;0,$J$45&lt;$M$45,$F$49&lt;&gt;"",$N$70&lt;&gt;TRUE))</formula>
    </cfRule>
    <cfRule type="expression" dxfId="502" priority="108">
      <formula>AND($J$45&lt;&gt;0,$M$45&lt;&gt;0,$J$45&lt;$M$45)</formula>
    </cfRule>
  </conditionalFormatting>
  <conditionalFormatting sqref="O28">
    <cfRule type="expression" dxfId="501" priority="111">
      <formula>$O$68=TRUE</formula>
    </cfRule>
    <cfRule type="expression" dxfId="500" priority="112">
      <formula>$M$28&lt;&gt;0</formula>
    </cfRule>
  </conditionalFormatting>
  <conditionalFormatting sqref="J35:K35">
    <cfRule type="expression" dxfId="499" priority="27">
      <formula>$H$34&lt;&gt;""</formula>
    </cfRule>
    <cfRule type="expression" dxfId="498" priority="113">
      <formula>AND(OR($J$19&lt;&gt;0,$J$34&lt;&gt;0),$M$38&lt;&gt;"",$J$35=0)</formula>
    </cfRule>
  </conditionalFormatting>
  <conditionalFormatting sqref="M35:N35">
    <cfRule type="expression" dxfId="497" priority="114">
      <formula>AND(OR($M$19&lt;&gt;0,$M$34&lt;&gt;0),$M$38&lt;&gt;"",$M$35=0,$O$69&lt;&gt;TRUE)</formula>
    </cfRule>
  </conditionalFormatting>
  <conditionalFormatting sqref="D24">
    <cfRule type="expression" dxfId="496" priority="45">
      <formula>AND($N$1="Conventional",$M$35&gt;0,$M$35&lt;0.25)</formula>
    </cfRule>
    <cfRule type="expression" dxfId="495" priority="46">
      <formula>AND($N$1="Conventional",$J$35&gt;0,$J$35&lt;0.25)</formula>
    </cfRule>
  </conditionalFormatting>
  <conditionalFormatting sqref="B45:G45">
    <cfRule type="expression" dxfId="494" priority="44">
      <formula>$B$45&lt;&gt;""</formula>
    </cfRule>
  </conditionalFormatting>
  <conditionalFormatting sqref="L25">
    <cfRule type="expression" dxfId="493" priority="43">
      <formula>$O$1=2</formula>
    </cfRule>
  </conditionalFormatting>
  <conditionalFormatting sqref="L12">
    <cfRule type="expression" dxfId="492" priority="42">
      <formula>$O$1=2</formula>
    </cfRule>
  </conditionalFormatting>
  <conditionalFormatting sqref="B42">
    <cfRule type="expression" dxfId="491" priority="36">
      <formula>$O$1=2</formula>
    </cfRule>
  </conditionalFormatting>
  <conditionalFormatting sqref="J43">
    <cfRule type="expression" dxfId="490" priority="37">
      <formula>$O$1=2</formula>
    </cfRule>
    <cfRule type="expression" dxfId="489" priority="38">
      <formula>$J$43&lt;&gt;""</formula>
    </cfRule>
  </conditionalFormatting>
  <conditionalFormatting sqref="J42:K42">
    <cfRule type="expression" dxfId="488" priority="34">
      <formula>$O$1=2</formula>
    </cfRule>
    <cfRule type="expression" dxfId="487" priority="35">
      <formula>$K$40&lt;&gt;"FAIL"</formula>
    </cfRule>
  </conditionalFormatting>
  <conditionalFormatting sqref="B42:H42">
    <cfRule type="expression" dxfId="486" priority="33">
      <formula>$K$40&lt;&gt;"FAIL"</formula>
    </cfRule>
  </conditionalFormatting>
  <conditionalFormatting sqref="M42:N42">
    <cfRule type="expression" dxfId="485" priority="29">
      <formula>$O$1=2</formula>
    </cfRule>
    <cfRule type="expression" dxfId="484" priority="32">
      <formula>$K$40&lt;&gt;"FAIL"</formula>
    </cfRule>
  </conditionalFormatting>
  <conditionalFormatting sqref="M43:N43">
    <cfRule type="expression" dxfId="483" priority="30">
      <formula>$O$1=2</formula>
    </cfRule>
    <cfRule type="expression" dxfId="482" priority="31">
      <formula>$M$43&lt;&gt;""</formula>
    </cfRule>
  </conditionalFormatting>
  <conditionalFormatting sqref="A37:N40 A42:N42 A41:I41 L41">
    <cfRule type="expression" dxfId="481" priority="26">
      <formula>$O$68=TRUE</formula>
    </cfRule>
  </conditionalFormatting>
  <conditionalFormatting sqref="H34:I36">
    <cfRule type="expression" dxfId="480" priority="28">
      <formula>$H$34&lt;&gt;""</formula>
    </cfRule>
  </conditionalFormatting>
  <conditionalFormatting sqref="M38:N40">
    <cfRule type="expression" dxfId="479" priority="53" stopIfTrue="1">
      <formula>$M$38="Test not currently required based on lines 4 - 18"</formula>
    </cfRule>
  </conditionalFormatting>
  <conditionalFormatting sqref="M38:N40 D24:I24">
    <cfRule type="expression" dxfId="478" priority="25">
      <formula>$O$68=TRUE</formula>
    </cfRule>
  </conditionalFormatting>
  <conditionalFormatting sqref="B42:H42 J42:K42 M42:N42">
    <cfRule type="expression" dxfId="477" priority="24">
      <formula>$K$38=0</formula>
    </cfRule>
  </conditionalFormatting>
  <conditionalFormatting sqref="M43:N43 J43:K43">
    <cfRule type="expression" dxfId="476" priority="23">
      <formula>$K$38=0</formula>
    </cfRule>
  </conditionalFormatting>
  <conditionalFormatting sqref="AD49:AI49">
    <cfRule type="expression" dxfId="475" priority="22">
      <formula>$AD$47=""</formula>
    </cfRule>
  </conditionalFormatting>
  <conditionalFormatting sqref="R63:V65">
    <cfRule type="expression" dxfId="474" priority="21">
      <formula>$R$63&lt;&gt;""</formula>
    </cfRule>
  </conditionalFormatting>
  <conditionalFormatting sqref="D60:G63">
    <cfRule type="expression" dxfId="473" priority="20">
      <formula>$D$60&lt;&gt;""</formula>
    </cfRule>
  </conditionalFormatting>
  <conditionalFormatting sqref="U53:AJ54">
    <cfRule type="expression" dxfId="472" priority="15">
      <formula>$U$53="No Change"</formula>
    </cfRule>
    <cfRule type="expression" dxfId="471" priority="16">
      <formula>AND(N1="FHA",Y49&lt;&gt;0,Z45&lt;&gt;0,Z45&lt;Y49)</formula>
    </cfRule>
    <cfRule type="expression" dxfId="470" priority="19">
      <formula>AND(N1="FHA",Y49&lt;&gt;0,Z45&lt;&gt;0,Z45&gt;Y49)</formula>
    </cfRule>
  </conditionalFormatting>
  <conditionalFormatting sqref="U55:AJ55">
    <cfRule type="expression" dxfId="469" priority="13">
      <formula>$U$55="No Change"</formula>
    </cfRule>
    <cfRule type="expression" dxfId="468" priority="14">
      <formula>AND(N1="FHA",Y49&lt;&gt;0,AF45&lt;&gt;0,AF45&lt;Y49)</formula>
    </cfRule>
    <cfRule type="expression" dxfId="467" priority="18">
      <formula>AND(N1="FHA",Y49&lt;&gt;0,AF45&lt;&gt;0,AF45&gt;Y49)</formula>
    </cfRule>
  </conditionalFormatting>
  <conditionalFormatting sqref="U56:AK56">
    <cfRule type="expression" dxfId="466" priority="11">
      <formula>$U$56="No Change"</formula>
    </cfRule>
    <cfRule type="expression" dxfId="465" priority="12">
      <formula>AND(N1="FHA",Y49&lt;&gt;0,Z45&lt;&gt;0,AF45&lt;&gt;0,Z45&lt;AD49)</formula>
    </cfRule>
    <cfRule type="expression" dxfId="464" priority="17">
      <formula>AND(N1="FHA",Y49&lt;&gt;0,Z45&lt;&gt;0,AF45&lt;&gt;0,Z45&gt;AD49)</formula>
    </cfRule>
  </conditionalFormatting>
  <conditionalFormatting sqref="V49:W49">
    <cfRule type="expression" dxfId="463" priority="10">
      <formula>$V$47=""</formula>
    </cfRule>
  </conditionalFormatting>
  <conditionalFormatting sqref="N2:N3">
    <cfRule type="expression" dxfId="462" priority="9">
      <formula>$M$69=TRUE</formula>
    </cfRule>
  </conditionalFormatting>
  <conditionalFormatting sqref="K4:N4">
    <cfRule type="expression" dxfId="461" priority="8">
      <formula>AND($N$1&lt;&gt;"Conventional",$N$1&lt;&gt;"Other")</formula>
    </cfRule>
  </conditionalFormatting>
  <conditionalFormatting sqref="K2:M2">
    <cfRule type="expression" dxfId="460" priority="6">
      <formula>AND($M$69=TRUE,$N$2&lt;&gt;"")</formula>
    </cfRule>
    <cfRule type="expression" dxfId="459" priority="7">
      <formula>AND($M$69=TRUE,$N$2="")</formula>
    </cfRule>
  </conditionalFormatting>
  <conditionalFormatting sqref="K3">
    <cfRule type="expression" dxfId="458" priority="3">
      <formula>AND($M$69=TRUE,$N$2&lt;&gt;"")</formula>
    </cfRule>
    <cfRule type="expression" dxfId="457" priority="5">
      <formula>AND($M$69=TRUE,$N$2="")</formula>
    </cfRule>
  </conditionalFormatting>
  <conditionalFormatting sqref="L3:M3">
    <cfRule type="expression" dxfId="456" priority="2">
      <formula>AND($M$69=TRUE,$N$2&lt;&gt;"")</formula>
    </cfRule>
    <cfRule type="expression" dxfId="455" priority="4">
      <formula>AND($M$69=TRUE,$N$2="")</formula>
    </cfRule>
  </conditionalFormatting>
  <conditionalFormatting sqref="K2:N3">
    <cfRule type="expression" dxfId="454" priority="1">
      <formula>AND($N$1&lt;&gt;"Conventional",$N$1&lt;&gt;"Other")</formula>
    </cfRule>
  </conditionalFormatting>
  <dataValidations disablePrompts="1" count="4">
    <dataValidation type="list" allowBlank="1" showInputMessage="1" showErrorMessage="1" sqref="K40:L40" xr:uid="{A555F8F0-6D73-4B0C-A1C4-FB62DDCB67C9}">
      <formula1>"Pass,Fail,N/A"</formula1>
    </dataValidation>
    <dataValidation type="list" allowBlank="1" showInputMessage="1" showErrorMessage="1" sqref="H40" xr:uid="{92CCDADC-B255-4215-8655-44E8082B5B17}">
      <formula1>"Pass,Fail"</formula1>
    </dataValidation>
    <dataValidation type="decimal" operator="greaterThanOrEqual" allowBlank="1" showInputMessage="1" showErrorMessage="1" errorTitle="Invalid Entry" error="A negative figure cannot be entered in this field.  The worksheet subtracts any amount entered in this field as it is for nonrecurring income that should be backed out of the cash flow. Please see worksheet instruction ***" sqref="J25:K25 M25:N25" xr:uid="{00000000-0002-0000-1200-000000000000}">
      <formula1>0</formula1>
    </dataValidation>
    <dataValidation type="list" allowBlank="1" showInputMessage="1" showErrorMessage="1" sqref="N2:N3" xr:uid="{D9645E4D-C95D-421A-8B8A-C7D118426039}">
      <formula1>$AL$1:$AL$3</formula1>
    </dataValidation>
  </dataValidations>
  <hyperlinks>
    <hyperlink ref="L3" r:id="rId1" location="P2131" xr:uid="{A81954A5-0F37-4EB9-A264-6715B0D6C022}"/>
    <hyperlink ref="M3" r:id="rId2" location="N" xr:uid="{5A1D1F97-5FE3-4BF9-9292-AA3DE58952A4}"/>
  </hyperlinks>
  <printOptions horizontalCentered="1"/>
  <pageMargins left="0.25" right="0.25" top="0.25" bottom="0.25" header="0.3" footer="0.3"/>
  <pageSetup paperSize="5" scale="89" fitToWidth="0" pageOrder="overThenDown" orientation="portrait" r:id="rId3"/>
  <rowBreaks count="1" manualBreakCount="1">
    <brk id="74" max="16383" man="1"/>
  </rowBreaks>
  <drawing r:id="rId4"/>
  <legacyDrawing r:id="rId5"/>
  <mc:AlternateContent xmlns:mc="http://schemas.openxmlformats.org/markup-compatibility/2006">
    <mc:Choice Requires="x14">
      <controls>
        <mc:AlternateContent xmlns:mc="http://schemas.openxmlformats.org/markup-compatibility/2006">
          <mc:Choice Requires="x14">
            <control shapeId="1201155" r:id="rId6" name="Check Box 3">
              <controlPr defaultSize="0" autoFill="0" autoLine="0" autoPict="0">
                <anchor moveWithCells="1">
                  <from>
                    <xdr:col>2</xdr:col>
                    <xdr:colOff>45720</xdr:colOff>
                    <xdr:row>44</xdr:row>
                    <xdr:rowOff>106680</xdr:rowOff>
                  </from>
                  <to>
                    <xdr:col>7</xdr:col>
                    <xdr:colOff>480060</xdr:colOff>
                    <xdr:row>46</xdr:row>
                    <xdr:rowOff>68580</xdr:rowOff>
                  </to>
                </anchor>
              </controlPr>
            </control>
          </mc:Choice>
        </mc:AlternateContent>
        <mc:AlternateContent xmlns:mc="http://schemas.openxmlformats.org/markup-compatibility/2006">
          <mc:Choice Requires="x14">
            <control shapeId="1201156" r:id="rId7" name="Check Box 4">
              <controlPr defaultSize="0" autoFill="0" autoLine="0" autoPict="0">
                <anchor moveWithCells="1">
                  <from>
                    <xdr:col>11</xdr:col>
                    <xdr:colOff>38100</xdr:colOff>
                    <xdr:row>55</xdr:row>
                    <xdr:rowOff>22860</xdr:rowOff>
                  </from>
                  <to>
                    <xdr:col>13</xdr:col>
                    <xdr:colOff>0</xdr:colOff>
                    <xdr:row>56</xdr:row>
                    <xdr:rowOff>22860</xdr:rowOff>
                  </to>
                </anchor>
              </controlPr>
            </control>
          </mc:Choice>
        </mc:AlternateContent>
        <mc:AlternateContent xmlns:mc="http://schemas.openxmlformats.org/markup-compatibility/2006">
          <mc:Choice Requires="x14">
            <control shapeId="1201164" r:id="rId8" name="Check Box 12">
              <controlPr defaultSize="0" autoFill="0" autoLine="0" autoPict="0">
                <anchor moveWithCells="1">
                  <from>
                    <xdr:col>10</xdr:col>
                    <xdr:colOff>68580</xdr:colOff>
                    <xdr:row>3</xdr:row>
                    <xdr:rowOff>213360</xdr:rowOff>
                  </from>
                  <to>
                    <xdr:col>10</xdr:col>
                    <xdr:colOff>281940</xdr:colOff>
                    <xdr:row>3</xdr:row>
                    <xdr:rowOff>403860</xdr:rowOff>
                  </to>
                </anchor>
              </controlPr>
            </control>
          </mc:Choice>
        </mc:AlternateContent>
        <mc:AlternateContent xmlns:mc="http://schemas.openxmlformats.org/markup-compatibility/2006">
          <mc:Choice Requires="x14">
            <control shapeId="1201165" r:id="rId9" name="Check Box 13">
              <controlPr defaultSize="0" autoFill="0" autoLine="0" autoPict="0">
                <anchor moveWithCells="1">
                  <from>
                    <xdr:col>10</xdr:col>
                    <xdr:colOff>68580</xdr:colOff>
                    <xdr:row>3</xdr:row>
                    <xdr:rowOff>15240</xdr:rowOff>
                  </from>
                  <to>
                    <xdr:col>10</xdr:col>
                    <xdr:colOff>281940</xdr:colOff>
                    <xdr:row>3</xdr:row>
                    <xdr:rowOff>213360</xdr:rowOff>
                  </to>
                </anchor>
              </controlPr>
            </control>
          </mc:Choice>
        </mc:AlternateContent>
        <mc:AlternateContent xmlns:mc="http://schemas.openxmlformats.org/markup-compatibility/2006">
          <mc:Choice Requires="x14">
            <control shapeId="1201166" r:id="rId10" name="Button 14">
              <controlPr defaultSize="0" print="0" autoFill="0" autoPict="0" macro="[0]!IW_Copy">
                <anchor moveWithCells="1" sizeWithCells="1">
                  <from>
                    <xdr:col>1</xdr:col>
                    <xdr:colOff>106680</xdr:colOff>
                    <xdr:row>0</xdr:row>
                    <xdr:rowOff>7620</xdr:rowOff>
                  </from>
                  <to>
                    <xdr:col>2</xdr:col>
                    <xdr:colOff>106680</xdr:colOff>
                    <xdr:row>1</xdr:row>
                    <xdr:rowOff>114300</xdr:rowOff>
                  </to>
                </anchor>
              </controlPr>
            </control>
          </mc:Choice>
        </mc:AlternateContent>
        <mc:AlternateContent xmlns:mc="http://schemas.openxmlformats.org/markup-compatibility/2006">
          <mc:Choice Requires="x14">
            <control shapeId="1201167" r:id="rId11" name="Button 15">
              <controlPr defaultSize="0" print="0" autoFill="0" autoPict="0" macro="[0]!IW_Home">
                <anchor moveWithCells="1" sizeWithCells="1">
                  <from>
                    <xdr:col>0</xdr:col>
                    <xdr:colOff>7620</xdr:colOff>
                    <xdr:row>0</xdr:row>
                    <xdr:rowOff>7620</xdr:rowOff>
                  </from>
                  <to>
                    <xdr:col>1</xdr:col>
                    <xdr:colOff>53340</xdr:colOff>
                    <xdr:row>1</xdr:row>
                    <xdr:rowOff>114300</xdr:rowOff>
                  </to>
                </anchor>
              </controlPr>
            </control>
          </mc:Choice>
        </mc:AlternateContent>
        <mc:AlternateContent xmlns:mc="http://schemas.openxmlformats.org/markup-compatibility/2006">
          <mc:Choice Requires="x14">
            <control shapeId="1201168" r:id="rId12" name="Button 16">
              <controlPr defaultSize="0" print="0" autoFill="0" autoPict="0" macro="[0]!SCorp_Clear">
                <anchor moveWithCells="1" sizeWithCells="1">
                  <from>
                    <xdr:col>2</xdr:col>
                    <xdr:colOff>160020</xdr:colOff>
                    <xdr:row>0</xdr:row>
                    <xdr:rowOff>7620</xdr:rowOff>
                  </from>
                  <to>
                    <xdr:col>3</xdr:col>
                    <xdr:colOff>304800</xdr:colOff>
                    <xdr:row>1</xdr:row>
                    <xdr:rowOff>114300</xdr:rowOff>
                  </to>
                </anchor>
              </controlPr>
            </control>
          </mc:Choice>
        </mc:AlternateContent>
        <mc:AlternateContent xmlns:mc="http://schemas.openxmlformats.org/markup-compatibility/2006">
          <mc:Choice Requires="x14">
            <control shapeId="1201169" r:id="rId13" name="Button 17">
              <controlPr defaultSize="0" print="0" autoFill="0" autoPict="0" macro="[0]!SCorp_OmitHide">
                <anchor moveWithCells="1" sizeWithCells="1">
                  <from>
                    <xdr:col>0</xdr:col>
                    <xdr:colOff>15240</xdr:colOff>
                    <xdr:row>1</xdr:row>
                    <xdr:rowOff>160020</xdr:rowOff>
                  </from>
                  <to>
                    <xdr:col>2</xdr:col>
                    <xdr:colOff>15240</xdr:colOff>
                    <xdr:row>1</xdr:row>
                    <xdr:rowOff>457200</xdr:rowOff>
                  </to>
                </anchor>
              </controlPr>
            </control>
          </mc:Choice>
        </mc:AlternateContent>
        <mc:AlternateContent xmlns:mc="http://schemas.openxmlformats.org/markup-compatibility/2006">
          <mc:Choice Requires="x14">
            <control shapeId="1201170" r:id="rId14" name="Check Box 18">
              <controlPr defaultSize="0" autoFill="0" autoLine="0" autoPict="0" macro="[0]!SCorp_ShowHidePL">
                <anchor moveWithCells="1">
                  <from>
                    <xdr:col>0</xdr:col>
                    <xdr:colOff>0</xdr:colOff>
                    <xdr:row>57</xdr:row>
                    <xdr:rowOff>22860</xdr:rowOff>
                  </from>
                  <to>
                    <xdr:col>0</xdr:col>
                    <xdr:colOff>152400</xdr:colOff>
                    <xdr:row>58</xdr:row>
                    <xdr:rowOff>15240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tabColor theme="3" tint="0.79998168889431442"/>
  </sheetPr>
  <dimension ref="A1:AM136"/>
  <sheetViews>
    <sheetView showGridLines="0" showRowColHeaders="0" showRuler="0" view="pageLayout" zoomScale="90" zoomScaleNormal="100" zoomScalePageLayoutView="90" workbookViewId="0">
      <selection activeCell="D6" sqref="D6:H6"/>
      <extLst>
        <ext xmlns:xlsdti="http://schemas.microsoft.com/office/spreadsheetml/2023/showDataTypeIcons" uri="{77bfe23e-c014-4d31-8a63-9c772dbf06b6}">
          <xlsdti:showDataTypeIcons visible="0"/>
        </ext>
      </extLst>
    </sheetView>
  </sheetViews>
  <sheetFormatPr defaultColWidth="9.109375" defaultRowHeight="14.4" x14ac:dyDescent="0.3"/>
  <cols>
    <col min="1" max="1" width="6.44140625" style="15" customWidth="1"/>
    <col min="2" max="2" width="5.88671875" customWidth="1"/>
    <col min="3" max="3" width="4.109375" customWidth="1"/>
    <col min="5" max="5" width="9.44140625" customWidth="1"/>
    <col min="6" max="6" width="9.109375" customWidth="1"/>
    <col min="7" max="7" width="9.33203125" customWidth="1"/>
    <col min="8" max="8" width="6.88671875" customWidth="1"/>
    <col min="9" max="9" width="1.33203125" customWidth="1"/>
    <col min="10" max="10" width="8.44140625" customWidth="1"/>
    <col min="11" max="11" width="8.109375" customWidth="1"/>
    <col min="12" max="12" width="9.109375" customWidth="1"/>
    <col min="13" max="13" width="8.6640625" customWidth="1"/>
    <col min="14" max="14" width="8.21875" customWidth="1"/>
    <col min="15" max="15" width="2.77734375" customWidth="1"/>
    <col min="16" max="16" width="4.77734375" hidden="1" customWidth="1"/>
    <col min="17" max="17" width="5" hidden="1" customWidth="1"/>
    <col min="18" max="18" width="4.44140625" hidden="1" customWidth="1"/>
    <col min="19" max="19" width="10.88671875" hidden="1" customWidth="1"/>
    <col min="20" max="20" width="11.109375" hidden="1" customWidth="1"/>
    <col min="21" max="21" width="11.33203125" hidden="1" customWidth="1"/>
    <col min="22" max="22" width="6.33203125" hidden="1" customWidth="1"/>
    <col min="23" max="23" width="5.109375" hidden="1" customWidth="1"/>
    <col min="24" max="24" width="16.77734375" hidden="1" customWidth="1"/>
    <col min="25" max="25" width="1.21875" hidden="1" customWidth="1"/>
    <col min="26" max="26" width="1.109375" hidden="1" customWidth="1"/>
    <col min="27" max="27" width="7.109375" hidden="1" customWidth="1"/>
    <col min="28" max="28" width="1" hidden="1" customWidth="1"/>
    <col min="29" max="29" width="7" hidden="1" customWidth="1"/>
    <col min="30" max="30" width="1" hidden="1" customWidth="1"/>
    <col min="31" max="31" width="5.77734375" hidden="1" customWidth="1"/>
    <col min="32" max="32" width="1.109375" hidden="1" customWidth="1"/>
    <col min="33" max="33" width="7" hidden="1" customWidth="1"/>
    <col min="34" max="34" width="1.21875" hidden="1" customWidth="1"/>
    <col min="35" max="35" width="7" hidden="1" customWidth="1"/>
    <col min="36" max="36" width="1.21875" hidden="1" customWidth="1"/>
    <col min="37" max="37" width="0.77734375" hidden="1" customWidth="1"/>
    <col min="38" max="38" width="16.77734375" hidden="1" customWidth="1"/>
    <col min="39" max="39" width="15.6640625" hidden="1" customWidth="1"/>
    <col min="40" max="40" width="28.5546875" customWidth="1"/>
  </cols>
  <sheetData>
    <row r="1" spans="1:39" x14ac:dyDescent="0.3">
      <c r="N1" s="47">
        <f>'I&amp;D Worksheet'!J8</f>
        <v>0</v>
      </c>
      <c r="O1" s="47">
        <f>IF(OR(N1="VA",N1="FHA",N1="USDA"),2,1)</f>
        <v>1</v>
      </c>
      <c r="P1" s="15"/>
      <c r="Q1" s="1791"/>
      <c r="R1" s="1791"/>
      <c r="S1" s="1791"/>
      <c r="AL1" s="1155"/>
    </row>
    <row r="2" spans="1:39" ht="36" customHeight="1" x14ac:dyDescent="0.5">
      <c r="B2" s="354"/>
      <c r="C2" s="354"/>
      <c r="D2" s="354"/>
      <c r="E2" s="354"/>
      <c r="F2" s="1321" t="s">
        <v>45</v>
      </c>
      <c r="G2" s="1321"/>
      <c r="H2" s="1321"/>
      <c r="I2" s="1321"/>
      <c r="J2" s="1321"/>
      <c r="K2" s="1969" t="s">
        <v>1397</v>
      </c>
      <c r="L2" s="2011"/>
      <c r="M2" s="2011"/>
      <c r="N2" s="2082"/>
      <c r="P2" s="1207" t="s">
        <v>803</v>
      </c>
      <c r="Q2" s="1207"/>
      <c r="R2" s="1207"/>
      <c r="S2" s="1207"/>
      <c r="T2" s="1207"/>
      <c r="U2" s="1207"/>
      <c r="V2" s="1207"/>
      <c r="W2" s="1207"/>
      <c r="X2" s="1207"/>
      <c r="Y2" s="1207"/>
      <c r="Z2" s="1207"/>
      <c r="AA2" s="1207"/>
      <c r="AB2" s="1207"/>
      <c r="AC2" s="1207"/>
      <c r="AD2" s="1207"/>
      <c r="AE2" s="1207"/>
      <c r="AF2" s="1207"/>
      <c r="AG2" s="1207"/>
      <c r="AH2" s="1207"/>
      <c r="AI2" s="1207"/>
      <c r="AJ2" s="1207"/>
      <c r="AK2" s="1207"/>
      <c r="AL2" s="1169" t="str">
        <f>IF(AND(OR(N1="Conventional",N1="Other"),M63=TRUE),"Yes, 1 yr returns confirmed","")</f>
        <v/>
      </c>
    </row>
    <row r="3" spans="1:39" ht="15" customHeight="1" x14ac:dyDescent="0.45">
      <c r="B3" s="355"/>
      <c r="C3" s="355"/>
      <c r="D3" s="355"/>
      <c r="E3" s="355"/>
      <c r="F3" s="1970" t="s">
        <v>44</v>
      </c>
      <c r="G3" s="1970"/>
      <c r="H3" s="1970"/>
      <c r="I3" s="1970"/>
      <c r="J3" s="1970"/>
      <c r="K3" s="1150" t="s">
        <v>1375</v>
      </c>
      <c r="L3" s="1171" t="s">
        <v>941</v>
      </c>
      <c r="M3" s="1172" t="s">
        <v>942</v>
      </c>
      <c r="N3" s="2082"/>
      <c r="P3" s="1207"/>
      <c r="Q3" s="1207"/>
      <c r="R3" s="1207"/>
      <c r="S3" s="1207"/>
      <c r="T3" s="1207"/>
      <c r="U3" s="1207"/>
      <c r="V3" s="1207"/>
      <c r="W3" s="1207"/>
      <c r="X3" s="1207"/>
      <c r="Y3" s="1207"/>
      <c r="Z3" s="1207"/>
      <c r="AA3" s="1207"/>
      <c r="AB3" s="1207"/>
      <c r="AC3" s="1207"/>
      <c r="AD3" s="1207"/>
      <c r="AE3" s="1207"/>
      <c r="AF3" s="1207"/>
      <c r="AG3" s="1207"/>
      <c r="AH3" s="1207"/>
      <c r="AI3" s="1207"/>
      <c r="AJ3" s="1207"/>
      <c r="AK3" s="1207"/>
      <c r="AL3" s="1169" t="str">
        <f>IF(AND(OR(N1="Conventional",N1="Other"),M63=TRUE),"No","")</f>
        <v/>
      </c>
    </row>
    <row r="4" spans="1:39" ht="31.8" customHeight="1" x14ac:dyDescent="0.3">
      <c r="A4"/>
      <c r="F4" s="1970"/>
      <c r="G4" s="1970"/>
      <c r="H4" s="1970"/>
      <c r="I4" s="1970"/>
      <c r="J4" s="1970"/>
      <c r="K4" s="2050" t="s">
        <v>1236</v>
      </c>
      <c r="L4" s="1923"/>
      <c r="M4" s="1923"/>
      <c r="N4" s="1923"/>
      <c r="O4" s="8"/>
      <c r="P4" s="1791"/>
      <c r="Q4" s="1791"/>
      <c r="R4" s="1791"/>
      <c r="S4" s="1791"/>
      <c r="T4" s="1791"/>
      <c r="U4" s="1791"/>
      <c r="V4" s="1791"/>
      <c r="W4" s="1791"/>
      <c r="X4" s="1791"/>
      <c r="Y4" s="1791"/>
      <c r="Z4" s="1791"/>
      <c r="AD4" s="2"/>
      <c r="AE4" s="2"/>
      <c r="AF4" s="2"/>
      <c r="AG4" s="2"/>
      <c r="AH4" s="2"/>
      <c r="AI4" s="2"/>
      <c r="AJ4" s="2"/>
      <c r="AM4" s="476" t="s">
        <v>1394</v>
      </c>
    </row>
    <row r="5" spans="1:39" ht="7.2" customHeight="1" x14ac:dyDescent="0.3">
      <c r="A5"/>
      <c r="D5" s="2"/>
      <c r="E5" s="2"/>
      <c r="F5" s="2"/>
      <c r="G5" s="2"/>
      <c r="H5" s="2"/>
      <c r="I5" s="2"/>
      <c r="J5" s="1948" t="s">
        <v>1227</v>
      </c>
      <c r="K5" s="2175"/>
      <c r="L5" s="2175"/>
      <c r="M5" s="2175"/>
      <c r="N5" s="2175"/>
      <c r="O5" s="2175"/>
      <c r="S5" s="2"/>
      <c r="T5" s="2"/>
      <c r="U5" s="2"/>
      <c r="V5" s="2"/>
      <c r="W5" s="2"/>
      <c r="X5" s="2"/>
      <c r="Y5" s="2"/>
      <c r="Z5" s="2"/>
      <c r="AA5" s="2"/>
      <c r="AB5" s="2"/>
      <c r="AC5" s="2"/>
      <c r="AD5" s="2"/>
      <c r="AE5" s="2"/>
      <c r="AF5" s="2"/>
      <c r="AG5" s="2"/>
      <c r="AH5" s="2"/>
      <c r="AI5" s="2"/>
      <c r="AJ5" s="2"/>
    </row>
    <row r="6" spans="1:39" ht="15.6" x14ac:dyDescent="0.3">
      <c r="A6" s="1407" t="s">
        <v>37</v>
      </c>
      <c r="B6" s="1407"/>
      <c r="C6" s="1407"/>
      <c r="D6" s="1359"/>
      <c r="E6" s="1359"/>
      <c r="F6" s="1359"/>
      <c r="G6" s="1359"/>
      <c r="H6" s="1359"/>
      <c r="I6" s="46" t="str">
        <f>IF(D6="","",D6)</f>
        <v/>
      </c>
      <c r="J6" s="2175"/>
      <c r="K6" s="2175"/>
      <c r="L6" s="2175"/>
      <c r="M6" s="2175"/>
      <c r="N6" s="2175"/>
      <c r="O6" s="2175"/>
      <c r="P6" s="1407" t="s">
        <v>37</v>
      </c>
      <c r="Q6" s="1407"/>
      <c r="R6" s="1407"/>
      <c r="S6" s="1412" t="str">
        <f>IF(D6&lt;&gt;"",D6,"")</f>
        <v/>
      </c>
      <c r="T6" s="1412"/>
      <c r="U6" s="1412"/>
      <c r="V6" s="1412"/>
      <c r="W6" s="1412"/>
      <c r="X6" s="91"/>
      <c r="Y6" s="53"/>
      <c r="Z6" s="2"/>
      <c r="AA6" s="2"/>
      <c r="AB6" s="2"/>
      <c r="AC6" s="2"/>
      <c r="AD6" s="2"/>
      <c r="AE6" s="2"/>
      <c r="AF6" s="2"/>
      <c r="AG6" s="2"/>
      <c r="AH6" s="2"/>
      <c r="AI6" s="2"/>
      <c r="AJ6" s="2"/>
      <c r="AM6" s="1157" t="s">
        <v>1395</v>
      </c>
    </row>
    <row r="7" spans="1:39" ht="7.5" customHeight="1" x14ac:dyDescent="0.3">
      <c r="A7" s="4"/>
      <c r="B7" s="4"/>
      <c r="C7" s="4"/>
      <c r="D7" s="91"/>
      <c r="E7" s="91"/>
      <c r="F7" s="91"/>
      <c r="G7" s="91"/>
      <c r="H7" s="91"/>
      <c r="I7" s="2"/>
      <c r="J7" s="2174" t="s">
        <v>1229</v>
      </c>
      <c r="K7" s="1726"/>
      <c r="L7" s="1726"/>
      <c r="M7" s="1726"/>
      <c r="N7" s="1726"/>
      <c r="O7" s="1726"/>
      <c r="P7" s="4"/>
      <c r="Q7" s="4"/>
      <c r="R7" s="4"/>
      <c r="S7" s="10"/>
      <c r="T7" s="10"/>
      <c r="U7" s="10"/>
      <c r="V7" s="10"/>
      <c r="W7" s="10"/>
      <c r="X7" s="10"/>
      <c r="Y7" s="2"/>
      <c r="Z7" s="2"/>
      <c r="AA7" s="2"/>
      <c r="AB7" s="2"/>
      <c r="AC7" s="2"/>
      <c r="AD7" s="2"/>
      <c r="AE7" s="2"/>
      <c r="AF7" s="2"/>
      <c r="AG7" s="2"/>
      <c r="AH7" s="2"/>
      <c r="AI7" s="2"/>
      <c r="AJ7" s="2"/>
    </row>
    <row r="8" spans="1:39" ht="15.6" x14ac:dyDescent="0.3">
      <c r="A8" s="1407" t="s">
        <v>35</v>
      </c>
      <c r="B8" s="1407"/>
      <c r="C8" s="1407"/>
      <c r="D8" s="1359"/>
      <c r="E8" s="1359"/>
      <c r="F8" s="1359"/>
      <c r="G8" s="1359"/>
      <c r="H8" s="1359"/>
      <c r="I8" s="46" t="str">
        <f>IF(D8="","",D8)</f>
        <v/>
      </c>
      <c r="J8" s="1726"/>
      <c r="K8" s="1726"/>
      <c r="L8" s="1726"/>
      <c r="M8" s="1726"/>
      <c r="N8" s="1726"/>
      <c r="O8" s="1726"/>
      <c r="P8" s="1407" t="s">
        <v>35</v>
      </c>
      <c r="Q8" s="1407"/>
      <c r="R8" s="1407"/>
      <c r="S8" s="1412" t="str">
        <f>IF(D8&lt;&gt;"",D8,"")</f>
        <v/>
      </c>
      <c r="T8" s="1412"/>
      <c r="U8" s="1412"/>
      <c r="V8" s="1412"/>
      <c r="W8" s="1412"/>
      <c r="X8" s="91"/>
      <c r="Y8" s="2"/>
      <c r="Z8" s="46" t="str">
        <f>IF(S8="","",S8)</f>
        <v/>
      </c>
      <c r="AA8" s="46"/>
      <c r="AB8" s="46"/>
      <c r="AC8" s="46"/>
      <c r="AD8" s="2"/>
      <c r="AE8" s="2"/>
      <c r="AF8" s="2"/>
      <c r="AG8" s="2"/>
      <c r="AH8" s="2"/>
      <c r="AI8" s="2"/>
      <c r="AJ8" s="2"/>
    </row>
    <row r="9" spans="1:39" ht="16.5" customHeight="1" x14ac:dyDescent="0.3">
      <c r="A9"/>
      <c r="J9" s="1500">
        <f>IF(M64=1,J13,IF(M64=2,J13,J13))</f>
        <v>2025</v>
      </c>
      <c r="K9" s="1500"/>
      <c r="L9" s="36"/>
      <c r="M9" s="1500">
        <f>IF(M64=1,M13,IF(M64=2,M13,M13))</f>
        <v>2024</v>
      </c>
      <c r="N9" s="1500"/>
      <c r="AG9" s="36">
        <f>AF10-2000</f>
        <v>25</v>
      </c>
    </row>
    <row r="10" spans="1:39" s="74" customFormat="1" ht="17.25" customHeight="1" x14ac:dyDescent="0.35">
      <c r="C10" s="338" t="s">
        <v>769</v>
      </c>
      <c r="J10" s="2171"/>
      <c r="K10" s="2171"/>
      <c r="L10" s="341"/>
      <c r="M10" s="2172"/>
      <c r="N10" s="2172"/>
      <c r="P10" s="1174"/>
      <c r="Q10" s="1174"/>
      <c r="R10" s="2063" t="b">
        <v>0</v>
      </c>
      <c r="S10" s="1341" t="s">
        <v>1415</v>
      </c>
      <c r="T10" s="1341"/>
      <c r="U10" s="1341"/>
      <c r="V10" s="2"/>
      <c r="W10" s="2"/>
      <c r="X10" s="2"/>
      <c r="Y10" s="2"/>
      <c r="Z10" s="2041">
        <v>2026</v>
      </c>
      <c r="AA10" s="2041"/>
      <c r="AB10" s="2041"/>
      <c r="AC10" s="404" t="s">
        <v>816</v>
      </c>
      <c r="AD10" s="416"/>
      <c r="AE10" s="393"/>
      <c r="AF10" s="2042">
        <f>Z10-1</f>
        <v>2025</v>
      </c>
      <c r="AG10" s="2042"/>
      <c r="AH10" s="2042"/>
      <c r="AI10" s="436" t="s">
        <v>816</v>
      </c>
      <c r="AJ10" s="437"/>
      <c r="AK10"/>
    </row>
    <row r="11" spans="1:39" s="74" customFormat="1" ht="17.25" customHeight="1" x14ac:dyDescent="0.3">
      <c r="C11" s="338" t="s">
        <v>554</v>
      </c>
      <c r="H11" s="2168" t="str">
        <f>IF(F48="","Enter Start/End Dates Below",F48)</f>
        <v>Enter Start/End Dates Below</v>
      </c>
      <c r="I11" s="2168"/>
      <c r="J11" s="2168"/>
      <c r="K11" s="2168"/>
      <c r="L11" s="2168"/>
      <c r="M11" s="2167" t="str">
        <f>IF(D48="","",D48)</f>
        <v/>
      </c>
      <c r="N11" s="2167"/>
      <c r="P11" s="4"/>
      <c r="R11" s="2063"/>
      <c r="S11" s="2062" t="s">
        <v>1416</v>
      </c>
      <c r="T11" s="2062"/>
      <c r="U11" s="2062"/>
      <c r="V11" s="1419" t="s">
        <v>805</v>
      </c>
      <c r="W11" s="1419"/>
      <c r="X11" s="1419"/>
      <c r="Y11" s="186"/>
      <c r="Z11" s="2043">
        <v>46023</v>
      </c>
      <c r="AA11" s="2043"/>
      <c r="AB11" s="388"/>
      <c r="AC11" s="2043"/>
      <c r="AD11" s="2043"/>
      <c r="AE11" s="3"/>
      <c r="AF11" s="2043" t="str">
        <f>CONCATENATE("1/1/",AG9)</f>
        <v>1/1/25</v>
      </c>
      <c r="AG11" s="2043"/>
      <c r="AH11" s="388"/>
      <c r="AI11" s="2043" t="str">
        <f>CONCATENATE("12/31/",AG9)</f>
        <v>12/31/25</v>
      </c>
      <c r="AJ11" s="2043"/>
      <c r="AK11" s="3"/>
    </row>
    <row r="12" spans="1:39" ht="12" customHeight="1" x14ac:dyDescent="0.3">
      <c r="A12"/>
      <c r="J12" s="2169" t="s">
        <v>553</v>
      </c>
      <c r="K12" s="2169"/>
      <c r="L12" s="339"/>
      <c r="M12" s="2170" t="s">
        <v>553</v>
      </c>
      <c r="N12" s="2170"/>
      <c r="P12" s="4"/>
      <c r="Q12" s="2"/>
      <c r="R12" s="2"/>
      <c r="S12" s="2"/>
      <c r="T12" s="2"/>
      <c r="U12" s="2"/>
      <c r="V12" s="2"/>
      <c r="W12" s="732">
        <f>YEAR(Z11)</f>
        <v>2026</v>
      </c>
      <c r="X12" s="2"/>
      <c r="Y12" s="3"/>
      <c r="Z12" s="6"/>
      <c r="AA12" s="2059" t="s">
        <v>97</v>
      </c>
      <c r="AB12" s="2059"/>
      <c r="AC12" s="2059"/>
      <c r="AD12" s="389"/>
      <c r="AE12" s="2"/>
      <c r="AF12" s="389"/>
      <c r="AG12" s="2059" t="s">
        <v>97</v>
      </c>
      <c r="AH12" s="2059"/>
      <c r="AI12" s="2059"/>
      <c r="AJ12" s="6"/>
      <c r="AK12" s="3"/>
    </row>
    <row r="13" spans="1:39" ht="18.75" customHeight="1" x14ac:dyDescent="0.3">
      <c r="A13" s="2145" t="str">
        <f>IF(O62=TRUE," 'Total Adjusted Corporation Income (Form 1040/W2's+1120) from Vendor wkst:"," Form 1040/W2's:")</f>
        <v xml:space="preserve"> Form 1040/W2's:</v>
      </c>
      <c r="B13" s="2145"/>
      <c r="C13" s="2145"/>
      <c r="D13" s="2145"/>
      <c r="E13" s="2145"/>
      <c r="F13" s="2145"/>
      <c r="G13" s="2145"/>
      <c r="H13" s="2145"/>
      <c r="I13" s="2145"/>
      <c r="J13" s="1916">
        <v>2025</v>
      </c>
      <c r="K13" s="1916"/>
      <c r="L13" s="340"/>
      <c r="M13" s="2173">
        <f>J13-1</f>
        <v>2024</v>
      </c>
      <c r="N13" s="2173"/>
      <c r="Q13" s="2045" t="str">
        <f>IF(AND(AF34&lt;&gt;0,J40=0,M40&lt;&gt;0),"Most recent Filed returns must be entered in the left column on the 1065 Worksheet and year updated at top.",IF(AND(AF34&lt;&gt;0,AF10&lt;&gt;(J9+1)),"Error, Tax Years and P&amp;L years are not entered correctly; see the Instructions tab under P&amp;L's",IF(AND(AF34=0,Z34&lt;&gt;0,Z10&lt;&gt;(J9+1)),"Error, Tax Years and P&amp;L years are not entered correctly; see the Instructions tab under P&amp;L's","")))</f>
        <v/>
      </c>
      <c r="R13" s="2045"/>
      <c r="S13" s="2045"/>
      <c r="T13" s="2045"/>
      <c r="U13" s="2045"/>
      <c r="V13" s="401"/>
      <c r="W13" s="401"/>
      <c r="X13" s="2"/>
      <c r="Y13" s="3"/>
      <c r="Z13" s="6"/>
      <c r="AA13" s="2046" t="str">
        <f>IF(OR(Z11="",AC11=""),"=",CONCATENATE(ROUND(AC14,2)," Months"))</f>
        <v>=</v>
      </c>
      <c r="AB13" s="2046"/>
      <c r="AC13" s="2046"/>
      <c r="AE13" s="3"/>
      <c r="AF13" s="6"/>
      <c r="AG13" s="2046" t="str">
        <f>IF(OR(AF11="",AI11=""),"=",CONCATENATE(ROUND(AI14,2)," Months"))</f>
        <v>12 Months</v>
      </c>
      <c r="AH13" s="2046"/>
      <c r="AI13" s="2046"/>
      <c r="AK13" s="3"/>
    </row>
    <row r="14" spans="1:39" ht="15.6" x14ac:dyDescent="0.3">
      <c r="A14" s="4" t="s">
        <v>1</v>
      </c>
      <c r="B14" s="1701" t="s">
        <v>556</v>
      </c>
      <c r="C14" s="1701"/>
      <c r="D14" s="1701"/>
      <c r="E14" s="1701"/>
      <c r="F14" s="1831" t="str">
        <f>IF(M64=1,"W-2, Greater of Box 1, 3, or 5*","1125-E, Compensation to Borrower*")</f>
        <v>W-2, Greater of Box 1, 3, or 5*</v>
      </c>
      <c r="G14" s="1831"/>
      <c r="H14" s="1831"/>
      <c r="I14" s="1831"/>
      <c r="J14" s="1985"/>
      <c r="K14" s="1985"/>
      <c r="L14" s="3"/>
      <c r="M14" s="1985"/>
      <c r="N14" s="1985"/>
      <c r="O14" s="3"/>
      <c r="P14" s="401"/>
      <c r="Q14" s="2045"/>
      <c r="R14" s="2045"/>
      <c r="S14" s="2045"/>
      <c r="T14" s="2045"/>
      <c r="U14" s="2045"/>
      <c r="V14" s="401"/>
      <c r="W14" s="401"/>
      <c r="X14" s="2"/>
      <c r="Z14" s="11"/>
      <c r="AA14" s="220">
        <f>YEARFRAC(Z11,AC11+1,4)</f>
        <v>126</v>
      </c>
      <c r="AB14" s="394" t="str">
        <f>IF(OR(Z11="",AC11=""),"=",(ROUND(AC14,2)))</f>
        <v>=</v>
      </c>
      <c r="AC14" s="221">
        <f>AA14*12</f>
        <v>1512</v>
      </c>
      <c r="AD14" s="11"/>
      <c r="AE14" s="3"/>
      <c r="AF14" s="11"/>
      <c r="AG14" s="220">
        <f>YEARFRAC(AF11,AI11+1,4)</f>
        <v>1</v>
      </c>
      <c r="AH14" s="394">
        <f>IF(OR(AF11="",AI11=""),"=",(ROUND(AI14,2)))</f>
        <v>12</v>
      </c>
      <c r="AI14" s="221">
        <f>AG14*12</f>
        <v>12</v>
      </c>
      <c r="AJ14" s="11"/>
      <c r="AK14" s="3"/>
    </row>
    <row r="15" spans="1:39" ht="15.6" x14ac:dyDescent="0.3">
      <c r="A15" s="4" t="s">
        <v>2</v>
      </c>
      <c r="B15" s="2" t="s">
        <v>239</v>
      </c>
      <c r="C15" s="2080"/>
      <c r="D15" s="2080"/>
      <c r="E15" s="2080"/>
      <c r="F15" s="2080"/>
      <c r="G15" s="2080"/>
      <c r="H15" s="2"/>
      <c r="I15" s="3"/>
      <c r="J15" s="1957"/>
      <c r="K15" s="1957"/>
      <c r="L15" s="3"/>
      <c r="M15" s="1957"/>
      <c r="N15" s="1957"/>
      <c r="O15" s="3"/>
      <c r="P15" s="2027" t="s">
        <v>804</v>
      </c>
      <c r="Q15" s="2027"/>
      <c r="R15" s="2027"/>
      <c r="S15" s="2027"/>
      <c r="T15" s="419"/>
      <c r="U15" s="419"/>
      <c r="Z15" s="1517" t="str">
        <f>IF(Z10&lt;&gt;W12,"Error: Years don’t match",IF(AND(AC11&lt;&gt;"",AC11&lt;Z11),"Error: &lt; 1 day",IF(AND(AB14&gt;12,AC11&lt;&gt;""),"Error: &gt; 12 Mo","")))</f>
        <v/>
      </c>
      <c r="AA15" s="1517"/>
      <c r="AB15" s="1517"/>
      <c r="AC15" s="1517"/>
      <c r="AD15" s="1517"/>
      <c r="AE15" s="421"/>
      <c r="AF15" s="2028" t="str">
        <f>IF(AND(AH14&gt;12,AI11&lt;&gt;""),"Error: &gt; 12 Mo","")</f>
        <v/>
      </c>
      <c r="AG15" s="2028"/>
      <c r="AH15" s="2028"/>
      <c r="AI15" s="2028"/>
      <c r="AJ15" s="2028"/>
    </row>
    <row r="16" spans="1:39" ht="16.2" thickBot="1" x14ac:dyDescent="0.35">
      <c r="A16" s="4" t="s">
        <v>3</v>
      </c>
      <c r="B16" s="1427" t="s">
        <v>275</v>
      </c>
      <c r="C16" s="1427"/>
      <c r="D16" s="1427"/>
      <c r="E16" s="1427"/>
      <c r="F16" s="1427"/>
      <c r="G16" s="1427"/>
      <c r="H16" s="1427"/>
      <c r="I16" s="3"/>
      <c r="J16" s="2128">
        <f>J14+J15</f>
        <v>0</v>
      </c>
      <c r="K16" s="2128"/>
      <c r="L16" s="3"/>
      <c r="M16" s="2128">
        <f>IF(O63=TRUE,0,M14+M15)</f>
        <v>0</v>
      </c>
      <c r="N16" s="2128"/>
      <c r="O16" s="3"/>
      <c r="P16" s="4" t="s">
        <v>1</v>
      </c>
      <c r="Q16" s="2" t="s">
        <v>811</v>
      </c>
      <c r="R16" s="2"/>
      <c r="S16" s="2"/>
      <c r="T16" s="2"/>
      <c r="U16" s="2"/>
      <c r="V16" s="2"/>
      <c r="W16" s="2"/>
      <c r="X16" s="2"/>
      <c r="Y16" s="3"/>
      <c r="Z16" s="2126"/>
      <c r="AA16" s="2126"/>
      <c r="AB16" s="2126"/>
      <c r="AC16" s="2126"/>
      <c r="AD16" s="2126"/>
      <c r="AE16" s="3"/>
      <c r="AF16" s="2126"/>
      <c r="AG16" s="2126"/>
      <c r="AH16" s="2126"/>
      <c r="AI16" s="2126"/>
      <c r="AJ16" s="2126"/>
      <c r="AK16" s="3"/>
    </row>
    <row r="17" spans="1:37" ht="12.75" customHeight="1" thickTop="1" x14ac:dyDescent="0.3">
      <c r="A17" s="4"/>
      <c r="B17" s="2"/>
      <c r="C17" s="2"/>
      <c r="D17" s="2"/>
      <c r="E17" s="2"/>
      <c r="F17" s="2"/>
      <c r="G17" s="2"/>
      <c r="H17" s="2"/>
      <c r="I17" s="3"/>
      <c r="J17" s="11"/>
      <c r="K17" s="11"/>
      <c r="L17" s="3"/>
      <c r="M17" s="11"/>
      <c r="N17" s="11"/>
      <c r="O17" s="3"/>
      <c r="P17" s="4"/>
      <c r="Q17" s="2130" t="s">
        <v>1093</v>
      </c>
      <c r="R17" s="2130"/>
      <c r="S17" s="2130"/>
      <c r="T17" s="2130"/>
      <c r="U17" s="2130"/>
      <c r="V17" s="418"/>
      <c r="W17" s="2"/>
      <c r="X17" s="2"/>
      <c r="Y17" s="3"/>
      <c r="Z17" s="2127"/>
      <c r="AA17" s="2127"/>
      <c r="AB17" s="2127"/>
      <c r="AC17" s="2127"/>
      <c r="AD17" s="2127"/>
      <c r="AE17" s="3"/>
      <c r="AF17" s="2127"/>
      <c r="AG17" s="2127"/>
      <c r="AH17" s="2127"/>
      <c r="AI17" s="2127"/>
      <c r="AJ17" s="2127"/>
      <c r="AK17" s="3"/>
    </row>
    <row r="18" spans="1:37" ht="15.75" customHeight="1" x14ac:dyDescent="0.4">
      <c r="A18" s="4"/>
      <c r="C18" s="2105" t="s">
        <v>441</v>
      </c>
      <c r="D18" s="2105"/>
      <c r="E18" s="2105"/>
      <c r="F18" s="2105"/>
      <c r="G18" s="2105"/>
      <c r="H18" s="2105"/>
      <c r="I18" s="2105"/>
      <c r="J18" s="2105"/>
      <c r="K18" s="2105"/>
      <c r="L18" s="2105"/>
      <c r="M18" s="2105"/>
      <c r="O18" s="3"/>
      <c r="P18" s="4" t="s">
        <v>2</v>
      </c>
      <c r="Q18" s="2" t="s">
        <v>239</v>
      </c>
      <c r="R18" s="2080"/>
      <c r="S18" s="2080"/>
      <c r="T18" s="2080"/>
      <c r="U18" s="2080"/>
      <c r="V18" s="2080"/>
      <c r="W18" s="2"/>
      <c r="X18" s="2"/>
      <c r="Y18" s="3"/>
      <c r="Z18" s="1917"/>
      <c r="AA18" s="1917"/>
      <c r="AB18" s="1917"/>
      <c r="AC18" s="1917"/>
      <c r="AD18" s="1917"/>
      <c r="AE18" s="3"/>
      <c r="AF18" s="1917"/>
      <c r="AG18" s="1917"/>
      <c r="AH18" s="1917"/>
      <c r="AI18" s="1917"/>
      <c r="AJ18" s="1917"/>
      <c r="AK18" s="3"/>
    </row>
    <row r="19" spans="1:37" ht="7.5" customHeight="1" x14ac:dyDescent="0.3">
      <c r="A19" s="4"/>
      <c r="B19" s="2"/>
      <c r="C19" s="2"/>
      <c r="D19" s="2"/>
      <c r="E19" s="2"/>
      <c r="F19" s="2"/>
      <c r="G19" s="2"/>
      <c r="H19" s="2"/>
      <c r="I19" s="3"/>
      <c r="J19" s="11"/>
      <c r="K19" s="11"/>
      <c r="L19" s="3"/>
      <c r="M19" s="11"/>
      <c r="N19" s="11"/>
      <c r="O19" s="3"/>
      <c r="P19" s="2061" t="s">
        <v>3</v>
      </c>
      <c r="Q19" s="1809" t="s">
        <v>267</v>
      </c>
      <c r="R19" s="1809"/>
      <c r="S19" s="1809"/>
      <c r="T19" s="1809"/>
      <c r="U19" s="1809"/>
      <c r="V19" s="1809"/>
      <c r="W19" s="3"/>
      <c r="X19" s="3"/>
      <c r="Y19" s="3"/>
      <c r="Z19" s="2158">
        <f>Z16+Z18</f>
        <v>0</v>
      </c>
      <c r="AA19" s="2158"/>
      <c r="AB19" s="2158"/>
      <c r="AC19" s="2158"/>
      <c r="AD19" s="2158"/>
      <c r="AE19" s="3"/>
      <c r="AF19" s="2158">
        <f>AF16+AF18</f>
        <v>0</v>
      </c>
      <c r="AG19" s="2158"/>
      <c r="AH19" s="2158"/>
      <c r="AI19" s="2158"/>
      <c r="AJ19" s="2158"/>
      <c r="AK19" s="3"/>
    </row>
    <row r="20" spans="1:37" ht="16.2" thickBot="1" x14ac:dyDescent="0.35">
      <c r="A20" s="1398" t="s">
        <v>272</v>
      </c>
      <c r="B20" s="1398"/>
      <c r="C20" s="1398"/>
      <c r="D20" s="2"/>
      <c r="E20" s="2"/>
      <c r="F20" s="2"/>
      <c r="G20" s="2"/>
      <c r="H20" s="2"/>
      <c r="I20" s="3"/>
      <c r="J20" s="11"/>
      <c r="K20" s="11"/>
      <c r="L20" s="3"/>
      <c r="M20" s="11"/>
      <c r="N20" s="11"/>
      <c r="O20" s="3"/>
      <c r="P20" s="2061"/>
      <c r="Q20" s="1809"/>
      <c r="R20" s="1809"/>
      <c r="S20" s="1809"/>
      <c r="T20" s="1809"/>
      <c r="U20" s="1809"/>
      <c r="V20" s="1809"/>
      <c r="Z20" s="2159"/>
      <c r="AA20" s="2159"/>
      <c r="AB20" s="2159"/>
      <c r="AC20" s="2159"/>
      <c r="AD20" s="2159"/>
      <c r="AF20" s="2159"/>
      <c r="AG20" s="2159"/>
      <c r="AH20" s="2159"/>
      <c r="AI20" s="2159"/>
      <c r="AJ20" s="2159"/>
      <c r="AK20" s="3"/>
    </row>
    <row r="21" spans="1:37" ht="16.2" thickTop="1" x14ac:dyDescent="0.3">
      <c r="A21" s="4" t="s">
        <v>4</v>
      </c>
      <c r="B21" s="1701" t="s">
        <v>1295</v>
      </c>
      <c r="C21" s="1701"/>
      <c r="D21" s="1701"/>
      <c r="E21" s="1701"/>
      <c r="F21" s="1701"/>
      <c r="G21" s="1701"/>
      <c r="H21" s="2"/>
      <c r="I21" s="3"/>
      <c r="J21" s="1985"/>
      <c r="K21" s="1985"/>
      <c r="L21" s="3"/>
      <c r="M21" s="1985"/>
      <c r="N21" s="1985"/>
      <c r="O21" s="3"/>
      <c r="P21" s="4"/>
      <c r="Q21" s="3"/>
      <c r="R21" s="3"/>
      <c r="S21" s="3"/>
      <c r="T21" s="3"/>
      <c r="U21" s="3"/>
      <c r="V21" s="3"/>
      <c r="W21" s="3"/>
      <c r="X21" s="3"/>
      <c r="Y21" s="3"/>
      <c r="Z21" s="22"/>
      <c r="AA21" s="22"/>
      <c r="AB21" s="22"/>
      <c r="AC21" s="22"/>
      <c r="AD21" s="22"/>
      <c r="AE21" s="3"/>
      <c r="AF21" s="22"/>
      <c r="AG21" s="22"/>
      <c r="AH21" s="22"/>
      <c r="AI21" s="22"/>
      <c r="AJ21" s="22"/>
      <c r="AK21" s="3"/>
    </row>
    <row r="22" spans="1:37" ht="15.6" x14ac:dyDescent="0.3">
      <c r="A22" s="4" t="s">
        <v>5</v>
      </c>
      <c r="B22" s="1701" t="s">
        <v>46</v>
      </c>
      <c r="C22" s="1701"/>
      <c r="D22" s="1701"/>
      <c r="E22" s="1701"/>
      <c r="F22" s="1701"/>
      <c r="G22" s="1701"/>
      <c r="H22" s="2"/>
      <c r="I22" s="3" t="s">
        <v>14</v>
      </c>
      <c r="J22" s="1985"/>
      <c r="K22" s="1985"/>
      <c r="L22" s="3" t="s">
        <v>558</v>
      </c>
      <c r="M22" s="1985"/>
      <c r="N22" s="1985"/>
      <c r="O22" s="3" t="s">
        <v>13</v>
      </c>
      <c r="P22" s="417"/>
      <c r="Q22" s="3"/>
      <c r="R22" s="3"/>
      <c r="S22" s="3"/>
      <c r="T22" s="3"/>
      <c r="U22" s="3"/>
      <c r="V22" s="3"/>
      <c r="W22" s="3"/>
      <c r="X22" s="3"/>
      <c r="Y22" s="3"/>
      <c r="Z22" s="3"/>
      <c r="AA22" s="3"/>
      <c r="AB22" s="3"/>
      <c r="AC22" s="3"/>
      <c r="AD22" s="3"/>
      <c r="AE22" s="3"/>
      <c r="AF22" s="3"/>
      <c r="AG22" s="12"/>
      <c r="AH22" s="12"/>
      <c r="AI22" s="12"/>
      <c r="AJ22" s="3"/>
      <c r="AK22" s="3"/>
    </row>
    <row r="23" spans="1:37" ht="15.6" x14ac:dyDescent="0.3">
      <c r="A23" s="4" t="s">
        <v>6</v>
      </c>
      <c r="B23" s="1701" t="s">
        <v>765</v>
      </c>
      <c r="C23" s="1701"/>
      <c r="D23" s="1701"/>
      <c r="E23" s="1701"/>
      <c r="F23" s="1701"/>
      <c r="G23" s="1701"/>
      <c r="H23" s="2"/>
      <c r="I23" s="3" t="s">
        <v>14</v>
      </c>
      <c r="J23" s="1985"/>
      <c r="K23" s="1985"/>
      <c r="L23" s="3" t="s">
        <v>558</v>
      </c>
      <c r="M23" s="1985"/>
      <c r="N23" s="1985"/>
      <c r="O23" s="3" t="s">
        <v>13</v>
      </c>
      <c r="P23" s="1427" t="s">
        <v>810</v>
      </c>
      <c r="Q23" s="1427"/>
      <c r="R23" s="1427"/>
      <c r="S23" s="56"/>
      <c r="T23" s="56"/>
      <c r="U23" s="56"/>
      <c r="V23" s="56"/>
      <c r="W23" s="56"/>
      <c r="X23" s="56"/>
      <c r="Y23" s="56"/>
      <c r="Z23" s="56"/>
      <c r="AA23" s="56"/>
      <c r="AB23" s="56"/>
      <c r="AC23" s="56"/>
      <c r="AD23" s="56"/>
      <c r="AE23" s="56"/>
      <c r="AF23" s="56"/>
      <c r="AG23" s="56"/>
      <c r="AH23" s="56"/>
      <c r="AI23" s="56"/>
      <c r="AJ23" s="56"/>
      <c r="AK23" s="56"/>
    </row>
    <row r="24" spans="1:37" ht="15.6" x14ac:dyDescent="0.3">
      <c r="A24" s="4" t="s">
        <v>7</v>
      </c>
      <c r="B24" s="1701" t="s">
        <v>766</v>
      </c>
      <c r="C24" s="1701"/>
      <c r="D24" s="1701"/>
      <c r="E24" s="1701"/>
      <c r="F24" s="1701"/>
      <c r="G24" s="1701"/>
      <c r="H24" s="2"/>
      <c r="I24" s="3" t="s">
        <v>14</v>
      </c>
      <c r="J24" s="1985"/>
      <c r="K24" s="1985"/>
      <c r="L24" s="3" t="s">
        <v>558</v>
      </c>
      <c r="M24" s="1985"/>
      <c r="N24" s="1985"/>
      <c r="O24" s="3" t="s">
        <v>13</v>
      </c>
      <c r="P24" s="4" t="s">
        <v>4</v>
      </c>
      <c r="Q24" s="66" t="s">
        <v>807</v>
      </c>
      <c r="R24" s="66"/>
      <c r="S24" s="66"/>
      <c r="T24" s="66"/>
      <c r="U24" s="66"/>
      <c r="V24" s="66"/>
      <c r="W24" s="66"/>
      <c r="X24" s="66"/>
      <c r="Y24" s="66"/>
      <c r="Z24" s="1917"/>
      <c r="AA24" s="1917"/>
      <c r="AB24" s="1917"/>
      <c r="AC24" s="1917"/>
      <c r="AD24" s="1917"/>
      <c r="AE24" s="3"/>
      <c r="AF24" s="1917"/>
      <c r="AG24" s="1917"/>
      <c r="AH24" s="1917"/>
      <c r="AI24" s="1917"/>
      <c r="AJ24" s="1917"/>
      <c r="AK24" s="56"/>
    </row>
    <row r="25" spans="1:37" ht="15.6" x14ac:dyDescent="0.3">
      <c r="A25" s="4" t="s">
        <v>8</v>
      </c>
      <c r="B25" s="1701" t="s">
        <v>47</v>
      </c>
      <c r="C25" s="1701"/>
      <c r="D25" s="1701"/>
      <c r="E25" s="1701"/>
      <c r="F25" s="1701"/>
      <c r="G25" s="1701"/>
      <c r="H25" s="2"/>
      <c r="I25" s="3"/>
      <c r="J25" s="1985"/>
      <c r="K25" s="1985"/>
      <c r="L25" s="3"/>
      <c r="M25" s="1985"/>
      <c r="N25" s="1985"/>
      <c r="O25" s="3"/>
      <c r="P25" s="4" t="s">
        <v>5</v>
      </c>
      <c r="Q25" s="2" t="s">
        <v>792</v>
      </c>
      <c r="R25" s="2"/>
      <c r="S25" s="2"/>
      <c r="T25" s="2"/>
      <c r="U25" s="2"/>
      <c r="V25" s="2"/>
      <c r="W25" s="2"/>
      <c r="X25" s="2"/>
      <c r="Y25" s="3"/>
      <c r="Z25" s="1917"/>
      <c r="AA25" s="1917"/>
      <c r="AB25" s="1917"/>
      <c r="AC25" s="1917"/>
      <c r="AD25" s="1917"/>
      <c r="AE25" s="3"/>
      <c r="AF25" s="1917"/>
      <c r="AG25" s="1917"/>
      <c r="AH25" s="1917"/>
      <c r="AI25" s="1917"/>
      <c r="AJ25" s="1917"/>
      <c r="AK25" s="3"/>
    </row>
    <row r="26" spans="1:37" ht="15.6" x14ac:dyDescent="0.3">
      <c r="A26" s="4" t="s">
        <v>9</v>
      </c>
      <c r="B26" s="1701" t="s">
        <v>48</v>
      </c>
      <c r="C26" s="1701"/>
      <c r="D26" s="1701"/>
      <c r="E26" s="1701"/>
      <c r="F26" s="1701"/>
      <c r="G26" s="1701"/>
      <c r="H26" s="2"/>
      <c r="I26" s="3"/>
      <c r="J26" s="1985"/>
      <c r="K26" s="1985"/>
      <c r="L26" s="3"/>
      <c r="M26" s="1985"/>
      <c r="N26" s="1985"/>
      <c r="O26" s="3"/>
      <c r="P26" s="4" t="s">
        <v>6</v>
      </c>
      <c r="Q26" s="2" t="s">
        <v>806</v>
      </c>
      <c r="R26" s="2"/>
      <c r="S26" s="2"/>
      <c r="T26" s="2"/>
      <c r="U26" s="2"/>
      <c r="V26" s="2"/>
      <c r="W26" s="2"/>
      <c r="X26" s="2"/>
      <c r="Y26" s="3"/>
      <c r="Z26" s="1917"/>
      <c r="AA26" s="1917"/>
      <c r="AB26" s="1917"/>
      <c r="AC26" s="1917"/>
      <c r="AD26" s="1917"/>
      <c r="AE26" s="3"/>
      <c r="AF26" s="1917"/>
      <c r="AG26" s="1917"/>
      <c r="AH26" s="1917"/>
      <c r="AI26" s="1917"/>
      <c r="AJ26" s="1917"/>
      <c r="AK26" s="12"/>
    </row>
    <row r="27" spans="1:37" ht="15.6" hidden="1" x14ac:dyDescent="0.3">
      <c r="A27" s="4" t="s">
        <v>10</v>
      </c>
      <c r="B27" s="1701" t="s">
        <v>1064</v>
      </c>
      <c r="C27" s="1701"/>
      <c r="D27" s="1701"/>
      <c r="E27" s="1701"/>
      <c r="F27" s="1701"/>
      <c r="G27" s="1701"/>
      <c r="H27" s="1701"/>
      <c r="I27" s="1701"/>
      <c r="J27" s="1985"/>
      <c r="K27" s="1985"/>
      <c r="L27" s="3"/>
      <c r="M27" s="1985"/>
      <c r="N27" s="1985"/>
      <c r="O27" s="3"/>
      <c r="P27" s="4" t="s">
        <v>7</v>
      </c>
      <c r="Q27" s="2" t="s">
        <v>239</v>
      </c>
      <c r="R27" s="2031"/>
      <c r="S27" s="2031"/>
      <c r="T27" s="2031"/>
      <c r="U27" s="2031"/>
      <c r="V27" s="2031"/>
      <c r="W27" s="2"/>
      <c r="X27" s="2"/>
      <c r="Y27" s="3"/>
      <c r="Z27" s="1917"/>
      <c r="AA27" s="1917"/>
      <c r="AB27" s="1917"/>
      <c r="AC27" s="1917"/>
      <c r="AD27" s="1917"/>
      <c r="AE27" s="3"/>
      <c r="AF27" s="1917"/>
      <c r="AG27" s="1917"/>
      <c r="AH27" s="1917"/>
      <c r="AI27" s="1917"/>
      <c r="AJ27" s="1917"/>
      <c r="AK27" s="12"/>
    </row>
    <row r="28" spans="1:37" ht="15.6" x14ac:dyDescent="0.3">
      <c r="A28" s="4" t="s">
        <v>10</v>
      </c>
      <c r="B28" s="1701" t="s">
        <v>274</v>
      </c>
      <c r="C28" s="1701"/>
      <c r="D28" s="1701"/>
      <c r="E28" s="1701"/>
      <c r="F28" s="1701"/>
      <c r="G28" s="1701"/>
      <c r="H28" s="1701"/>
      <c r="I28" s="1701"/>
      <c r="J28" s="2104"/>
      <c r="K28" s="2104"/>
      <c r="L28" s="212" t="s">
        <v>257</v>
      </c>
      <c r="M28" s="2104"/>
      <c r="N28" s="2104"/>
      <c r="O28" s="212" t="s">
        <v>257</v>
      </c>
      <c r="P28" s="4" t="s">
        <v>7</v>
      </c>
      <c r="Q28" s="2" t="s">
        <v>239</v>
      </c>
      <c r="R28" s="2029"/>
      <c r="S28" s="2029"/>
      <c r="T28" s="2029"/>
      <c r="U28" s="2029"/>
      <c r="V28" s="2029"/>
      <c r="W28" s="2"/>
      <c r="X28" s="2"/>
      <c r="Y28" s="2"/>
      <c r="Z28" s="1917"/>
      <c r="AA28" s="1917"/>
      <c r="AB28" s="1917"/>
      <c r="AC28" s="1917"/>
      <c r="AD28" s="1917"/>
      <c r="AE28" s="212"/>
      <c r="AF28" s="1917"/>
      <c r="AG28" s="1917"/>
      <c r="AH28" s="1917"/>
      <c r="AI28" s="1917"/>
      <c r="AJ28" s="1917"/>
      <c r="AK28" s="3"/>
    </row>
    <row r="29" spans="1:37" ht="15.6" x14ac:dyDescent="0.3">
      <c r="A29" s="4" t="s">
        <v>11</v>
      </c>
      <c r="B29" s="1701" t="s">
        <v>49</v>
      </c>
      <c r="C29" s="1701"/>
      <c r="D29" s="1701"/>
      <c r="E29" s="1701"/>
      <c r="F29" s="1701"/>
      <c r="G29" s="1701"/>
      <c r="H29" s="1701"/>
      <c r="I29" s="1701"/>
      <c r="J29" s="1985"/>
      <c r="K29" s="1985"/>
      <c r="L29" s="3"/>
      <c r="M29" s="1985"/>
      <c r="N29" s="1985"/>
      <c r="O29" s="3"/>
      <c r="P29" s="23" t="s">
        <v>8</v>
      </c>
      <c r="Q29" s="3" t="s">
        <v>41</v>
      </c>
      <c r="R29" s="3"/>
      <c r="S29" s="3"/>
      <c r="T29" s="3"/>
      <c r="U29" s="3"/>
      <c r="V29" s="3"/>
      <c r="W29" s="3"/>
      <c r="X29" s="3"/>
      <c r="Y29" s="3"/>
      <c r="Z29" s="2140">
        <f>Z24+Z25+Z26+Z27+Z28</f>
        <v>0</v>
      </c>
      <c r="AA29" s="2140"/>
      <c r="AB29" s="2140"/>
      <c r="AC29" s="2140"/>
      <c r="AD29" s="2140"/>
      <c r="AE29" s="3"/>
      <c r="AF29" s="2140">
        <f>AF24+AF25+AF26+AF27+AF28</f>
        <v>0</v>
      </c>
      <c r="AG29" s="2140"/>
      <c r="AH29" s="2140"/>
      <c r="AI29" s="2140"/>
      <c r="AJ29" s="2140"/>
      <c r="AK29" s="3"/>
    </row>
    <row r="30" spans="1:37" ht="15.6" x14ac:dyDescent="0.3">
      <c r="A30" s="23" t="s">
        <v>29</v>
      </c>
      <c r="B30" s="1701" t="s">
        <v>64</v>
      </c>
      <c r="C30" s="1701"/>
      <c r="D30" s="1701"/>
      <c r="E30" s="1701"/>
      <c r="F30" s="1701"/>
      <c r="G30" s="1701"/>
      <c r="H30" s="2"/>
      <c r="I30" s="1228" t="s">
        <v>14</v>
      </c>
      <c r="J30" s="2096"/>
      <c r="K30" s="2096"/>
      <c r="L30" s="1228" t="s">
        <v>557</v>
      </c>
      <c r="M30" s="2096"/>
      <c r="N30" s="2096"/>
      <c r="O30" s="1812" t="s">
        <v>13</v>
      </c>
      <c r="P30" s="1708" t="s">
        <v>9</v>
      </c>
      <c r="Q30" s="2129" t="s">
        <v>809</v>
      </c>
      <c r="R30" s="2129"/>
      <c r="S30" s="2129"/>
      <c r="T30" s="2129"/>
      <c r="U30" s="2129"/>
      <c r="V30" s="2129"/>
      <c r="W30" s="2129"/>
      <c r="X30" s="391"/>
      <c r="Y30" s="2"/>
      <c r="Z30" s="2099">
        <v>0</v>
      </c>
      <c r="AA30" s="2099"/>
      <c r="AB30" s="2099"/>
      <c r="AC30" s="2099"/>
      <c r="AD30" s="2099"/>
      <c r="AE30" s="2"/>
      <c r="AF30" s="2099">
        <v>0</v>
      </c>
      <c r="AG30" s="2099"/>
      <c r="AH30" s="2099"/>
      <c r="AI30" s="2099"/>
      <c r="AJ30" s="2099"/>
      <c r="AK30" s="212" t="s">
        <v>257</v>
      </c>
    </row>
    <row r="31" spans="1:37" ht="9" customHeight="1" x14ac:dyDescent="0.3">
      <c r="A31" s="23"/>
      <c r="B31" s="2119" t="s">
        <v>277</v>
      </c>
      <c r="C31" s="2119"/>
      <c r="D31" s="2119"/>
      <c r="E31" s="2119"/>
      <c r="F31" s="2119"/>
      <c r="G31" s="2119"/>
      <c r="H31" s="214"/>
      <c r="I31" s="1228"/>
      <c r="J31" s="2097"/>
      <c r="K31" s="2097"/>
      <c r="L31" s="1228"/>
      <c r="M31" s="2097"/>
      <c r="N31" s="2097"/>
      <c r="O31" s="1812"/>
      <c r="P31" s="1708"/>
      <c r="Q31" s="2129"/>
      <c r="R31" s="2129"/>
      <c r="S31" s="2129"/>
      <c r="T31" s="2129"/>
      <c r="U31" s="2129"/>
      <c r="V31" s="2129"/>
      <c r="W31" s="2129"/>
      <c r="X31" s="391"/>
      <c r="Y31" s="2"/>
      <c r="Z31" s="2100"/>
      <c r="AA31" s="2100"/>
      <c r="AB31" s="2100"/>
      <c r="AC31" s="2100"/>
      <c r="AD31" s="2100"/>
      <c r="AE31" s="2"/>
      <c r="AF31" s="2100"/>
      <c r="AG31" s="2100"/>
      <c r="AH31" s="2100"/>
      <c r="AI31" s="2100"/>
      <c r="AJ31" s="2100"/>
      <c r="AK31" s="3"/>
    </row>
    <row r="32" spans="1:37" ht="16.2" thickBot="1" x14ac:dyDescent="0.35">
      <c r="A32" s="4" t="s">
        <v>39</v>
      </c>
      <c r="B32" s="1701" t="s">
        <v>1142</v>
      </c>
      <c r="C32" s="1701"/>
      <c r="D32" s="1701"/>
      <c r="E32" s="1701"/>
      <c r="F32" s="1701"/>
      <c r="G32" s="2107" t="s">
        <v>1144</v>
      </c>
      <c r="H32" s="2107"/>
      <c r="I32" s="3" t="s">
        <v>14</v>
      </c>
      <c r="J32" s="1957"/>
      <c r="K32" s="1957"/>
      <c r="L32" s="3" t="s">
        <v>559</v>
      </c>
      <c r="M32" s="1985"/>
      <c r="N32" s="1985"/>
      <c r="O32" s="3" t="s">
        <v>13</v>
      </c>
      <c r="P32" s="4" t="s">
        <v>10</v>
      </c>
      <c r="Q32" s="3" t="s">
        <v>808</v>
      </c>
      <c r="R32" s="3"/>
      <c r="S32" s="3"/>
      <c r="T32" s="3"/>
      <c r="U32" s="3"/>
      <c r="V32" s="3"/>
      <c r="W32" s="3"/>
      <c r="X32" s="3"/>
      <c r="Y32" s="3"/>
      <c r="Z32" s="2058">
        <f>Z29*Z30</f>
        <v>0</v>
      </c>
      <c r="AA32" s="2058"/>
      <c r="AB32" s="2058"/>
      <c r="AC32" s="2058"/>
      <c r="AD32" s="2058"/>
      <c r="AE32" s="3"/>
      <c r="AF32" s="2058">
        <f>AF29*AF30</f>
        <v>0</v>
      </c>
      <c r="AG32" s="2058"/>
      <c r="AH32" s="2058"/>
      <c r="AI32" s="2058"/>
      <c r="AJ32" s="2058"/>
      <c r="AK32" s="8"/>
    </row>
    <row r="33" spans="1:37" ht="16.2" thickTop="1" x14ac:dyDescent="0.3">
      <c r="A33" s="9" t="str">
        <f>IF(O1=2,"13. ","14. ")</f>
        <v xml:space="preserve">14. </v>
      </c>
      <c r="B33" s="2" t="s">
        <v>239</v>
      </c>
      <c r="C33" s="2080"/>
      <c r="D33" s="2080"/>
      <c r="E33" s="2080"/>
      <c r="F33" s="2080"/>
      <c r="G33" s="2080"/>
      <c r="H33" s="2"/>
      <c r="I33" s="3"/>
      <c r="J33" s="2104"/>
      <c r="K33" s="2104"/>
      <c r="L33" s="3"/>
      <c r="M33" s="1985"/>
      <c r="N33" s="1985"/>
      <c r="O33" s="3"/>
      <c r="P33" s="4"/>
      <c r="Q33" s="2"/>
      <c r="R33" s="10"/>
      <c r="S33" s="10"/>
      <c r="T33" s="10"/>
      <c r="U33" s="10"/>
      <c r="V33" s="10"/>
      <c r="W33" s="2"/>
      <c r="X33" s="2"/>
      <c r="Y33" s="3"/>
      <c r="Z33" s="6"/>
      <c r="AA33" s="6"/>
      <c r="AB33" s="6"/>
      <c r="AC33" s="6"/>
      <c r="AD33" s="6"/>
      <c r="AE33" s="3"/>
      <c r="AF33" s="6"/>
      <c r="AG33" s="6"/>
      <c r="AH33" s="6"/>
      <c r="AI33" s="6"/>
      <c r="AJ33" s="6"/>
      <c r="AK33" s="12"/>
    </row>
    <row r="34" spans="1:37" ht="16.2" thickBot="1" x14ac:dyDescent="0.35">
      <c r="A34" s="9" t="str">
        <f>IF(O1=2,"14. ","15. ")</f>
        <v xml:space="preserve">15. </v>
      </c>
      <c r="B34" s="1427" t="s">
        <v>41</v>
      </c>
      <c r="C34" s="1427"/>
      <c r="D34" s="1427"/>
      <c r="E34" s="1427"/>
      <c r="F34" s="1427"/>
      <c r="G34" s="1427"/>
      <c r="H34" s="3"/>
      <c r="I34" s="3"/>
      <c r="J34" s="2103">
        <f>IF(O1=2,J21-J22-J23-J24+J25+J26+J27+J28+J29-J30+J33,J21-J22-J23-J24+J25+J26+J27+J28+J29-J30-J32+J33)</f>
        <v>0</v>
      </c>
      <c r="K34" s="2103"/>
      <c r="L34" s="3"/>
      <c r="M34" s="2103">
        <f>IF(O63=TRUE,0,IF(O1=2,M21-M22-M23-M24+M25+M26+M27+M28+M29-M30+M33,M21-M22-M23-M24+M25+M26+M27+M28+M29-M30-M32+M33))</f>
        <v>0</v>
      </c>
      <c r="N34" s="2103"/>
      <c r="O34" s="3"/>
      <c r="P34" s="4" t="s">
        <v>11</v>
      </c>
      <c r="Q34" s="3" t="s">
        <v>813</v>
      </c>
      <c r="R34" s="3"/>
      <c r="S34" s="3"/>
      <c r="T34" s="3"/>
      <c r="U34" s="3"/>
      <c r="V34" s="3"/>
      <c r="W34" s="3"/>
      <c r="X34" s="3"/>
      <c r="Y34" s="3"/>
      <c r="Z34" s="2058">
        <f>Z19+Z32</f>
        <v>0</v>
      </c>
      <c r="AA34" s="2058"/>
      <c r="AB34" s="2058"/>
      <c r="AC34" s="2058"/>
      <c r="AD34" s="2058"/>
      <c r="AE34" s="3"/>
      <c r="AF34" s="2058">
        <f>AF19+AF32</f>
        <v>0</v>
      </c>
      <c r="AG34" s="2058"/>
      <c r="AH34" s="2058"/>
      <c r="AI34" s="2058"/>
      <c r="AJ34" s="2058"/>
      <c r="AK34" s="3"/>
    </row>
    <row r="35" spans="1:37" ht="24" customHeight="1" thickTop="1" x14ac:dyDescent="0.3">
      <c r="A35" s="863" t="str">
        <f>IF(O1=2,"15. ","16. ")</f>
        <v xml:space="preserve">16. </v>
      </c>
      <c r="B35" s="1878" t="s">
        <v>555</v>
      </c>
      <c r="C35" s="1878"/>
      <c r="D35" s="1878"/>
      <c r="E35" s="1878"/>
      <c r="F35" s="1878"/>
      <c r="G35" s="1855" t="str">
        <f>IF(AND(OR(J16&lt;&gt;0,J34&lt;&gt;0),J35=0,O62&lt;&gt;TRUE),"Ownership %
 Needed",IF(AND(OR(M16&lt;&gt;0,M34&lt;&gt;0),M35=0,O62&lt;&gt;TRUE,O63&lt;&gt;TRUE),"Ownership %
 Needed",""))</f>
        <v/>
      </c>
      <c r="H35" s="1855"/>
      <c r="I35" s="2"/>
      <c r="J35" s="2100">
        <v>0</v>
      </c>
      <c r="K35" s="2100"/>
      <c r="L35" s="72">
        <f>J34*J35</f>
        <v>0</v>
      </c>
      <c r="M35" s="2100">
        <v>0</v>
      </c>
      <c r="N35" s="2100"/>
      <c r="O35" s="231">
        <f>M34*M35</f>
        <v>0</v>
      </c>
      <c r="P35" s="23"/>
      <c r="Q35" s="68"/>
      <c r="R35" s="68"/>
      <c r="S35" s="68"/>
      <c r="T35" s="68"/>
      <c r="U35" s="68"/>
      <c r="V35" s="68"/>
      <c r="W35" s="68"/>
      <c r="X35" s="68"/>
      <c r="Y35" s="2"/>
      <c r="Z35" s="2036" t="str">
        <f>IF(AND(Z34&lt;&gt;0,OR(AB14="",AB14&lt;0,AB14&gt;12)),"Error, Correct Dates",IF(AA13&lt;&gt;"=",CONCATENATE("Annualized based on income/(loss) of $",Z34," over ",AA13," ="),CONCATENATE("Annualized based on income/(loss) of $",Z34," over # Months =")))</f>
        <v>Annualized based on income/(loss) of $0 over # Months =</v>
      </c>
      <c r="AA35" s="2036"/>
      <c r="AB35" s="2036"/>
      <c r="AC35" s="2036"/>
      <c r="AD35" s="2036"/>
      <c r="AE35" s="2"/>
      <c r="AF35" s="2036" t="str">
        <f>IF(AND(AF34&lt;&gt;0,OR(AH14="",AH14&lt;0,AH14&gt;12)),"Error, Correct Dates",IF(AND(AF34&lt;&gt;0,J40=0,M40&lt;&gt;0),"Error, Move Most Recent Filed Returns To Left Column on the 1065 Worksheet",IF(AG13&lt;&gt;"=",CONCATENATE("Annualized based on income/(loss) of $",AF34," over ",AG13," ="),CONCATENATE("Annualized based on income/(loss) of $",AF34," over # Months ="))))</f>
        <v>Annualized based on income/(loss) of $0 over 12 Months =</v>
      </c>
      <c r="AG35" s="2036"/>
      <c r="AH35" s="2036"/>
      <c r="AI35" s="2036"/>
      <c r="AJ35" s="2036"/>
      <c r="AK35" s="3"/>
    </row>
    <row r="36" spans="1:37" ht="15.6" customHeight="1" thickBot="1" x14ac:dyDescent="0.35">
      <c r="A36" s="9" t="str">
        <f>IF(O1=2,"16. ","17. ")</f>
        <v xml:space="preserve">17. </v>
      </c>
      <c r="B36" s="1427" t="s">
        <v>280</v>
      </c>
      <c r="C36" s="1427"/>
      <c r="D36" s="1427"/>
      <c r="E36" s="1427"/>
      <c r="F36" s="1427"/>
      <c r="G36" s="1427"/>
      <c r="H36" s="3"/>
      <c r="I36" s="3"/>
      <c r="J36" s="1959">
        <f>IF(AND(N63=FALSE,J35&lt;1,J34&gt;0),0,IF(AND(O1=1,J34&lt;0,F37="Fannie"),0,J34*J35))</f>
        <v>0</v>
      </c>
      <c r="K36" s="1959"/>
      <c r="L36" s="212" t="s">
        <v>468</v>
      </c>
      <c r="M36" s="1959">
        <f>IF(O63=TRUE,0,IF(AND(N63=FALSE,M35&lt;1,M34&gt;0),0,IF(AND(O1=1,M34&lt;0,F37="Fannie"),0,M34*M35)))</f>
        <v>0</v>
      </c>
      <c r="N36" s="1959"/>
      <c r="O36" s="213" t="s">
        <v>468</v>
      </c>
      <c r="P36" s="23"/>
      <c r="Q36" s="68"/>
      <c r="R36" s="68"/>
      <c r="S36" s="68"/>
      <c r="T36" s="214"/>
      <c r="U36" s="68"/>
      <c r="V36" s="68"/>
      <c r="W36" s="68"/>
      <c r="X36" s="68"/>
      <c r="Y36" s="2"/>
      <c r="Z36" s="2037"/>
      <c r="AA36" s="2037"/>
      <c r="AB36" s="2037"/>
      <c r="AC36" s="2037"/>
      <c r="AD36" s="2037"/>
      <c r="AE36" s="2"/>
      <c r="AF36" s="2037"/>
      <c r="AG36" s="2037"/>
      <c r="AH36" s="2037"/>
      <c r="AI36" s="2037"/>
      <c r="AJ36" s="2037"/>
      <c r="AK36" s="3"/>
    </row>
    <row r="37" spans="1:37" ht="15" customHeight="1" thickTop="1" x14ac:dyDescent="0.3">
      <c r="A37" s="4"/>
      <c r="C37" s="2164" t="s">
        <v>1145</v>
      </c>
      <c r="D37" s="2164"/>
      <c r="E37" s="2164"/>
      <c r="F37" s="2165"/>
      <c r="G37" s="2165"/>
      <c r="H37" s="868"/>
      <c r="I37" s="3"/>
      <c r="J37" s="25"/>
      <c r="K37" s="2162" t="s">
        <v>296</v>
      </c>
      <c r="L37" s="2162"/>
      <c r="M37" s="2162"/>
      <c r="N37" s="2162"/>
      <c r="O37" s="3"/>
      <c r="P37" s="4"/>
      <c r="Q37" s="3"/>
      <c r="R37" s="3"/>
      <c r="S37" s="3"/>
      <c r="T37" s="3"/>
      <c r="U37" s="3"/>
      <c r="V37" s="3"/>
      <c r="W37" s="3"/>
      <c r="X37" s="3"/>
      <c r="Y37" s="3"/>
      <c r="Z37" s="2037"/>
      <c r="AA37" s="2037"/>
      <c r="AB37" s="2037"/>
      <c r="AC37" s="2037"/>
      <c r="AD37" s="2037"/>
      <c r="AE37" s="3"/>
      <c r="AF37" s="2037"/>
      <c r="AG37" s="2037"/>
      <c r="AH37" s="2037"/>
      <c r="AI37" s="2037"/>
      <c r="AJ37" s="2037"/>
    </row>
    <row r="38" spans="1:37" ht="24" customHeight="1" x14ac:dyDescent="0.3">
      <c r="A38" s="4"/>
      <c r="B38" s="867"/>
      <c r="C38" s="2164"/>
      <c r="D38" s="2164"/>
      <c r="E38" s="2164"/>
      <c r="F38" s="1969" t="str">
        <f>IF(F37="Fannie","Business loss not 
counted for Fannie",IF(F37="Freddie","Business loss being counted, Continue","Result"))</f>
        <v>Result</v>
      </c>
      <c r="G38" s="1969"/>
      <c r="H38" s="867"/>
      <c r="I38" s="3"/>
      <c r="J38" s="25"/>
      <c r="K38" s="1229" t="s">
        <v>285</v>
      </c>
      <c r="L38" s="1229"/>
      <c r="M38" s="1229"/>
      <c r="N38" s="1229"/>
      <c r="O38" s="3"/>
      <c r="P38" s="4"/>
      <c r="Q38" s="3"/>
      <c r="R38" s="3"/>
      <c r="S38" s="3"/>
      <c r="T38" s="3"/>
      <c r="U38" s="3"/>
      <c r="V38" s="3"/>
      <c r="W38" s="3"/>
      <c r="X38" s="3"/>
      <c r="Y38" s="3"/>
      <c r="Z38" s="2125"/>
      <c r="AA38" s="2125"/>
      <c r="AB38" s="2125"/>
      <c r="AC38" s="2125"/>
      <c r="AD38" s="2125"/>
      <c r="AE38" s="3"/>
      <c r="AF38" s="2125"/>
      <c r="AG38" s="2125"/>
      <c r="AH38" s="2125"/>
      <c r="AI38" s="2125"/>
      <c r="AJ38" s="2125"/>
    </row>
    <row r="39" spans="1:37" ht="16.5" customHeight="1" thickBot="1" x14ac:dyDescent="0.35">
      <c r="A39" s="9" t="str">
        <f>IF(O1=2,"17. ","18. ")</f>
        <v xml:space="preserve">18. </v>
      </c>
      <c r="B39" s="1427" t="s">
        <v>63</v>
      </c>
      <c r="C39" s="1427"/>
      <c r="D39" s="1427"/>
      <c r="E39" s="1427"/>
      <c r="F39" s="1427"/>
      <c r="G39" s="1427"/>
      <c r="H39" s="3"/>
      <c r="I39" s="3"/>
      <c r="J39" s="1959">
        <f>IF(O62=TRUE,J14,IF(AND(N1="Conventional",J34&lt;0,F37=""),0,IF(J35&gt;0,J16+J36,0)))</f>
        <v>0</v>
      </c>
      <c r="K39" s="1959"/>
      <c r="L39" s="253">
        <f>L35+J16</f>
        <v>0</v>
      </c>
      <c r="M39" s="1959">
        <f>IF(O63=TRUE,0,IF(O62=TRUE,M14,IF(AND(N1="Conventional",M34&lt;0,F37=""),0,IF(M35&gt;0,M16+M36,0))))</f>
        <v>0</v>
      </c>
      <c r="N39" s="1959"/>
      <c r="O39" s="253">
        <f>O35+M16</f>
        <v>0</v>
      </c>
      <c r="P39" s="2061" t="s">
        <v>29</v>
      </c>
      <c r="Q39" s="1809" t="s">
        <v>812</v>
      </c>
      <c r="R39" s="1809"/>
      <c r="S39" s="1809"/>
      <c r="T39" s="1809"/>
      <c r="U39" s="1809"/>
      <c r="V39" s="1809"/>
      <c r="W39" s="1809"/>
      <c r="X39" s="30"/>
      <c r="Y39" s="30"/>
      <c r="Z39" s="2060">
        <f>IF(Z35="Error, Correct Dates",0,IF(AND(Z34&lt;&gt;0,AA13&lt;&gt;"="),(Z34/AB14)*12,0))</f>
        <v>0</v>
      </c>
      <c r="AA39" s="2060"/>
      <c r="AB39" s="2060"/>
      <c r="AC39" s="2060"/>
      <c r="AD39" s="2060"/>
      <c r="AE39" s="387">
        <f>IF(AJ69=TRUE,0,Z39)</f>
        <v>0</v>
      </c>
      <c r="AF39" s="2060">
        <f>IF(OR(AF35="Error, Move Most Recent Filed Returns To Left Column on the 1065 Worksheet",AF35="Error, Correct Dates"),0,IF(AND(AF34&lt;&gt;0,AG13&lt;&gt;"="),(AF34/AH14)*12,0))</f>
        <v>0</v>
      </c>
      <c r="AG39" s="2060"/>
      <c r="AH39" s="2060"/>
      <c r="AI39" s="2060"/>
      <c r="AJ39" s="2060"/>
      <c r="AK39" s="1525"/>
    </row>
    <row r="40" spans="1:37" ht="9" customHeight="1" thickTop="1" thickBot="1" x14ac:dyDescent="0.35">
      <c r="A40" s="4"/>
      <c r="B40" s="3"/>
      <c r="C40" s="3"/>
      <c r="D40" s="3"/>
      <c r="E40" s="3"/>
      <c r="F40" s="3"/>
      <c r="G40" s="2163" t="s">
        <v>817</v>
      </c>
      <c r="H40" s="2163"/>
      <c r="I40" s="2163"/>
      <c r="J40" s="1989">
        <f>IF(AND(F49&lt;12,F49&lt;&gt;""),(L39/F49)*12,L39)</f>
        <v>0</v>
      </c>
      <c r="K40" s="1989"/>
      <c r="L40" s="427">
        <f>J40</f>
        <v>0</v>
      </c>
      <c r="M40" s="1989">
        <f>IF(AND(D49&lt;12,D49&lt;&gt;""),(O39/D49)*12,O39)</f>
        <v>0</v>
      </c>
      <c r="N40" s="1989"/>
      <c r="O40" s="253">
        <f>M40</f>
        <v>0</v>
      </c>
      <c r="P40" s="2061"/>
      <c r="Q40" s="1809"/>
      <c r="R40" s="1809"/>
      <c r="S40" s="1809"/>
      <c r="T40" s="1809"/>
      <c r="U40" s="1809"/>
      <c r="V40" s="1809"/>
      <c r="W40" s="1809"/>
      <c r="X40" s="30"/>
      <c r="Y40" s="30"/>
      <c r="Z40" s="1915"/>
      <c r="AA40" s="1915"/>
      <c r="AB40" s="1915"/>
      <c r="AC40" s="1915"/>
      <c r="AD40" s="1915"/>
      <c r="AE40" s="30"/>
      <c r="AF40" s="1915"/>
      <c r="AG40" s="1915"/>
      <c r="AH40" s="1915"/>
      <c r="AI40" s="1915"/>
      <c r="AJ40" s="1915"/>
      <c r="AK40" s="1525"/>
    </row>
    <row r="41" spans="1:37" ht="15.75" customHeight="1" thickTop="1" x14ac:dyDescent="0.3">
      <c r="A41" s="4"/>
      <c r="B41" s="3"/>
      <c r="C41" s="30"/>
      <c r="D41" s="1960" t="str">
        <f>IF(M64=2,CONCATENATE("Exclude ",M9," from Total Adjusted Business Income Below"),CONCATENATE("Exclude ",M9," from Total Adjusted Business Income Below"))</f>
        <v>Exclude 2024 from Total Adjusted Business Income Below</v>
      </c>
      <c r="E41" s="1960"/>
      <c r="F41" s="1960"/>
      <c r="G41" s="1960"/>
      <c r="H41" s="1960"/>
      <c r="I41" s="1960"/>
      <c r="J41" s="25"/>
      <c r="K41" s="1991" t="str">
        <f>IF(AND(J40&lt;M40,OR(G48="",G48=12,G48=24)),CONCATENATE(ROUND(((M40-J40)/M40)*100,2),"%"," Decline from ",M9," to ",J9,),
IF(AND(G48&gt;12,G48&lt;24,J40&lt;M40),CONCATENATE(ROUND(((M40-J40)/M40)*100,2),"%"," Decline from ",M9," to ",J9,),
IF(J40&lt;M40,(CONCATENATE("Decline from ",M9," to ",J9,)),
IF(AND(J40&gt;M40,OR(G48="",G48=12,G48=24)),CONCATENATE(ROUND(((J40-M40)/M40)*100,2),"%"," Increase from ",M9," to ",J9,),
IF(AND(G48&gt;12,G48&lt;24,J40&gt;M40),CONCATENATE(ROUND(((J40-M40)/M40)*100,2),"%"," Increase from ",M9," to ",J9,),"")))))</f>
        <v/>
      </c>
      <c r="L41" s="1991"/>
      <c r="M41" s="1991"/>
      <c r="N41" s="25"/>
      <c r="O41" s="3"/>
      <c r="P41" s="8"/>
      <c r="Q41" s="417"/>
      <c r="R41" s="417"/>
      <c r="S41" s="2032">
        <f>M9</f>
        <v>2024</v>
      </c>
      <c r="T41" s="2032">
        <f>J9</f>
        <v>2025</v>
      </c>
      <c r="U41" s="2121">
        <f>IF(AF39&lt;&gt;0,AF10,Z10)</f>
        <v>2026</v>
      </c>
      <c r="V41" s="2032" t="str">
        <f>IF(AF39&lt;&gt;0,Z10,"")</f>
        <v/>
      </c>
      <c r="W41" s="2032"/>
      <c r="X41" s="359"/>
      <c r="Y41" s="2135" t="s">
        <v>1367</v>
      </c>
      <c r="Z41" s="2135"/>
      <c r="AA41" s="2135"/>
      <c r="AB41" s="2135"/>
      <c r="AC41" s="2135"/>
      <c r="AD41" s="2131" t="str">
        <f>IF(AF39&lt;&gt;0,(CONCATENATE("Effective Income + ",AF10," avg.")),"")</f>
        <v/>
      </c>
      <c r="AE41" s="2131"/>
      <c r="AF41" s="2131"/>
      <c r="AG41" s="2131"/>
      <c r="AH41" s="2131"/>
      <c r="AI41" s="2131"/>
      <c r="AJ41" s="360"/>
      <c r="AK41" s="387"/>
    </row>
    <row r="42" spans="1:37" ht="7.5" customHeight="1" x14ac:dyDescent="0.3">
      <c r="A42" s="4"/>
      <c r="B42" s="3"/>
      <c r="C42" s="3"/>
      <c r="D42" s="3"/>
      <c r="E42" s="3"/>
      <c r="F42" s="3"/>
      <c r="G42" s="3"/>
      <c r="H42" s="3"/>
      <c r="I42" s="3"/>
      <c r="J42" s="25"/>
      <c r="K42" s="25"/>
      <c r="L42" s="26"/>
      <c r="M42" s="27"/>
      <c r="N42" s="25"/>
      <c r="O42" s="3"/>
      <c r="P42" s="2"/>
      <c r="Q42" s="417"/>
      <c r="R42" s="417"/>
      <c r="S42" s="2032"/>
      <c r="T42" s="2032"/>
      <c r="U42" s="2121"/>
      <c r="V42" s="2032"/>
      <c r="W42" s="2032"/>
      <c r="X42" s="3"/>
      <c r="Y42" s="2135"/>
      <c r="Z42" s="2135"/>
      <c r="AA42" s="2135"/>
      <c r="AB42" s="2135"/>
      <c r="AC42" s="2135"/>
      <c r="AD42" s="2131"/>
      <c r="AE42" s="2131"/>
      <c r="AF42" s="2131"/>
      <c r="AG42" s="2131"/>
      <c r="AH42" s="2131"/>
      <c r="AI42" s="2131"/>
      <c r="AJ42" s="25"/>
      <c r="AK42" s="3"/>
    </row>
    <row r="43" spans="1:37" ht="15" customHeight="1" x14ac:dyDescent="0.3">
      <c r="A43" s="9" t="str">
        <f>IF(O1=2,"18. ","19. ")</f>
        <v xml:space="preserve">19. </v>
      </c>
      <c r="B43" s="1701" t="s">
        <v>26</v>
      </c>
      <c r="C43" s="1701"/>
      <c r="D43" s="1701"/>
      <c r="E43" s="1701"/>
      <c r="F43" s="1701"/>
      <c r="G43" s="1701"/>
      <c r="H43" s="2"/>
      <c r="I43" s="3"/>
      <c r="J43" s="2"/>
      <c r="K43" s="5"/>
      <c r="L43" s="2068">
        <f>IF(G35&lt;&gt;"",0,IF(AND(N1="Conventional",OR(J34&lt;0,M34&lt;0),F37=""),0,IF(N64=TRUE,J39,J39+M39)))</f>
        <v>0</v>
      </c>
      <c r="M43" s="2068"/>
      <c r="P43" s="2101" t="s">
        <v>815</v>
      </c>
      <c r="Q43" s="2101"/>
      <c r="R43" s="2101"/>
      <c r="S43" s="415">
        <f>M40</f>
        <v>0</v>
      </c>
      <c r="T43" s="415">
        <f>J40</f>
        <v>0</v>
      </c>
      <c r="U43" s="415">
        <f>IF(AF39&lt;&gt;0,AF39,Z39)</f>
        <v>0</v>
      </c>
      <c r="V43" s="2034">
        <f>IF(AF39&lt;&gt;0,Z39,0)</f>
        <v>0</v>
      </c>
      <c r="W43" s="2034"/>
      <c r="X43" s="2"/>
      <c r="Y43" s="2048">
        <f>L50*12</f>
        <v>0</v>
      </c>
      <c r="Z43" s="2048"/>
      <c r="AA43" s="2048"/>
      <c r="AB43" s="2048"/>
      <c r="AC43" s="2048"/>
      <c r="AD43" s="2161">
        <f>IF(AF39&lt;&gt;0,((Y43+U43)/2),0)</f>
        <v>0</v>
      </c>
      <c r="AE43" s="2161"/>
      <c r="AF43" s="2161"/>
      <c r="AG43" s="2161"/>
      <c r="AH43" s="2161"/>
      <c r="AI43" s="2161"/>
      <c r="AK43" s="360"/>
    </row>
    <row r="44" spans="1:37" ht="15" customHeight="1" x14ac:dyDescent="0.3">
      <c r="A44" s="9" t="str">
        <f>IF(O1=2,"19. ","20. ")</f>
        <v xml:space="preserve">20. </v>
      </c>
      <c r="B44" s="1701" t="s">
        <v>12</v>
      </c>
      <c r="C44" s="1701"/>
      <c r="D44" s="1701"/>
      <c r="E44" s="1701"/>
      <c r="F44" s="420"/>
      <c r="G44" s="2"/>
      <c r="H44" s="2"/>
      <c r="I44" s="2"/>
      <c r="J44" s="2"/>
      <c r="K44" s="6"/>
      <c r="L44" s="2069"/>
      <c r="M44" s="2069"/>
      <c r="N44" s="2"/>
      <c r="AK44" s="3"/>
    </row>
    <row r="45" spans="1:37" ht="3" customHeight="1" thickBot="1" x14ac:dyDescent="0.35">
      <c r="A45" s="4"/>
      <c r="B45" s="2"/>
      <c r="C45" s="2"/>
      <c r="D45" s="2"/>
      <c r="E45" s="2"/>
      <c r="F45" s="12"/>
      <c r="G45" s="2"/>
      <c r="H45" s="2000" t="str">
        <f>IF(OR(AND(O63=TRUE,F44&gt;12),AND(D49&lt;&gt;"",D49&gt;12),AND(F49&lt;&gt;"",F49&gt;12)),"Error: Greater than 12 months in one year entered","")</f>
        <v/>
      </c>
      <c r="I45" s="2000"/>
      <c r="J45" s="2000"/>
      <c r="K45" s="2000"/>
      <c r="L45" s="14"/>
      <c r="M45" s="14"/>
      <c r="N45" s="2"/>
      <c r="P45" s="2040" t="str">
        <f>IF(M40&lt;&gt;0,CONCATENATE(M9," Tax Return - ", J9," Tax Return:"),"")</f>
        <v/>
      </c>
      <c r="Q45" s="2040"/>
      <c r="R45" s="2040"/>
      <c r="S45" s="2040"/>
      <c r="T45" s="2040"/>
      <c r="U45" s="1524" t="str">
        <f>IF(AND(J40&lt;&gt;0,J40&lt;M40,OR(G48="",G48=12,G48=24)),CONCATENATE(ROUND(((M40-J40)/M40)*100,2),"%"," Decline from '",M9," Tax Returns' to '",J9," Tax Returns'"),
IF(AND(J40&lt;&gt;0,G48&gt;12,G48&lt;24,J40&lt;M40),CONCATENATE(ROUND(((M40-J40)/M40)*100,2),"%"," Decline from '",M9," Tax Returns' to '",J9," Tax Returns'"),
IF(AND(J40&lt;&gt;0,J40&lt;M40),(CONCATENATE("Decline from '",M9," Tax Retunrs' to '",J9," Tax Returns'")),
IF(AND(J40&lt;&gt;0,J40&gt;M40,OR(G48="",G48=12,G48=24)),CONCATENATE(ROUND(((J40-M40)/M40)*100,2),"%"," Increase from '",M9," Tax Returns' to '",J9," Tax Returns'"),
IF(AND(J40&lt;&gt;0,G48&gt;12,G48&lt;24,J40&gt;M40),CONCATENATE(ROUND(((J40-M40)/M40)*100,2),"%"," Increase from '",M9," Tax Returns' to '",J9," Tax Returns'"),IF(AND(J40&lt;&gt;0,M40&lt;&gt;0,M40=J40),"No Change",""))))))</f>
        <v/>
      </c>
      <c r="V45" s="1524"/>
      <c r="W45" s="1524"/>
      <c r="X45" s="1524"/>
      <c r="Y45" s="1524"/>
      <c r="Z45" s="1524"/>
      <c r="AA45" s="1524"/>
      <c r="AB45" s="1524"/>
      <c r="AC45" s="1524"/>
      <c r="AD45" s="1524"/>
      <c r="AE45" s="1524"/>
      <c r="AF45" s="1524"/>
      <c r="AG45" s="1524"/>
      <c r="AH45" s="1524"/>
      <c r="AI45" s="1524"/>
      <c r="AJ45" s="1524"/>
      <c r="AK45" s="29"/>
    </row>
    <row r="46" spans="1:37" ht="10.5" customHeight="1" thickBot="1" x14ac:dyDescent="0.4">
      <c r="A46" s="4"/>
      <c r="B46" s="1993" t="s">
        <v>299</v>
      </c>
      <c r="C46" s="1994"/>
      <c r="D46" s="1994"/>
      <c r="E46" s="1994"/>
      <c r="F46" s="1994"/>
      <c r="G46" s="1995"/>
      <c r="H46" s="2000"/>
      <c r="I46" s="2000"/>
      <c r="J46" s="2000"/>
      <c r="K46" s="2000"/>
      <c r="L46" s="14"/>
      <c r="M46" s="14"/>
      <c r="N46" s="2"/>
      <c r="P46" s="2040"/>
      <c r="Q46" s="2040"/>
      <c r="R46" s="2040"/>
      <c r="S46" s="2040"/>
      <c r="T46" s="2040"/>
      <c r="U46" s="1524"/>
      <c r="V46" s="1524"/>
      <c r="W46" s="1524"/>
      <c r="X46" s="1524"/>
      <c r="Y46" s="1524"/>
      <c r="Z46" s="1524"/>
      <c r="AA46" s="1524"/>
      <c r="AB46" s="1524"/>
      <c r="AC46" s="1524"/>
      <c r="AD46" s="1524"/>
      <c r="AE46" s="1524"/>
      <c r="AF46" s="1524"/>
      <c r="AG46" s="1524"/>
      <c r="AH46" s="1524"/>
      <c r="AI46" s="1524"/>
      <c r="AJ46" s="1524"/>
      <c r="AK46" s="424"/>
    </row>
    <row r="47" spans="1:37" ht="9.75" customHeight="1" x14ac:dyDescent="0.35">
      <c r="A47" s="4"/>
      <c r="B47" s="1996" t="str">
        <f>CONCATENATE(M9," Start:")</f>
        <v>2024 Start:</v>
      </c>
      <c r="C47" s="1997"/>
      <c r="D47" s="405" t="str">
        <f>CONCATENATE(M9," End:")</f>
        <v>2024 End:</v>
      </c>
      <c r="E47" s="406" t="str">
        <f>CONCATENATE(J9," Start:")</f>
        <v>2025 Start:</v>
      </c>
      <c r="F47" s="405" t="str">
        <f>CONCATENATE(J9," End:")</f>
        <v>2025 End:</v>
      </c>
      <c r="G47" s="407" t="s">
        <v>178</v>
      </c>
      <c r="H47" s="2000"/>
      <c r="I47" s="2000"/>
      <c r="J47" s="2000"/>
      <c r="K47" s="2000"/>
      <c r="L47" s="14"/>
      <c r="M47" s="14"/>
      <c r="N47" s="2"/>
      <c r="P47" s="2040" t="str">
        <f>IF(N1="FHA2",CONCATENATE("Effective Income vs. ",Z10," ",AC10,":"),
IF(AND(AF39=0,N1&lt;&gt;"FHA"),CONCATENATE(J9," Tax Return - ",Z10," ",AC10,":"),CONCATENATE(J9," Tax Return - ",AF10," ",AI10,":")))</f>
        <v>2025 Tax Return - 2026 P&amp;L:</v>
      </c>
      <c r="Q47" s="2040"/>
      <c r="R47" s="2040"/>
      <c r="S47" s="2040"/>
      <c r="T47" s="2040"/>
      <c r="U47" s="1524" t="str">
        <f>IF(AND(N1="FHA2",L50=0),"",
IF(AND(N1="FHA2",Y43&lt;&gt;0,Z39&lt;&gt;0,Z39&lt;Y43),CONCATENATE(ROUND(((Y43-Z39)/Y43)*100,2),"%"," Decline from 'Effective income' to '",Z10,"'"),
IF(AND(N1="FHA2",Y43&lt;&gt;0,Z39&lt;&gt;0,Z39&gt;Y43),CONCATENATE(ROUND(((Z39-Y43)/Y43)*100,2),"%"," Increase from 'Effective income' to '",Z10,"'"),
IF(AND(N1="FHA2",Y43&lt;&gt;0,Z39&lt;&gt;0,Z39=Y43),"No Change",
IF(AND(J40&lt;&gt;0,Z39&lt;&gt;0,AF39=0,Z39&lt;J40),CONCATENATE(ROUND(((J40-Z39)/J40)*100,2),"%"," Decline from '",J9," Tax Returns' to '",Z10,"'"),
IF(AND(J40&lt;&gt;0,Z39&lt;&gt;0,AF39=0,Z39&gt;J40),CONCATENATE(ROUND(((Z39-J40)/J40)*100,2),"%"," Increase from '",J9," Tax Returns' to '",Z10,"'"),
IF(AND(J40&lt;&gt;0,Z39&lt;&gt;0,AF39=0,Z39=J40),"No Change",
IF(AND(J40&lt;&gt;0,AF39&lt;&gt;0,AF39&gt;J40),CONCATENATE(ROUND(((AF39-J40)/J40)*100,2),"%"," Increase from '",J9," Tax Returns' to '",AF10," ",AI10,"'"),
IF(AND(J40&lt;&gt;0,AF39&lt;&gt;0,AF39&lt;J40),CONCATENATE(ROUND(((J40-AF39)/J40)*100,2),"%"," Decline from '",J9," Tax Returns' to '",AF10," ",AI10,"'"),
IF(AND(J40&lt;&gt;0,AF39&lt;&gt;0,AF39=J40),"No Change",
""))))))))))</f>
        <v/>
      </c>
      <c r="V47" s="1524"/>
      <c r="W47" s="1524"/>
      <c r="X47" s="1524"/>
      <c r="Y47" s="1524"/>
      <c r="Z47" s="1524"/>
      <c r="AA47" s="1524"/>
      <c r="AB47" s="1524"/>
      <c r="AC47" s="1524"/>
      <c r="AD47" s="1524"/>
      <c r="AE47" s="1524"/>
      <c r="AF47" s="1524"/>
      <c r="AG47" s="1524"/>
      <c r="AH47" s="1524"/>
      <c r="AI47" s="1524"/>
      <c r="AJ47" s="1524"/>
      <c r="AK47" s="424"/>
    </row>
    <row r="48" spans="1:37" ht="12" customHeight="1" thickBot="1" x14ac:dyDescent="0.4">
      <c r="A48" s="4"/>
      <c r="B48" s="1998"/>
      <c r="C48" s="1999"/>
      <c r="D48" s="408"/>
      <c r="E48" s="409"/>
      <c r="F48" s="408"/>
      <c r="G48" s="410" t="str">
        <f>G49</f>
        <v/>
      </c>
      <c r="H48" s="2000"/>
      <c r="I48" s="2000"/>
      <c r="J48" s="2000"/>
      <c r="K48" s="2000"/>
      <c r="L48" s="14"/>
      <c r="M48" s="14"/>
      <c r="N48" s="2"/>
      <c r="P48" s="2040"/>
      <c r="Q48" s="2040"/>
      <c r="R48" s="2040"/>
      <c r="S48" s="2040"/>
      <c r="T48" s="2040"/>
      <c r="U48" s="1524"/>
      <c r="V48" s="1524"/>
      <c r="W48" s="1524"/>
      <c r="X48" s="1524"/>
      <c r="Y48" s="1524"/>
      <c r="Z48" s="1524"/>
      <c r="AA48" s="1524"/>
      <c r="AB48" s="1524"/>
      <c r="AC48" s="1524"/>
      <c r="AD48" s="1524"/>
      <c r="AE48" s="1524"/>
      <c r="AF48" s="1524"/>
      <c r="AG48" s="1524"/>
      <c r="AH48" s="1524"/>
      <c r="AI48" s="1524"/>
      <c r="AJ48" s="1524"/>
      <c r="AK48" s="424"/>
    </row>
    <row r="49" spans="1:37" ht="3" customHeight="1" x14ac:dyDescent="0.3">
      <c r="A49" s="4"/>
      <c r="B49" s="1981" t="str">
        <f>IF(AND(B48="",D48="",O39&lt;&gt;0),1,IF(AND(B48="",D48="",O39=0),"",IF(AND(B48="",D48&lt;&gt;""),"",IF(AND(B48&lt;&gt;"",D48=""),"",YEARFRAC(B48,D48+1,4)))))</f>
        <v/>
      </c>
      <c r="C49" s="1981"/>
      <c r="D49" s="412" t="str">
        <f>IF(O63=TRUE,"",IF(B49="","",ROUND(B49*12,2)))</f>
        <v/>
      </c>
      <c r="E49" s="413" t="str">
        <f>IF(AND(E48="",F48="",L39&lt;&gt;0),1,IF(AND(E48="",F48="",L39=0),"",IF(AND(E48="",F48&lt;&gt;""),"",IF(AND(E48&lt;&gt;"",F48=""),"",YEARFRAC(E48,F48+1,4)))))</f>
        <v/>
      </c>
      <c r="F49" s="412" t="str">
        <f>IF(E49="","",ROUND(E49*12,2))</f>
        <v/>
      </c>
      <c r="G49" s="414" t="str">
        <f>IF(AND(D49&lt;&gt;"",F49&lt;&gt;""),F49+D49,IF(AND(D49&lt;&gt;"",F49=""),D49,IF(AND(D49="",F49&lt;&gt;""),F49,"")))</f>
        <v/>
      </c>
      <c r="H49" s="2000"/>
      <c r="I49" s="2000"/>
      <c r="J49" s="2000"/>
      <c r="K49" s="2000"/>
      <c r="L49" s="14"/>
      <c r="M49" s="14"/>
      <c r="N49" s="2"/>
      <c r="P49" s="2052" t="str">
        <f>IF(AF39=0,"",
IF(N1="FHA2",CONCATENATE("Effective Income vs. ",AF10," ",AI10,":"),
CONCATENATE(AF10," ",AI10," vs. ",Z10," ",AC10,":")))</f>
        <v/>
      </c>
      <c r="Q49" s="2052"/>
      <c r="R49" s="2052"/>
      <c r="S49" s="2052"/>
      <c r="T49" s="2052"/>
      <c r="U49" s="2154" t="str">
        <f>IF(AND(N1="FHA2",L50=0),"",
IF(AND(N1="FHA2",Y43&lt;&gt;0,AF39&lt;&gt;0,AF39&lt;Y43),CONCATENATE(ROUND(((Y43-AF39)/Y43)*100,2),"%"," Decline from 'Effective' income to '",AF10,"'"),
IF(AND(N1="FHA2",Y43&lt;&gt;0,AF39&lt;&gt;0,AF39&gt;Y43),CONCATENATE(ROUND(((AF39-Y43)/Y43)*100,2),"%"," Increase from 'Effective' income to '",AF10,"'"),
IF(AND(N1="FHA2",Y43&lt;&gt;0,AF39&lt;&gt;0,AF39=Y43),"No Change",
IF(AND(Z39&lt;&gt;0,AF39&lt;&gt;0,AF39&gt;Z39),CONCATENATE(ROUND(((AF39-Z39)/AF39)*100,2),"%"," Decline from '",AF10," ",AI10,"' to '",Z10," ",AC10,"'"),
IF(AND(Z39&lt;&gt;0,AF39&lt;&gt;0,AF39&lt;Z39),CONCATENATE(ROUND(((Z39-AF39)/AF39)*100,2),"%"," Increase from '",AF10," ",AI10,"' to '",Z10," ",AC10,"'"),
IF(AND(Z39&lt;&gt;0,AF39&lt;&gt;0,AF39=Z39),"No Change",
"")))))))</f>
        <v/>
      </c>
      <c r="V49" s="2154"/>
      <c r="W49" s="2154"/>
      <c r="X49" s="2154"/>
      <c r="Y49" s="2154"/>
      <c r="Z49" s="2154"/>
      <c r="AA49" s="2154"/>
      <c r="AB49" s="2154"/>
      <c r="AC49" s="2154"/>
      <c r="AD49" s="2154"/>
      <c r="AE49" s="2154"/>
      <c r="AF49" s="2154"/>
      <c r="AG49" s="2154"/>
      <c r="AH49" s="2154"/>
      <c r="AI49" s="2154"/>
      <c r="AJ49" s="2154"/>
      <c r="AK49" s="2154"/>
    </row>
    <row r="50" spans="1:37" ht="16.2" thickBot="1" x14ac:dyDescent="0.35">
      <c r="A50" s="9" t="str">
        <f>IF(O1=2,"21. ","22. ")</f>
        <v xml:space="preserve">22. </v>
      </c>
      <c r="B50" s="1427" t="s">
        <v>25</v>
      </c>
      <c r="C50" s="1427"/>
      <c r="D50" s="1427"/>
      <c r="E50" s="1427"/>
      <c r="F50" s="1427"/>
      <c r="G50" s="1427"/>
      <c r="H50" s="2000"/>
      <c r="I50" s="2000"/>
      <c r="J50" s="2000"/>
      <c r="K50" s="2000"/>
      <c r="L50" s="2058">
        <f>IF(F44&gt;0,L43/F44,)</f>
        <v>0</v>
      </c>
      <c r="M50" s="2058"/>
      <c r="N50" s="72">
        <f>IF(N62=TRUE,0,L50)</f>
        <v>0</v>
      </c>
      <c r="P50" s="2052"/>
      <c r="Q50" s="2052"/>
      <c r="R50" s="2052"/>
      <c r="S50" s="2052"/>
      <c r="T50" s="2052"/>
      <c r="U50" s="2154"/>
      <c r="V50" s="2154"/>
      <c r="W50" s="2154"/>
      <c r="X50" s="2154"/>
      <c r="Y50" s="2154"/>
      <c r="Z50" s="2154"/>
      <c r="AA50" s="2154"/>
      <c r="AB50" s="2154"/>
      <c r="AC50" s="2154"/>
      <c r="AD50" s="2154"/>
      <c r="AE50" s="2154"/>
      <c r="AF50" s="2154"/>
      <c r="AG50" s="2154"/>
      <c r="AH50" s="2154"/>
      <c r="AI50" s="2154"/>
      <c r="AJ50" s="2154"/>
      <c r="AK50" s="2154"/>
    </row>
    <row r="51" spans="1:37" ht="18" customHeight="1" thickTop="1" x14ac:dyDescent="0.35">
      <c r="A51" s="4"/>
      <c r="B51" s="3"/>
      <c r="C51" s="3"/>
      <c r="D51" s="3"/>
      <c r="E51" s="3"/>
      <c r="F51" s="3"/>
      <c r="G51" s="3"/>
      <c r="H51" s="2000"/>
      <c r="I51" s="2000"/>
      <c r="J51" s="2000"/>
      <c r="K51" s="2000"/>
      <c r="L51" s="21"/>
      <c r="M51" s="21"/>
      <c r="N51" s="2"/>
      <c r="P51" s="2160" t="str">
        <f>IF(AND(AF39&lt;&gt;0,N1="FHA2"),CONCATENATE("Effective Inc. + ",AF10," ",AI10," vs. ",Z10," ",AC10,":"),"")</f>
        <v/>
      </c>
      <c r="Q51" s="2160"/>
      <c r="R51" s="2160"/>
      <c r="S51" s="2160"/>
      <c r="T51" s="2160"/>
      <c r="U51" s="2051" t="str">
        <f>IF(AND(N1="FHA2",L50=0),"",
IF(AND(N1="FHA2",Y43&lt;&gt;0,Z39&lt;&gt;0,AF39&lt;&gt;0,Z39&lt;AD43),CONCATENATE(ROUND(((AD43-Z39)/AD43)*100,2),"%"," Decline from 'Effective income + ",AF10,"' to '",Z10,"'"),
IF(AND(N1="FHA2",Y43&lt;&gt;0,Z39&lt;&gt;0,AF39&lt;&gt;0,Z39&gt;AD43),CONCATENATE(ROUND(((Z39-AD43)/AD43)*100,2),"%"," Increase from 'Effective income + ",AF10,"' to '",Z10,"'"),
IF(AND(N1="FHA2",Y43&lt;&gt;0,Z39&lt;&gt;0,AF39&lt;&gt;0,Z39=AD43),"No Change",""))))</f>
        <v/>
      </c>
      <c r="V51" s="2051"/>
      <c r="W51" s="2051"/>
      <c r="X51" s="2051"/>
      <c r="Y51" s="2051"/>
      <c r="Z51" s="2051"/>
      <c r="AA51" s="2051"/>
      <c r="AB51" s="2051"/>
      <c r="AC51" s="2051"/>
      <c r="AD51" s="2051"/>
      <c r="AE51" s="2051"/>
      <c r="AF51" s="2051"/>
      <c r="AG51" s="2051"/>
      <c r="AH51" s="2051"/>
      <c r="AI51" s="2051"/>
      <c r="AJ51" s="2051"/>
      <c r="AK51" s="2051"/>
    </row>
    <row r="52" spans="1:37" ht="12.75" customHeight="1" x14ac:dyDescent="0.3">
      <c r="A52" s="2070" t="s">
        <v>846</v>
      </c>
      <c r="B52" s="2071"/>
      <c r="C52" s="3"/>
      <c r="D52" s="3"/>
      <c r="E52" s="3"/>
      <c r="F52" s="3"/>
      <c r="G52" s="3"/>
      <c r="H52" s="3"/>
      <c r="I52" s="3"/>
      <c r="J52" s="2"/>
      <c r="K52" s="5"/>
      <c r="L52" s="21"/>
      <c r="M52" s="21"/>
      <c r="N52" s="2"/>
      <c r="P52" s="1526" t="s">
        <v>1019</v>
      </c>
      <c r="Q52" s="1526"/>
      <c r="R52" s="1526"/>
      <c r="S52" s="1526"/>
      <c r="T52" s="1526"/>
      <c r="U52" s="1526"/>
      <c r="V52" s="1526"/>
      <c r="W52" s="1526"/>
      <c r="X52" s="1526"/>
      <c r="Y52" s="1526"/>
      <c r="Z52" s="1526"/>
      <c r="AA52" s="1526"/>
      <c r="AB52" s="1526"/>
      <c r="AC52" s="1526"/>
      <c r="AD52" s="1526"/>
      <c r="AE52" s="1526"/>
      <c r="AF52" s="1526"/>
      <c r="AG52" s="1526"/>
      <c r="AH52" s="1526"/>
      <c r="AI52" s="1526"/>
      <c r="AJ52" s="1526"/>
      <c r="AK52" s="399"/>
    </row>
    <row r="53" spans="1:37" ht="56.25" customHeight="1" x14ac:dyDescent="0.3">
      <c r="A53" s="2072"/>
      <c r="B53" s="2073"/>
      <c r="C53" s="2076" t="str">
        <f>IF(J40&lt;M40,C54,IF(J40=M40,C56,C55))</f>
        <v>Caution: Business income stable but 2024 is being excluded and/or the number of months reviewed is less than .  Generally when income is stable 2024 should be included and a  month average of this income should be used, or you must omit the prior year to average over 12 months.  Review above and correct to clear the alert or explain in your notes.</v>
      </c>
      <c r="D53" s="2076"/>
      <c r="E53" s="2076"/>
      <c r="F53" s="2076"/>
      <c r="G53" s="2076"/>
      <c r="H53" s="2076"/>
      <c r="I53" s="2076"/>
      <c r="J53" s="2076"/>
      <c r="K53" s="2076"/>
      <c r="L53" s="2076"/>
      <c r="M53" s="2076"/>
      <c r="N53" s="2"/>
      <c r="P53" s="2132" t="str">
        <f>IF(AND(AF39&lt;&gt;0,J40&lt;&gt;0,AF39&lt;J40,Z39&gt;=AF39),CONCATENATE("Underwriting and Approval Requirement:                                                                                                                                                   The '",AF10,"' for an extended or not yet filed tax return shows a decline of income from ",J9,". Convention loans: Refer to Fannie/Freddie Covid Guidelines.  Gov loans: Even though the income has stabilized now based on the '",Z10,"' they would need to file the returns with the IRS in order to use income from this business. (recalculated using the newly filed returns and ",J9,")"),"")</f>
        <v/>
      </c>
      <c r="Q53" s="2132"/>
      <c r="R53" s="2132"/>
      <c r="S53" s="2132"/>
      <c r="T53" s="2132"/>
      <c r="U53" s="2132"/>
      <c r="V53" s="2132"/>
      <c r="W53" s="2132"/>
      <c r="X53" s="2132"/>
      <c r="Y53" s="2132"/>
      <c r="Z53" s="2132"/>
      <c r="AA53" s="2132"/>
      <c r="AB53" s="2132"/>
      <c r="AC53" s="2132"/>
      <c r="AD53" s="2132"/>
      <c r="AE53" s="2132"/>
      <c r="AF53" s="2132"/>
      <c r="AG53" s="2132"/>
      <c r="AH53" s="2132"/>
      <c r="AI53" s="2132"/>
      <c r="AJ53" s="2132"/>
      <c r="AK53" s="397"/>
    </row>
    <row r="54" spans="1:37" ht="10.5" customHeight="1" x14ac:dyDescent="0.3">
      <c r="A54" s="2072"/>
      <c r="B54" s="2073"/>
      <c r="C54" s="217" t="str">
        <f>CONCATENATE("Caution: Declining income is detected and ", M9, " is not being excluded and/or the number of months reviewed is greater than 12.  Generally with declining income ", M9, " should be excluded and the number of months reviewed should be 12.  Review above and correct to clear the alert or explain the justification in your notes below for not excluding ", M9, " and/or using more than 12 months reviewed.")</f>
        <v>Caution: Declining income is detected and 2024 is not being excluded and/or the number of months reviewed is greater than 12.  Generally with declining income 2024 should be excluded and the number of months reviewed should be 12.  Review above and correct to clear the alert or explain the justification in your notes below for not excluding 2024 and/or using more than 12 months reviewed.</v>
      </c>
      <c r="D54" s="2095" t="str">
        <f>IF(OR(AND(OR(N1=0,N1="FHA"),J40&lt;&gt;0,M40&lt;&gt;0,((M40-J40)&gt;=(M40*0.2))),
AND(OR(N1=0,N1="FHA"),T43&lt;&gt;0,U43&lt;&gt;0,((T43-U43)&gt;=(T43*0.2))),
AND(OR(N1=0,N1="FHA"),U43&lt;&gt;0,V43&lt;&gt;0,((U43-V43)&gt;=(U43*0.2))),
AND(OR(N1=0,N1="FHA2"),Y43&lt;&gt;0,AF39&lt;&gt;0,Z39&lt;&gt;0,((AD43-Z39)&gt;=(AD43*0.2)))),"*Self Employed with 20% or greater decline in business income, FHA loans require Manual Downgrade AND Further Analysis if using income.","")</f>
        <v/>
      </c>
      <c r="E54" s="2095"/>
      <c r="F54" s="2095"/>
      <c r="G54" s="2095"/>
      <c r="H54" s="3"/>
      <c r="I54" s="3"/>
      <c r="J54" s="2"/>
      <c r="K54" s="2166" t="s">
        <v>442</v>
      </c>
      <c r="L54" s="2166"/>
      <c r="M54" s="2166"/>
      <c r="N54" s="2166"/>
      <c r="P54" s="2132"/>
      <c r="Q54" s="2132"/>
      <c r="R54" s="2132"/>
      <c r="S54" s="2132"/>
      <c r="T54" s="2132"/>
      <c r="U54" s="2132"/>
      <c r="V54" s="2132"/>
      <c r="W54" s="2132"/>
      <c r="X54" s="2132"/>
      <c r="Y54" s="2132"/>
      <c r="Z54" s="2132"/>
      <c r="AA54" s="2132"/>
      <c r="AB54" s="2132"/>
      <c r="AC54" s="2132"/>
      <c r="AD54" s="2132"/>
      <c r="AE54" s="2132"/>
      <c r="AF54" s="2132"/>
      <c r="AG54" s="2132"/>
      <c r="AH54" s="2132"/>
      <c r="AI54" s="2132"/>
      <c r="AJ54" s="2132"/>
      <c r="AK54" s="397"/>
    </row>
    <row r="55" spans="1:37" ht="13.5" customHeight="1" x14ac:dyDescent="0.3">
      <c r="A55" s="2074"/>
      <c r="B55" s="2075"/>
      <c r="C55" s="217" t="str">
        <f>CONCATENATE("Caution: Business income increased but ", M9, " is being excluded and/or the number of months reviewed is other than ",G48,".  Generally when income increases ", M9, " should be included and a ",G48," month average of this income should be used.  Review above and correct to clear the alert or explain the justification in your notes below for not including ", M9, " and/or using other than ",G48," month reviewed.")</f>
        <v>Caution: Business income increased but 2024 is being excluded and/or the number of months reviewed is other than .  Generally when income increases 2024 should be included and a  month average of this income should be used.  Review above and correct to clear the alert or explain the justification in your notes below for not including 2024 and/or using other than  month reviewed.</v>
      </c>
      <c r="D55" s="2095"/>
      <c r="E55" s="2095"/>
      <c r="F55" s="2095"/>
      <c r="G55" s="2095"/>
      <c r="H55" s="3"/>
      <c r="I55" s="3"/>
      <c r="J55" s="2"/>
      <c r="K55" s="2166"/>
      <c r="L55" s="2166"/>
      <c r="M55" s="2166"/>
      <c r="N55" s="2166"/>
      <c r="P55" s="2132"/>
      <c r="Q55" s="2132"/>
      <c r="R55" s="2132"/>
      <c r="S55" s="2132"/>
      <c r="T55" s="2132"/>
      <c r="U55" s="2132"/>
      <c r="V55" s="2132"/>
      <c r="W55" s="2132"/>
      <c r="X55" s="2132"/>
      <c r="Y55" s="2132"/>
      <c r="Z55" s="2132"/>
      <c r="AA55" s="2132"/>
      <c r="AB55" s="2132"/>
      <c r="AC55" s="2132"/>
      <c r="AD55" s="2132"/>
      <c r="AE55" s="2132"/>
      <c r="AF55" s="2132"/>
      <c r="AG55" s="2132"/>
      <c r="AH55" s="2132"/>
      <c r="AI55" s="2132"/>
      <c r="AJ55" s="2132"/>
      <c r="AK55" s="400"/>
    </row>
    <row r="56" spans="1:37" ht="9" customHeight="1" x14ac:dyDescent="0.3">
      <c r="A56" s="468"/>
      <c r="B56" s="468"/>
      <c r="C56" s="411" t="str">
        <f>CONCATENATE("Caution: Business income stable but ", M9, " is being excluded and/or the number of months reviewed is less than ",G48,".  Generally when income is stable ", M9, " should be included and a ",G48," month average of this income should be used, or you must omit the prior year to average over 12 months.  Review above and correct to clear the alert or explain in your notes.")</f>
        <v>Caution: Business income stable but 2024 is being excluded and/or the number of months reviewed is less than .  Generally when income is stable 2024 should be included and a  month average of this income should be used, or you must omit the prior year to average over 12 months.  Review above and correct to clear the alert or explain in your notes.</v>
      </c>
      <c r="D56" s="2095"/>
      <c r="E56" s="2095"/>
      <c r="F56" s="2095"/>
      <c r="G56" s="2095"/>
      <c r="H56" s="3"/>
      <c r="I56" s="3"/>
      <c r="J56" s="2"/>
      <c r="K56" s="2166"/>
      <c r="L56" s="2166"/>
      <c r="M56" s="2166"/>
      <c r="N56" s="2166"/>
      <c r="P56" s="422"/>
      <c r="Q56" s="422"/>
      <c r="R56" s="2095" t="str">
        <f>IF(D54&lt;&gt;"","*Self Employed with 20% or greater decline in business income, FHA loans require Manual Downgrade AND Further Analysis if using income.","")</f>
        <v/>
      </c>
      <c r="S56" s="2095"/>
      <c r="T56" s="2095"/>
      <c r="U56" s="2095"/>
      <c r="V56" s="2095"/>
      <c r="W56" s="2095"/>
      <c r="X56" s="2095"/>
      <c r="Y56" s="2095"/>
      <c r="Z56" s="2095"/>
      <c r="AA56" s="2095"/>
      <c r="AB56" s="422"/>
      <c r="AC56" s="422"/>
      <c r="AD56" s="422"/>
      <c r="AE56" s="422"/>
      <c r="AF56" s="422"/>
      <c r="AG56" s="422"/>
      <c r="AH56" s="422"/>
      <c r="AI56" s="422"/>
      <c r="AJ56" s="422"/>
    </row>
    <row r="57" spans="1:37" ht="7.5" customHeight="1" x14ac:dyDescent="0.3">
      <c r="A57" s="468"/>
      <c r="B57" s="468"/>
      <c r="C57" s="3"/>
      <c r="D57" s="2095"/>
      <c r="E57" s="2095"/>
      <c r="F57" s="2095"/>
      <c r="G57" s="2095"/>
      <c r="H57" s="3"/>
      <c r="I57" s="3"/>
      <c r="J57" s="2"/>
      <c r="K57" s="2166"/>
      <c r="L57" s="2166"/>
      <c r="M57" s="2166"/>
      <c r="N57" s="2166"/>
      <c r="P57" s="1407"/>
      <c r="Q57" s="1407"/>
      <c r="R57" s="2095"/>
      <c r="S57" s="2095"/>
      <c r="T57" s="2095"/>
      <c r="U57" s="2095"/>
      <c r="V57" s="2095"/>
      <c r="W57" s="2095"/>
      <c r="X57" s="2095"/>
      <c r="Y57" s="2095"/>
      <c r="Z57" s="2095"/>
      <c r="AA57" s="2095"/>
      <c r="AB57" s="423"/>
      <c r="AC57" s="1860"/>
      <c r="AD57" s="1860"/>
      <c r="AE57" s="2039"/>
      <c r="AF57" s="2039"/>
      <c r="AG57" s="2039"/>
      <c r="AH57" s="2039"/>
      <c r="AI57" s="2039"/>
      <c r="AJ57" s="2039"/>
    </row>
    <row r="58" spans="1:37" ht="16.5" customHeight="1" x14ac:dyDescent="0.3">
      <c r="A58" s="1475" t="s">
        <v>1074</v>
      </c>
      <c r="B58" s="1475"/>
      <c r="C58" s="1475"/>
      <c r="D58" s="1475"/>
      <c r="E58" s="1475"/>
      <c r="F58" s="3"/>
      <c r="G58" s="3"/>
      <c r="H58" s="3"/>
      <c r="I58" s="3"/>
      <c r="J58" s="2"/>
      <c r="K58" s="254"/>
      <c r="L58" s="254"/>
      <c r="M58" s="254"/>
      <c r="N58" s="254"/>
      <c r="P58" s="1475" t="s">
        <v>30</v>
      </c>
      <c r="Q58" s="1475"/>
      <c r="R58" s="2095"/>
      <c r="S58" s="2095"/>
      <c r="T58" s="2095"/>
      <c r="U58" s="2095"/>
      <c r="V58" s="2095"/>
      <c r="W58" s="2095"/>
      <c r="X58" s="2095"/>
      <c r="Y58" s="2095"/>
      <c r="Z58" s="2095"/>
      <c r="AA58" s="2095"/>
      <c r="AB58" s="423"/>
      <c r="AC58" s="2038"/>
      <c r="AD58" s="2038"/>
      <c r="AE58" s="2039"/>
      <c r="AF58" s="2039"/>
      <c r="AG58" s="2039"/>
      <c r="AH58" s="2039"/>
      <c r="AI58" s="2039"/>
      <c r="AJ58" s="2039"/>
    </row>
    <row r="59" spans="1:37" ht="16.5" customHeight="1" x14ac:dyDescent="0.3">
      <c r="A59" s="1325"/>
      <c r="B59" s="1325"/>
      <c r="C59" s="1325"/>
      <c r="D59" s="1325"/>
      <c r="E59" s="1325"/>
      <c r="F59" s="1325"/>
      <c r="G59" s="1325"/>
      <c r="H59" s="1325"/>
      <c r="I59" s="1325"/>
      <c r="J59" s="1325"/>
      <c r="K59" s="1325"/>
      <c r="L59" s="1325"/>
      <c r="M59" s="1325"/>
      <c r="N59" s="1325"/>
      <c r="O59" s="1325"/>
      <c r="P59" s="1325"/>
      <c r="Q59" s="1325"/>
      <c r="R59" s="1325"/>
      <c r="S59" s="1325"/>
      <c r="T59" s="1325"/>
      <c r="U59" s="1325"/>
      <c r="V59" s="1325"/>
      <c r="W59" s="1325"/>
      <c r="X59" s="1325"/>
      <c r="Y59" s="1325"/>
      <c r="Z59" s="1325"/>
      <c r="AA59" s="1325"/>
      <c r="AB59" s="1325"/>
      <c r="AC59" s="1325"/>
      <c r="AD59" s="1325"/>
      <c r="AE59" s="1325"/>
      <c r="AF59" s="1325"/>
      <c r="AG59" s="1325"/>
      <c r="AH59" s="1325"/>
      <c r="AI59" s="1325"/>
      <c r="AJ59" s="1325"/>
      <c r="AK59" s="1325"/>
    </row>
    <row r="60" spans="1:37" ht="16.5" customHeight="1" x14ac:dyDescent="0.3">
      <c r="A60" s="1325"/>
      <c r="B60" s="1325"/>
      <c r="C60" s="1325"/>
      <c r="D60" s="1325"/>
      <c r="E60" s="1325"/>
      <c r="F60" s="1325"/>
      <c r="G60" s="1325"/>
      <c r="H60" s="1325"/>
      <c r="I60" s="1325"/>
      <c r="J60" s="1325"/>
      <c r="K60" s="1325"/>
      <c r="L60" s="1325"/>
      <c r="M60" s="1325"/>
      <c r="N60" s="1325"/>
      <c r="O60" s="1325"/>
      <c r="P60" s="1325"/>
      <c r="Q60" s="1325"/>
      <c r="R60" s="1325"/>
      <c r="S60" s="1325"/>
      <c r="T60" s="1325"/>
      <c r="U60" s="1325"/>
      <c r="V60" s="1325"/>
      <c r="W60" s="1325"/>
      <c r="X60" s="1325"/>
      <c r="Y60" s="1325"/>
      <c r="Z60" s="1325"/>
      <c r="AA60" s="1325"/>
      <c r="AB60" s="1325"/>
      <c r="AC60" s="1325"/>
      <c r="AD60" s="1325"/>
      <c r="AE60" s="1325"/>
      <c r="AF60" s="1325"/>
      <c r="AG60" s="1325"/>
      <c r="AH60" s="1325"/>
      <c r="AI60" s="1325"/>
      <c r="AJ60" s="1325"/>
      <c r="AK60" s="1325"/>
    </row>
    <row r="61" spans="1:37" ht="15" customHeight="1" x14ac:dyDescent="0.3">
      <c r="A61" s="1325"/>
      <c r="B61" s="1325"/>
      <c r="C61" s="1325"/>
      <c r="D61" s="1325"/>
      <c r="E61" s="1325"/>
      <c r="F61" s="1325"/>
      <c r="G61" s="1325"/>
      <c r="H61" s="1325"/>
      <c r="I61" s="1325"/>
      <c r="J61" s="1325"/>
      <c r="K61" s="1325"/>
      <c r="L61" s="1325"/>
      <c r="M61" s="1325"/>
      <c r="N61" s="1325"/>
      <c r="O61" s="1325"/>
      <c r="P61" s="1325"/>
      <c r="Q61" s="1325"/>
      <c r="R61" s="1325"/>
      <c r="S61" s="1325"/>
      <c r="T61" s="1325"/>
      <c r="U61" s="1325"/>
      <c r="V61" s="1325"/>
      <c r="W61" s="1325"/>
      <c r="X61" s="1325"/>
      <c r="Y61" s="1325"/>
      <c r="Z61" s="1325"/>
      <c r="AA61" s="1325"/>
      <c r="AB61" s="1325"/>
      <c r="AC61" s="1325"/>
      <c r="AD61" s="1325"/>
      <c r="AE61" s="1325"/>
      <c r="AF61" s="1325"/>
      <c r="AG61" s="1325"/>
      <c r="AH61" s="1325"/>
      <c r="AI61" s="1325"/>
      <c r="AJ61" s="1325"/>
      <c r="AK61" s="1325"/>
    </row>
    <row r="62" spans="1:37" ht="12.75" hidden="1" customHeight="1" x14ac:dyDescent="0.3">
      <c r="A62" s="609"/>
      <c r="B62" s="28"/>
      <c r="C62" s="28"/>
      <c r="D62" s="28"/>
      <c r="E62" s="28"/>
      <c r="F62" s="28"/>
      <c r="G62" s="28"/>
      <c r="H62" s="28"/>
      <c r="I62" s="28"/>
      <c r="J62" s="28"/>
      <c r="K62" s="28"/>
      <c r="L62" s="1194" t="b">
        <v>0</v>
      </c>
      <c r="M62" s="1166" t="b">
        <v>0</v>
      </c>
      <c r="N62" s="1077" t="b">
        <v>0</v>
      </c>
      <c r="O62" s="1161" t="b">
        <f>IF(AND(M62=TRUE,OR(N1="Conventional",N1="Other")),TRUE,FALSE)</f>
        <v>0</v>
      </c>
      <c r="P62" s="19"/>
      <c r="Q62" s="425"/>
      <c r="R62" s="425"/>
      <c r="S62" s="425"/>
      <c r="T62" s="425"/>
      <c r="U62" s="425"/>
      <c r="V62" s="425"/>
      <c r="W62" s="425"/>
      <c r="X62" s="425"/>
      <c r="Y62" s="425"/>
      <c r="Z62" s="425"/>
      <c r="AA62" s="425"/>
      <c r="AB62" s="425"/>
      <c r="AC62" s="425"/>
      <c r="AD62" s="425"/>
      <c r="AE62" s="425"/>
      <c r="AF62" s="425"/>
      <c r="AG62" s="425"/>
      <c r="AH62" s="425"/>
      <c r="AI62" s="425"/>
      <c r="AJ62" s="425"/>
      <c r="AK62" s="425"/>
    </row>
    <row r="63" spans="1:37" ht="15.75" hidden="1" customHeight="1" x14ac:dyDescent="0.3">
      <c r="L63" s="36"/>
      <c r="M63" s="1167" t="b">
        <v>0</v>
      </c>
      <c r="N63" s="1046" t="b">
        <v>0</v>
      </c>
      <c r="O63" s="1165" t="b">
        <f>IF(AND(M63=TRUE,OR(N1="Conventional",N1="Other"),N2="Yes, 1 yr returns confirmed"),TRUE,FALSE)</f>
        <v>0</v>
      </c>
      <c r="P63" s="19"/>
      <c r="Q63" s="19"/>
      <c r="R63" s="19"/>
      <c r="S63" s="19"/>
      <c r="T63" s="19"/>
      <c r="U63" s="19"/>
      <c r="V63" s="19"/>
      <c r="W63" s="19"/>
      <c r="X63" s="19"/>
      <c r="Y63" s="19"/>
      <c r="Z63" s="19"/>
      <c r="AA63" s="19"/>
      <c r="AB63" s="19"/>
      <c r="AC63" s="19"/>
      <c r="AD63" s="19"/>
      <c r="AE63" s="19"/>
      <c r="AF63" s="19"/>
      <c r="AG63" s="19"/>
      <c r="AH63" s="19"/>
      <c r="AI63" s="19"/>
      <c r="AJ63" s="19"/>
      <c r="AK63" s="19"/>
    </row>
    <row r="64" spans="1:37" ht="15.75" hidden="1" customHeight="1" x14ac:dyDescent="0.3">
      <c r="L64" s="36"/>
      <c r="M64" s="1078">
        <v>1</v>
      </c>
      <c r="N64" s="1047" t="b">
        <v>0</v>
      </c>
      <c r="P64" s="28"/>
      <c r="Q64" s="28"/>
      <c r="R64" s="28"/>
      <c r="S64" s="28"/>
      <c r="T64" s="28"/>
      <c r="U64" s="28"/>
      <c r="V64" s="28"/>
      <c r="W64" s="28"/>
      <c r="X64" s="28"/>
      <c r="Y64" s="28"/>
      <c r="Z64" s="28"/>
      <c r="AA64" s="28"/>
      <c r="AB64" s="28"/>
      <c r="AC64" s="28"/>
      <c r="AD64" s="28"/>
      <c r="AE64" s="28"/>
      <c r="AF64" s="28"/>
      <c r="AG64" s="28"/>
      <c r="AH64" s="28"/>
      <c r="AI64" s="28"/>
      <c r="AJ64" s="28"/>
    </row>
    <row r="65" spans="1:37" ht="15.75" hidden="1" customHeight="1" x14ac:dyDescent="0.3">
      <c r="A65" s="1482" t="str">
        <f ca="1">REPLACE(CELL("filename",A65),1,FIND("]",CELL("filename",A65)),"")</f>
        <v>1120</v>
      </c>
      <c r="B65" s="1482"/>
      <c r="C65" s="1482"/>
      <c r="D65" s="1482"/>
      <c r="P65" s="15"/>
    </row>
    <row r="66" spans="1:37" ht="15.75" customHeight="1" x14ac:dyDescent="0.3">
      <c r="A66" s="219"/>
      <c r="B66" s="219"/>
      <c r="C66" s="219"/>
      <c r="D66" s="219"/>
      <c r="M66" s="244"/>
      <c r="N66" s="244"/>
      <c r="P66" s="15"/>
      <c r="AC66" s="244"/>
      <c r="AD66" s="244"/>
      <c r="AE66" s="244"/>
      <c r="AF66" s="244"/>
      <c r="AG66" s="244"/>
      <c r="AH66" s="244"/>
      <c r="AI66" s="244"/>
      <c r="AJ66" s="244"/>
    </row>
    <row r="67" spans="1:37" ht="15.75" customHeight="1" x14ac:dyDescent="0.3">
      <c r="A67" s="219"/>
      <c r="B67" s="219"/>
      <c r="C67" s="219"/>
      <c r="D67" s="219"/>
      <c r="M67" s="244"/>
      <c r="N67" s="244"/>
      <c r="P67" s="15"/>
      <c r="AC67" s="244"/>
      <c r="AD67" s="244"/>
      <c r="AE67" s="244"/>
      <c r="AF67" s="244"/>
      <c r="AG67" s="244"/>
      <c r="AH67" s="244"/>
      <c r="AI67" s="244"/>
      <c r="AJ67" s="244"/>
    </row>
    <row r="68" spans="1:37" ht="27.6" customHeight="1" x14ac:dyDescent="0.3">
      <c r="A68" s="219"/>
      <c r="B68" s="219"/>
      <c r="C68" s="219"/>
      <c r="D68" s="219"/>
      <c r="M68" s="1419" t="str">
        <f>Version</f>
        <v>Version 2026.1</v>
      </c>
      <c r="N68" s="1419"/>
      <c r="O68" s="1419"/>
      <c r="P68" s="15"/>
      <c r="AC68" s="1419" t="str">
        <f>Version</f>
        <v>Version 2026.1</v>
      </c>
      <c r="AD68" s="1419"/>
      <c r="AE68" s="1419"/>
      <c r="AF68" s="1419"/>
      <c r="AG68" s="1419"/>
      <c r="AH68" s="1419"/>
      <c r="AI68" s="1419"/>
      <c r="AJ68" s="1419"/>
    </row>
    <row r="69" spans="1:37" x14ac:dyDescent="0.3">
      <c r="P69" s="15"/>
      <c r="AC69" s="186"/>
      <c r="AD69" s="186"/>
      <c r="AE69" s="186"/>
      <c r="AF69" s="186"/>
      <c r="AG69" s="186"/>
      <c r="AH69" s="186"/>
      <c r="AI69" s="186"/>
      <c r="AJ69" s="186"/>
      <c r="AK69" s="390" t="b">
        <v>0</v>
      </c>
    </row>
    <row r="70" spans="1:37" ht="35.25" customHeight="1" x14ac:dyDescent="0.5">
      <c r="A70" s="1321" t="s">
        <v>45</v>
      </c>
      <c r="B70" s="1321"/>
      <c r="C70" s="1321"/>
      <c r="D70" s="1321"/>
      <c r="E70" s="1321"/>
      <c r="F70" s="1321"/>
      <c r="G70" s="1321"/>
      <c r="H70" s="1321"/>
      <c r="I70" s="1321"/>
      <c r="J70" s="1321"/>
      <c r="K70" s="1321"/>
      <c r="L70" s="1321"/>
      <c r="M70" s="1321"/>
      <c r="N70" s="1321"/>
    </row>
    <row r="71" spans="1:37" ht="23.4" x14ac:dyDescent="0.45">
      <c r="A71" s="1409" t="s">
        <v>44</v>
      </c>
      <c r="B71" s="1409"/>
      <c r="C71" s="1409"/>
      <c r="D71" s="1409"/>
      <c r="E71" s="1409"/>
      <c r="F71" s="1409"/>
      <c r="G71" s="1409"/>
      <c r="H71" s="1409"/>
      <c r="I71" s="1409"/>
      <c r="J71" s="1409"/>
      <c r="K71" s="1409"/>
      <c r="L71" s="1409"/>
      <c r="M71" s="1409"/>
      <c r="N71" s="1409"/>
    </row>
    <row r="72" spans="1:37" x14ac:dyDescent="0.3">
      <c r="A72" s="1245"/>
      <c r="B72" s="1245"/>
      <c r="C72" s="1245"/>
      <c r="D72" s="1245"/>
      <c r="E72" s="1245"/>
      <c r="F72" s="1245"/>
      <c r="G72" s="1245"/>
      <c r="H72" s="1245"/>
      <c r="I72" s="1245"/>
      <c r="J72" s="1245"/>
      <c r="K72" s="1245"/>
      <c r="L72" s="1245"/>
      <c r="M72" s="1245"/>
      <c r="N72" s="1245"/>
    </row>
    <row r="73" spans="1:37" x14ac:dyDescent="0.3">
      <c r="A73" s="1245"/>
      <c r="B73" s="1245"/>
      <c r="C73" s="1245"/>
      <c r="D73" s="1245"/>
      <c r="E73" s="1245"/>
      <c r="F73" s="1245"/>
      <c r="G73" s="1245"/>
      <c r="H73" s="1245"/>
      <c r="I73" s="1245"/>
      <c r="J73" s="1245"/>
      <c r="K73" s="1245"/>
      <c r="L73" s="1245"/>
      <c r="M73" s="1245"/>
      <c r="N73" s="1245"/>
    </row>
    <row r="74" spans="1:37" x14ac:dyDescent="0.3">
      <c r="A74" s="1324" t="s">
        <v>223</v>
      </c>
      <c r="B74" s="1324"/>
      <c r="C74" s="1324"/>
      <c r="D74" s="1324"/>
      <c r="E74" s="1324"/>
      <c r="F74" s="1324"/>
      <c r="G74" s="1324"/>
      <c r="H74" s="1324"/>
      <c r="I74" s="1324"/>
      <c r="J74" s="1324"/>
      <c r="K74" s="1324"/>
      <c r="L74" s="1324"/>
      <c r="M74" s="1324"/>
      <c r="N74" s="1324"/>
    </row>
    <row r="75" spans="1:37" ht="8.25" customHeight="1" x14ac:dyDescent="0.3">
      <c r="A75" s="196"/>
      <c r="B75" s="196"/>
      <c r="C75" s="196"/>
      <c r="D75" s="196"/>
      <c r="E75" s="196"/>
      <c r="F75" s="196"/>
      <c r="G75" s="196"/>
      <c r="H75" s="196"/>
      <c r="I75" s="196"/>
      <c r="J75" s="196"/>
      <c r="K75" s="196"/>
      <c r="L75" s="196"/>
      <c r="M75" s="196"/>
      <c r="N75" s="196"/>
    </row>
    <row r="76" spans="1:37" x14ac:dyDescent="0.3">
      <c r="A76" s="1903" t="s">
        <v>70</v>
      </c>
      <c r="B76" s="1903"/>
      <c r="C76" s="1903"/>
      <c r="D76" s="1903"/>
      <c r="E76" s="1903"/>
      <c r="F76" s="1903"/>
      <c r="G76" s="1903"/>
      <c r="H76" s="1903"/>
      <c r="I76" s="1903"/>
      <c r="J76" s="1903"/>
      <c r="K76" s="1903"/>
      <c r="L76" s="1903"/>
      <c r="M76" s="1903"/>
      <c r="N76" s="1903"/>
      <c r="O76" s="1903"/>
    </row>
    <row r="77" spans="1:37" x14ac:dyDescent="0.3">
      <c r="A77" s="1903" t="s">
        <v>71</v>
      </c>
      <c r="B77" s="1903"/>
      <c r="C77" s="1903"/>
      <c r="D77" s="1903"/>
      <c r="E77" s="1903"/>
      <c r="F77" s="1903"/>
      <c r="G77" s="1903"/>
      <c r="H77" s="1903"/>
      <c r="I77" s="1903"/>
      <c r="J77" s="1903"/>
      <c r="K77" s="1903"/>
      <c r="L77" s="1903"/>
      <c r="M77" s="1903"/>
      <c r="N77" s="1903"/>
      <c r="O77" s="1903"/>
    </row>
    <row r="78" spans="1:37" ht="15" customHeight="1" x14ac:dyDescent="0.3">
      <c r="A78" s="1857" t="s">
        <v>560</v>
      </c>
      <c r="B78" s="1857"/>
      <c r="C78" s="1857"/>
      <c r="D78" s="1857"/>
      <c r="E78" s="1857"/>
      <c r="F78" s="1857"/>
      <c r="G78" s="1857"/>
      <c r="H78" s="1857"/>
      <c r="I78" s="1857"/>
      <c r="J78" s="1857"/>
      <c r="K78" s="1857"/>
      <c r="L78" s="1857"/>
      <c r="M78" s="1857"/>
      <c r="N78" s="1857"/>
      <c r="O78" s="1857"/>
    </row>
    <row r="79" spans="1:37" ht="15" customHeight="1" x14ac:dyDescent="0.3">
      <c r="A79" s="1857" t="s">
        <v>770</v>
      </c>
      <c r="B79" s="1857"/>
      <c r="C79" s="1857"/>
      <c r="D79" s="1857"/>
      <c r="E79" s="1857"/>
      <c r="F79" s="1857"/>
      <c r="G79" s="1857"/>
      <c r="H79" s="1857"/>
      <c r="I79" s="1857"/>
      <c r="J79" s="1857"/>
      <c r="K79" s="1857"/>
      <c r="L79" s="1857"/>
      <c r="M79" s="1857"/>
      <c r="N79" s="1857"/>
      <c r="O79" s="1857"/>
    </row>
    <row r="80" spans="1:37" ht="15" customHeight="1" x14ac:dyDescent="0.3">
      <c r="A80" s="1857" t="s">
        <v>561</v>
      </c>
      <c r="B80" s="1857"/>
      <c r="C80" s="1857"/>
      <c r="D80" s="1857"/>
      <c r="E80" s="1857"/>
      <c r="F80" s="1857"/>
      <c r="G80" s="1857"/>
      <c r="H80" s="1857"/>
      <c r="I80" s="1857"/>
      <c r="J80" s="1857"/>
      <c r="K80" s="1857"/>
      <c r="L80" s="1857"/>
      <c r="M80" s="1857"/>
      <c r="N80" s="1857"/>
      <c r="O80" s="1857"/>
    </row>
    <row r="81" spans="1:15" ht="15" customHeight="1" x14ac:dyDescent="0.3">
      <c r="A81" s="1857" t="s">
        <v>771</v>
      </c>
      <c r="B81" s="1857"/>
      <c r="C81" s="1857"/>
      <c r="D81" s="1857"/>
      <c r="E81" s="1857"/>
      <c r="F81" s="1857"/>
      <c r="G81" s="1857"/>
      <c r="H81" s="1857"/>
      <c r="I81" s="1857"/>
      <c r="J81" s="1857"/>
      <c r="K81" s="1857"/>
      <c r="L81" s="1857"/>
      <c r="M81" s="1857"/>
      <c r="N81" s="1857"/>
      <c r="O81" s="1857"/>
    </row>
    <row r="82" spans="1:15" x14ac:dyDescent="0.3">
      <c r="A82" s="29"/>
      <c r="B82" s="29"/>
      <c r="C82" s="29"/>
      <c r="D82" s="29"/>
      <c r="E82" s="29"/>
      <c r="F82" s="29"/>
      <c r="G82" s="29"/>
      <c r="H82" s="29"/>
      <c r="I82" s="29"/>
      <c r="J82" s="29"/>
      <c r="K82" s="29"/>
      <c r="L82" s="29"/>
      <c r="M82" s="29"/>
      <c r="N82" s="29"/>
      <c r="O82" s="29"/>
    </row>
    <row r="83" spans="1:15" x14ac:dyDescent="0.3">
      <c r="A83" s="1903" t="s">
        <v>489</v>
      </c>
      <c r="B83" s="1903"/>
      <c r="C83" s="1903"/>
      <c r="D83" s="1903"/>
      <c r="E83" s="1903"/>
      <c r="F83" s="1903"/>
      <c r="G83" s="1903"/>
      <c r="H83" s="1903"/>
      <c r="I83" s="1903"/>
      <c r="J83" s="1903"/>
      <c r="K83" s="1903"/>
      <c r="L83" s="1903"/>
      <c r="M83" s="1903"/>
      <c r="N83" s="1903"/>
      <c r="O83" s="1903"/>
    </row>
    <row r="84" spans="1:15" x14ac:dyDescent="0.3">
      <c r="A84" s="1903" t="s">
        <v>490</v>
      </c>
      <c r="B84" s="1903"/>
      <c r="C84" s="1903"/>
      <c r="D84" s="1903"/>
      <c r="E84" s="1903"/>
      <c r="F84" s="1903"/>
      <c r="G84" s="1903"/>
      <c r="H84" s="1903"/>
      <c r="I84" s="1903"/>
      <c r="J84" s="1903"/>
      <c r="K84" s="1903"/>
      <c r="L84" s="1903"/>
      <c r="M84" s="1903"/>
      <c r="N84" s="1903"/>
      <c r="O84" s="1903"/>
    </row>
    <row r="85" spans="1:15" x14ac:dyDescent="0.3">
      <c r="A85" s="1903" t="s">
        <v>283</v>
      </c>
      <c r="B85" s="1903"/>
      <c r="C85" s="1903"/>
      <c r="D85" s="1903"/>
      <c r="E85" s="1903"/>
      <c r="F85" s="1903"/>
      <c r="G85" s="1903"/>
      <c r="H85" s="1903"/>
      <c r="I85" s="1903"/>
      <c r="J85" s="1903"/>
      <c r="K85" s="1903"/>
      <c r="L85" s="1903"/>
      <c r="M85" s="1903"/>
      <c r="N85" s="1903"/>
      <c r="O85" s="1903"/>
    </row>
    <row r="86" spans="1:15" x14ac:dyDescent="0.3">
      <c r="A86" s="1903" t="s">
        <v>281</v>
      </c>
      <c r="B86" s="1903"/>
      <c r="C86" s="1903"/>
      <c r="D86" s="1903"/>
      <c r="E86" s="1903"/>
      <c r="F86" s="1903"/>
      <c r="G86" s="1903"/>
      <c r="H86" s="1903"/>
      <c r="I86" s="1903"/>
      <c r="J86" s="1903"/>
      <c r="K86" s="1903"/>
      <c r="L86" s="1903"/>
      <c r="M86" s="1903"/>
      <c r="N86" s="1903"/>
      <c r="O86" s="1903"/>
    </row>
    <row r="87" spans="1:15" x14ac:dyDescent="0.3">
      <c r="A87" s="1903" t="s">
        <v>282</v>
      </c>
      <c r="B87" s="1903"/>
      <c r="C87" s="1903"/>
      <c r="D87" s="1903"/>
      <c r="E87" s="1903"/>
      <c r="F87" s="1903"/>
      <c r="G87" s="1903"/>
      <c r="H87" s="1903"/>
      <c r="I87" s="1903"/>
      <c r="J87" s="1903"/>
      <c r="K87" s="1903"/>
      <c r="L87" s="1903"/>
      <c r="M87" s="1903"/>
      <c r="N87" s="1903"/>
      <c r="O87" s="1903"/>
    </row>
    <row r="88" spans="1:15" x14ac:dyDescent="0.3">
      <c r="A88" s="1903" t="s">
        <v>284</v>
      </c>
      <c r="B88" s="1903"/>
      <c r="C88" s="1903"/>
      <c r="D88" s="1903"/>
      <c r="E88" s="1903"/>
      <c r="F88" s="1903"/>
      <c r="G88" s="1903"/>
      <c r="H88" s="1903"/>
      <c r="I88" s="1903"/>
      <c r="J88" s="1903"/>
      <c r="K88" s="1903"/>
      <c r="L88" s="1903"/>
      <c r="M88" s="1903"/>
      <c r="N88" s="1903"/>
      <c r="O88" s="1903"/>
    </row>
    <row r="89" spans="1:15" x14ac:dyDescent="0.3">
      <c r="A89" s="1903" t="s">
        <v>295</v>
      </c>
      <c r="B89" s="1903"/>
      <c r="C89" s="1903"/>
      <c r="D89" s="1903"/>
      <c r="E89" s="1903"/>
      <c r="F89" s="1903"/>
      <c r="G89" s="1903"/>
      <c r="H89" s="1903"/>
      <c r="I89" s="1903"/>
      <c r="J89" s="1903"/>
      <c r="K89" s="1903"/>
      <c r="L89" s="1903"/>
      <c r="M89" s="1903"/>
      <c r="N89" s="1903"/>
      <c r="O89" s="1903"/>
    </row>
    <row r="90" spans="1:15" x14ac:dyDescent="0.3">
      <c r="A90" s="1903" t="s">
        <v>469</v>
      </c>
      <c r="B90" s="1903"/>
      <c r="C90" s="1903"/>
      <c r="D90" s="1903"/>
      <c r="E90" s="1903"/>
      <c r="F90" s="1903"/>
      <c r="G90" s="1903"/>
      <c r="H90" s="1903"/>
      <c r="I90" s="1903"/>
      <c r="J90" s="1903"/>
      <c r="K90" s="1903"/>
      <c r="L90" s="1903"/>
      <c r="M90" s="1903"/>
      <c r="N90" s="1903"/>
      <c r="O90" s="1903"/>
    </row>
    <row r="91" spans="1:15" x14ac:dyDescent="0.3">
      <c r="A91" s="29"/>
      <c r="B91" s="29"/>
      <c r="C91" s="29"/>
      <c r="D91" s="29"/>
      <c r="E91" s="29"/>
      <c r="F91" s="29"/>
      <c r="G91" s="29"/>
      <c r="H91" s="29"/>
      <c r="I91" s="29"/>
      <c r="J91" s="29"/>
      <c r="K91" s="29"/>
      <c r="L91" s="29"/>
      <c r="M91" s="29"/>
      <c r="N91" s="29"/>
      <c r="O91" s="29"/>
    </row>
    <row r="92" spans="1:15" x14ac:dyDescent="0.3">
      <c r="A92" s="1903" t="s">
        <v>767</v>
      </c>
      <c r="B92" s="1903"/>
      <c r="C92" s="1903"/>
      <c r="D92" s="1903"/>
      <c r="E92" s="1903"/>
      <c r="F92" s="1903"/>
      <c r="G92" s="1903"/>
      <c r="H92" s="1903"/>
      <c r="I92" s="1903"/>
      <c r="J92" s="1903"/>
      <c r="K92" s="1903"/>
      <c r="L92" s="1903"/>
      <c r="M92" s="1903"/>
      <c r="N92" s="1903"/>
      <c r="O92" s="1903"/>
    </row>
    <row r="93" spans="1:15" x14ac:dyDescent="0.3">
      <c r="A93" s="1903" t="s">
        <v>768</v>
      </c>
      <c r="B93" s="1903"/>
      <c r="C93" s="1903"/>
      <c r="D93" s="1903"/>
      <c r="E93" s="1903"/>
      <c r="F93" s="1903"/>
      <c r="G93" s="1903"/>
      <c r="H93" s="1903"/>
      <c r="I93" s="1903"/>
      <c r="J93" s="1903"/>
      <c r="K93" s="1903"/>
      <c r="L93" s="1903"/>
      <c r="M93" s="1903"/>
      <c r="N93" s="1903"/>
      <c r="O93" s="1903"/>
    </row>
    <row r="94" spans="1:15" x14ac:dyDescent="0.3">
      <c r="A94" s="1903" t="s">
        <v>772</v>
      </c>
      <c r="B94" s="1903"/>
      <c r="C94" s="1903"/>
      <c r="D94" s="1903"/>
      <c r="E94" s="1903"/>
      <c r="F94" s="1903"/>
      <c r="G94" s="1903"/>
      <c r="H94" s="1903"/>
      <c r="I94" s="1903"/>
      <c r="J94" s="1903"/>
      <c r="K94" s="1903"/>
      <c r="L94" s="1903"/>
      <c r="M94" s="1903"/>
      <c r="N94" s="1903"/>
      <c r="O94" s="1903"/>
    </row>
    <row r="95" spans="1:15" x14ac:dyDescent="0.3">
      <c r="A95" s="29"/>
      <c r="B95" s="29"/>
      <c r="C95" s="29"/>
      <c r="D95" s="29"/>
      <c r="E95" s="29"/>
      <c r="F95" s="29"/>
      <c r="G95" s="29"/>
      <c r="H95" s="29"/>
      <c r="I95" s="29"/>
      <c r="J95" s="29"/>
      <c r="K95" s="29"/>
      <c r="L95" s="29"/>
      <c r="M95" s="29"/>
      <c r="N95" s="29"/>
      <c r="O95" s="29"/>
    </row>
    <row r="96" spans="1:15" x14ac:dyDescent="0.3">
      <c r="A96" s="1903" t="s">
        <v>276</v>
      </c>
      <c r="B96" s="1903"/>
      <c r="C96" s="1903"/>
      <c r="D96" s="1903"/>
      <c r="E96" s="1903"/>
      <c r="F96" s="1903"/>
      <c r="G96" s="1903"/>
      <c r="H96" s="1903"/>
      <c r="I96" s="1903"/>
      <c r="J96" s="1903"/>
      <c r="K96" s="1903"/>
      <c r="L96" s="1903"/>
      <c r="M96" s="1903"/>
      <c r="N96" s="1903"/>
      <c r="O96" s="1903"/>
    </row>
    <row r="97" spans="1:15" ht="15" customHeight="1" x14ac:dyDescent="0.3">
      <c r="A97" s="2077" t="s">
        <v>775</v>
      </c>
      <c r="B97" s="2077"/>
      <c r="C97" s="2077"/>
      <c r="D97" s="2077"/>
      <c r="E97" s="2077"/>
      <c r="F97" s="2077"/>
      <c r="G97" s="2077"/>
      <c r="H97" s="2077"/>
      <c r="I97" s="2077"/>
      <c r="J97" s="2077"/>
      <c r="K97" s="2077"/>
      <c r="L97" s="2077"/>
      <c r="M97" s="2077"/>
      <c r="N97" s="2077"/>
      <c r="O97" s="2077"/>
    </row>
    <row r="98" spans="1:15" ht="15" customHeight="1" x14ac:dyDescent="0.3">
      <c r="A98" s="2077" t="s">
        <v>776</v>
      </c>
      <c r="B98" s="2077"/>
      <c r="C98" s="2077"/>
      <c r="D98" s="2077"/>
      <c r="E98" s="2077"/>
      <c r="F98" s="2077"/>
      <c r="G98" s="2077"/>
      <c r="H98" s="2077"/>
      <c r="I98" s="2077"/>
      <c r="J98" s="2077"/>
      <c r="K98" s="2077"/>
      <c r="L98" s="2077"/>
      <c r="M98" s="2077"/>
      <c r="N98" s="2077"/>
      <c r="O98" s="2077"/>
    </row>
    <row r="99" spans="1:15" ht="15" customHeight="1" x14ac:dyDescent="0.3">
      <c r="A99" s="2077" t="s">
        <v>777</v>
      </c>
      <c r="B99" s="2077"/>
      <c r="C99" s="2077"/>
      <c r="D99" s="2077"/>
      <c r="E99" s="2077"/>
      <c r="F99" s="2077"/>
      <c r="G99" s="2077"/>
      <c r="H99" s="2077"/>
      <c r="I99" s="2077"/>
      <c r="J99" s="2077"/>
      <c r="K99" s="2077"/>
      <c r="L99" s="2077"/>
      <c r="M99" s="2077"/>
      <c r="N99" s="2077"/>
      <c r="O99" s="2077"/>
    </row>
    <row r="100" spans="1:15" ht="15" customHeight="1" x14ac:dyDescent="0.3">
      <c r="A100" s="29"/>
      <c r="B100" s="29"/>
      <c r="C100" s="29"/>
      <c r="D100" s="29"/>
      <c r="E100" s="29"/>
      <c r="F100" s="29"/>
      <c r="G100" s="29"/>
      <c r="H100" s="29"/>
      <c r="I100" s="29"/>
      <c r="J100" s="29"/>
      <c r="K100" s="29"/>
      <c r="L100" s="29"/>
      <c r="M100" s="29"/>
      <c r="N100" s="29"/>
      <c r="O100" s="32"/>
    </row>
    <row r="101" spans="1:15" ht="15" customHeight="1" x14ac:dyDescent="0.3">
      <c r="A101" s="1903" t="s">
        <v>289</v>
      </c>
      <c r="B101" s="1903"/>
      <c r="C101" s="1903"/>
      <c r="D101" s="1903"/>
      <c r="E101" s="1903"/>
      <c r="F101" s="1903"/>
      <c r="G101" s="1903"/>
      <c r="H101" s="1903"/>
      <c r="I101" s="1903"/>
      <c r="J101" s="1903"/>
      <c r="K101" s="1903"/>
      <c r="L101" s="1903"/>
      <c r="M101" s="1903"/>
      <c r="N101" s="1903"/>
      <c r="O101" s="1903"/>
    </row>
    <row r="102" spans="1:15" ht="15" customHeight="1" x14ac:dyDescent="0.3">
      <c r="A102" s="1903" t="s">
        <v>279</v>
      </c>
      <c r="B102" s="1903"/>
      <c r="C102" s="1903"/>
      <c r="D102" s="1903"/>
      <c r="E102" s="1903"/>
      <c r="F102" s="1903"/>
      <c r="G102" s="1903"/>
      <c r="H102" s="1903"/>
      <c r="I102" s="1903"/>
      <c r="J102" s="1903"/>
      <c r="K102" s="1903"/>
      <c r="L102" s="1903"/>
      <c r="M102" s="1903"/>
      <c r="N102" s="1903"/>
      <c r="O102" s="1903"/>
    </row>
    <row r="103" spans="1:15" ht="15" customHeight="1" x14ac:dyDescent="0.3">
      <c r="A103" s="1903" t="s">
        <v>264</v>
      </c>
      <c r="B103" s="1903"/>
      <c r="C103" s="1903"/>
      <c r="D103" s="1903"/>
      <c r="E103" s="1903"/>
      <c r="F103" s="1903"/>
      <c r="G103" s="1903"/>
      <c r="H103" s="1903"/>
      <c r="I103" s="1903"/>
      <c r="J103" s="1903"/>
      <c r="K103" s="1903"/>
      <c r="L103" s="1903"/>
      <c r="M103" s="1903"/>
      <c r="N103" s="1903"/>
      <c r="O103" s="1903"/>
    </row>
    <row r="104" spans="1:15" ht="15" customHeight="1" x14ac:dyDescent="0.3">
      <c r="A104" s="29"/>
      <c r="B104" s="29"/>
      <c r="C104" s="29"/>
      <c r="D104" s="29"/>
      <c r="E104" s="29"/>
      <c r="F104" s="29"/>
      <c r="G104" s="29"/>
      <c r="H104" s="29"/>
      <c r="I104" s="29"/>
      <c r="J104" s="29"/>
      <c r="K104" s="29"/>
      <c r="L104" s="29"/>
      <c r="M104" s="29"/>
      <c r="N104" s="29"/>
      <c r="O104" s="32"/>
    </row>
    <row r="105" spans="1:15" ht="15" customHeight="1" x14ac:dyDescent="0.3">
      <c r="A105" s="1903" t="s">
        <v>278</v>
      </c>
      <c r="B105" s="1903"/>
      <c r="C105" s="1903"/>
      <c r="D105" s="1903"/>
      <c r="E105" s="1903"/>
      <c r="F105" s="1903"/>
      <c r="G105" s="1903"/>
      <c r="H105" s="1903"/>
      <c r="I105" s="1903"/>
      <c r="J105" s="1903"/>
      <c r="K105" s="1903"/>
      <c r="L105" s="1903"/>
      <c r="M105" s="1903"/>
      <c r="N105" s="1903"/>
      <c r="O105" s="1903"/>
    </row>
    <row r="106" spans="1:15" ht="15" customHeight="1" x14ac:dyDescent="0.3">
      <c r="A106" s="1392" t="s">
        <v>69</v>
      </c>
      <c r="B106" s="1392"/>
      <c r="C106" s="1392"/>
      <c r="D106" s="1392"/>
      <c r="E106" s="1392"/>
      <c r="F106" s="1392"/>
      <c r="G106" s="1392"/>
      <c r="H106" s="1392"/>
      <c r="I106" s="1392"/>
      <c r="J106" s="1392"/>
      <c r="K106" s="1392"/>
      <c r="L106" s="1392"/>
      <c r="M106" s="1392"/>
      <c r="N106" s="1392"/>
      <c r="O106" s="32"/>
    </row>
    <row r="107" spans="1:15" x14ac:dyDescent="0.3">
      <c r="A107" s="1903" t="s">
        <v>67</v>
      </c>
      <c r="B107" s="1903"/>
      <c r="C107" s="1903"/>
      <c r="D107" s="1903"/>
      <c r="E107" s="1903"/>
      <c r="F107" s="1903"/>
      <c r="G107" s="1903"/>
      <c r="H107" s="1903"/>
      <c r="I107" s="1903"/>
      <c r="J107" s="1903"/>
      <c r="K107" s="1903"/>
      <c r="L107" s="1903"/>
      <c r="M107" s="1903"/>
      <c r="N107" s="1903"/>
      <c r="O107" s="29"/>
    </row>
    <row r="108" spans="1:15" x14ac:dyDescent="0.3">
      <c r="A108" s="29"/>
      <c r="B108" s="29"/>
      <c r="C108" s="29"/>
      <c r="D108" s="29"/>
      <c r="E108" s="29"/>
      <c r="F108" s="29"/>
      <c r="G108" s="29"/>
      <c r="H108" s="29"/>
      <c r="I108" s="29"/>
      <c r="J108" s="29"/>
      <c r="K108" s="29"/>
      <c r="L108" s="29"/>
      <c r="M108" s="29"/>
      <c r="N108" s="29"/>
      <c r="O108" s="29"/>
    </row>
    <row r="109" spans="1:15" x14ac:dyDescent="0.3">
      <c r="A109" s="29"/>
      <c r="B109" s="29"/>
      <c r="C109" s="29"/>
      <c r="D109" s="29"/>
      <c r="E109" s="29"/>
      <c r="F109" s="29"/>
      <c r="G109" s="29"/>
      <c r="H109" s="29"/>
      <c r="I109" s="29"/>
      <c r="J109" s="29"/>
      <c r="K109" s="29"/>
      <c r="L109" s="29"/>
      <c r="M109" s="29"/>
      <c r="N109" s="29"/>
      <c r="O109" s="33"/>
    </row>
    <row r="110" spans="1:15" x14ac:dyDescent="0.3">
      <c r="A110" s="29"/>
      <c r="B110" s="29"/>
      <c r="C110" s="29"/>
      <c r="D110" s="29"/>
      <c r="E110" s="29"/>
      <c r="F110" s="29"/>
      <c r="G110" s="29"/>
      <c r="H110" s="29"/>
      <c r="I110" s="29"/>
      <c r="J110" s="29"/>
      <c r="K110" s="29"/>
      <c r="L110" s="29"/>
      <c r="M110" s="29"/>
      <c r="N110" s="29"/>
      <c r="O110" s="29"/>
    </row>
    <row r="111" spans="1:15" x14ac:dyDescent="0.3">
      <c r="A111" s="29"/>
      <c r="B111" s="29"/>
      <c r="C111" s="29"/>
      <c r="D111" s="29"/>
      <c r="E111" s="29"/>
      <c r="F111" s="29"/>
      <c r="G111" s="29"/>
      <c r="H111" s="29"/>
      <c r="I111" s="29"/>
      <c r="J111" s="29"/>
      <c r="K111" s="29"/>
      <c r="L111" s="29"/>
      <c r="M111" s="29"/>
      <c r="N111" s="29"/>
      <c r="O111" s="29"/>
    </row>
    <row r="112" spans="1:15" x14ac:dyDescent="0.3">
      <c r="A112" s="29"/>
      <c r="B112" s="29"/>
      <c r="C112" s="29"/>
      <c r="D112" s="29"/>
      <c r="E112" s="29"/>
      <c r="F112" s="29"/>
      <c r="G112" s="29"/>
      <c r="H112" s="29"/>
      <c r="I112" s="29"/>
      <c r="J112" s="29"/>
      <c r="K112" s="29"/>
      <c r="L112" s="29"/>
      <c r="M112" s="29"/>
      <c r="N112" s="29"/>
      <c r="O112" s="29"/>
    </row>
    <row r="113" spans="1:15" x14ac:dyDescent="0.3">
      <c r="A113" s="29"/>
      <c r="B113" s="29"/>
      <c r="C113" s="29"/>
      <c r="D113" s="29"/>
      <c r="E113" s="29"/>
      <c r="F113" s="29"/>
      <c r="G113" s="29"/>
      <c r="H113" s="29"/>
      <c r="I113" s="29"/>
      <c r="J113" s="29"/>
      <c r="K113" s="29"/>
      <c r="L113" s="29"/>
      <c r="M113" s="29"/>
      <c r="N113" s="29"/>
      <c r="O113" s="29"/>
    </row>
    <row r="114" spans="1:15" x14ac:dyDescent="0.3">
      <c r="A114" s="29"/>
      <c r="B114" s="29"/>
      <c r="C114" s="29"/>
      <c r="D114" s="29"/>
      <c r="E114" s="29"/>
      <c r="F114" s="29"/>
      <c r="G114" s="29"/>
      <c r="H114" s="29"/>
      <c r="I114" s="29"/>
      <c r="J114" s="29"/>
      <c r="K114" s="29"/>
      <c r="L114" s="29"/>
      <c r="M114" s="29"/>
      <c r="N114" s="29"/>
      <c r="O114" s="29"/>
    </row>
    <row r="115" spans="1:15" x14ac:dyDescent="0.3">
      <c r="A115" s="29"/>
      <c r="B115" s="29"/>
      <c r="C115" s="29"/>
      <c r="D115" s="29"/>
      <c r="E115" s="29"/>
      <c r="F115" s="29"/>
      <c r="G115" s="29"/>
      <c r="H115" s="29"/>
      <c r="I115" s="29"/>
      <c r="J115" s="29"/>
      <c r="K115" s="29"/>
      <c r="L115" s="29"/>
      <c r="M115" s="29"/>
      <c r="N115" s="29"/>
      <c r="O115" s="29"/>
    </row>
    <row r="116" spans="1:15" x14ac:dyDescent="0.3">
      <c r="A116" s="29"/>
      <c r="B116" s="29"/>
      <c r="C116" s="29"/>
      <c r="D116" s="29"/>
      <c r="E116" s="29"/>
      <c r="F116" s="29"/>
      <c r="G116" s="29"/>
      <c r="H116" s="29"/>
      <c r="I116" s="29"/>
      <c r="J116" s="29"/>
      <c r="K116" s="29"/>
      <c r="L116" s="29"/>
      <c r="M116" s="29"/>
      <c r="N116" s="29"/>
      <c r="O116" s="29"/>
    </row>
    <row r="117" spans="1:15" x14ac:dyDescent="0.3">
      <c r="A117" s="29"/>
      <c r="B117" s="29"/>
      <c r="C117" s="29"/>
      <c r="D117" s="29"/>
      <c r="E117" s="29"/>
      <c r="F117" s="29"/>
      <c r="G117" s="29"/>
      <c r="H117" s="29"/>
      <c r="I117" s="29"/>
      <c r="J117" s="29"/>
      <c r="K117" s="29"/>
      <c r="L117" s="29"/>
      <c r="M117" s="29"/>
      <c r="N117" s="29"/>
      <c r="O117" s="29"/>
    </row>
    <row r="118" spans="1:15" x14ac:dyDescent="0.3">
      <c r="A118" s="29"/>
      <c r="B118" s="29"/>
      <c r="C118" s="29"/>
      <c r="D118" s="29"/>
      <c r="E118" s="29"/>
      <c r="F118" s="29"/>
      <c r="G118" s="29"/>
      <c r="H118" s="29"/>
      <c r="I118" s="29"/>
      <c r="J118" s="29"/>
      <c r="K118" s="29"/>
      <c r="L118" s="29"/>
      <c r="M118" s="29"/>
      <c r="N118" s="29"/>
      <c r="O118" s="29"/>
    </row>
    <row r="119" spans="1:15" x14ac:dyDescent="0.3">
      <c r="A119" s="29"/>
      <c r="B119" s="29"/>
      <c r="C119" s="29"/>
      <c r="D119" s="29"/>
      <c r="E119" s="29"/>
      <c r="F119" s="29"/>
      <c r="G119" s="29"/>
      <c r="H119" s="29"/>
      <c r="I119" s="29"/>
      <c r="J119" s="29"/>
      <c r="K119" s="29"/>
      <c r="L119" s="29"/>
      <c r="M119" s="29"/>
      <c r="N119" s="29"/>
      <c r="O119" s="29"/>
    </row>
    <row r="120" spans="1:15" x14ac:dyDescent="0.3">
      <c r="A120" s="29"/>
      <c r="B120" s="29"/>
      <c r="C120" s="29"/>
      <c r="D120" s="29"/>
      <c r="E120" s="29"/>
      <c r="F120" s="29"/>
      <c r="G120" s="29"/>
      <c r="H120" s="29"/>
      <c r="I120" s="29"/>
      <c r="J120" s="29"/>
      <c r="K120" s="29"/>
      <c r="L120" s="29"/>
      <c r="M120" s="29"/>
      <c r="N120" s="29"/>
      <c r="O120" s="29"/>
    </row>
    <row r="121" spans="1:15" x14ac:dyDescent="0.3">
      <c r="A121" s="29"/>
      <c r="B121" s="29"/>
      <c r="C121" s="29"/>
      <c r="D121" s="29"/>
      <c r="E121" s="29"/>
      <c r="F121" s="29"/>
      <c r="G121" s="29"/>
      <c r="H121" s="29"/>
      <c r="I121" s="29"/>
      <c r="J121" s="29"/>
      <c r="K121" s="29"/>
      <c r="L121" s="29"/>
      <c r="M121" s="29"/>
      <c r="N121" s="29"/>
      <c r="O121" s="29"/>
    </row>
    <row r="122" spans="1:15" x14ac:dyDescent="0.3">
      <c r="A122" s="29"/>
      <c r="B122" s="29"/>
      <c r="C122" s="29"/>
      <c r="D122" s="29"/>
      <c r="E122" s="29"/>
      <c r="F122" s="29"/>
      <c r="G122" s="29"/>
      <c r="H122" s="29"/>
      <c r="I122" s="29"/>
      <c r="J122" s="29"/>
      <c r="K122" s="29"/>
      <c r="L122" s="29"/>
      <c r="M122" s="29"/>
      <c r="N122" s="29"/>
      <c r="O122" s="29"/>
    </row>
    <row r="123" spans="1:15" x14ac:dyDescent="0.3">
      <c r="A123" s="29"/>
      <c r="B123" s="29"/>
      <c r="C123" s="29"/>
      <c r="D123" s="29"/>
      <c r="E123" s="29"/>
      <c r="F123" s="29"/>
      <c r="G123" s="29"/>
      <c r="H123" s="29"/>
      <c r="I123" s="29"/>
      <c r="J123" s="29"/>
      <c r="K123" s="29"/>
      <c r="L123" s="29"/>
      <c r="M123" s="29"/>
      <c r="N123" s="29"/>
      <c r="O123" s="29"/>
    </row>
    <row r="124" spans="1:15" x14ac:dyDescent="0.3">
      <c r="A124" s="29"/>
      <c r="B124" s="29"/>
      <c r="C124" s="29"/>
      <c r="D124" s="29"/>
      <c r="E124" s="29"/>
      <c r="F124" s="29"/>
      <c r="G124" s="29"/>
      <c r="H124" s="29"/>
      <c r="I124" s="29"/>
      <c r="J124" s="29"/>
      <c r="K124" s="29"/>
      <c r="L124" s="29"/>
      <c r="M124" s="29"/>
      <c r="N124" s="29"/>
      <c r="O124" s="29"/>
    </row>
    <row r="125" spans="1:15" x14ac:dyDescent="0.3">
      <c r="A125" s="29"/>
      <c r="B125" s="29"/>
      <c r="C125" s="29"/>
      <c r="D125" s="29"/>
      <c r="E125" s="29"/>
      <c r="F125" s="29"/>
      <c r="G125" s="29"/>
      <c r="H125" s="29"/>
      <c r="I125" s="29"/>
      <c r="J125" s="29"/>
      <c r="K125" s="29"/>
      <c r="L125" s="29"/>
      <c r="M125" s="29"/>
      <c r="N125" s="29"/>
      <c r="O125" s="29"/>
    </row>
    <row r="126" spans="1:15" x14ac:dyDescent="0.3">
      <c r="A126" s="29"/>
      <c r="B126" s="29"/>
      <c r="C126" s="29"/>
      <c r="D126" s="29"/>
      <c r="E126" s="29"/>
      <c r="F126" s="29"/>
      <c r="G126" s="29"/>
      <c r="H126" s="29"/>
      <c r="I126" s="29"/>
      <c r="J126" s="29"/>
      <c r="K126" s="29"/>
      <c r="L126" s="29"/>
      <c r="M126" s="29"/>
      <c r="N126" s="29"/>
      <c r="O126" s="29"/>
    </row>
    <row r="127" spans="1:15" x14ac:dyDescent="0.3">
      <c r="A127" s="29"/>
      <c r="B127" s="29"/>
      <c r="C127" s="29"/>
      <c r="D127" s="29"/>
      <c r="E127" s="29"/>
      <c r="F127" s="29"/>
      <c r="G127" s="29"/>
      <c r="H127" s="29"/>
      <c r="I127" s="29"/>
      <c r="J127" s="29"/>
      <c r="K127" s="29"/>
      <c r="L127" s="29"/>
      <c r="M127" s="29"/>
      <c r="N127" s="29"/>
      <c r="O127" s="29"/>
    </row>
    <row r="128" spans="1:15" x14ac:dyDescent="0.3">
      <c r="A128" s="29"/>
      <c r="B128" s="29"/>
      <c r="C128" s="29"/>
      <c r="D128" s="29"/>
      <c r="E128" s="29"/>
      <c r="F128" s="29"/>
      <c r="G128" s="29"/>
      <c r="H128" s="29"/>
      <c r="I128" s="29"/>
      <c r="J128" s="29"/>
      <c r="K128" s="29"/>
      <c r="L128" s="29"/>
      <c r="M128" s="29"/>
      <c r="N128" s="29"/>
      <c r="O128" s="29"/>
    </row>
    <row r="129" spans="1:15" x14ac:dyDescent="0.3">
      <c r="A129" s="29"/>
      <c r="B129" s="29"/>
      <c r="C129" s="29"/>
      <c r="D129" s="29"/>
      <c r="E129" s="29"/>
      <c r="F129" s="29"/>
      <c r="G129" s="29"/>
      <c r="H129" s="29"/>
      <c r="I129" s="29"/>
      <c r="J129" s="29"/>
      <c r="K129" s="29"/>
      <c r="L129" s="29"/>
      <c r="M129" s="29"/>
      <c r="N129" s="29"/>
      <c r="O129" s="29"/>
    </row>
    <row r="130" spans="1:15" x14ac:dyDescent="0.3">
      <c r="A130" s="29"/>
      <c r="B130" s="29"/>
      <c r="C130" s="29"/>
      <c r="D130" s="29"/>
      <c r="E130" s="29"/>
      <c r="F130" s="29"/>
      <c r="G130" s="29"/>
      <c r="H130" s="29"/>
      <c r="I130" s="29"/>
      <c r="J130" s="29"/>
      <c r="K130" s="29"/>
      <c r="L130" s="29"/>
      <c r="M130" s="29"/>
      <c r="N130" s="29"/>
      <c r="O130" s="29"/>
    </row>
    <row r="131" spans="1:15" x14ac:dyDescent="0.3">
      <c r="A131" s="29"/>
      <c r="B131" s="29"/>
      <c r="C131" s="29"/>
      <c r="D131" s="29"/>
      <c r="E131" s="29"/>
      <c r="F131" s="29"/>
      <c r="G131" s="29"/>
      <c r="H131" s="29"/>
      <c r="I131" s="29"/>
      <c r="J131" s="29"/>
      <c r="K131" s="29"/>
      <c r="L131" s="29"/>
      <c r="M131" s="29"/>
      <c r="N131" s="29"/>
      <c r="O131" s="29"/>
    </row>
    <row r="132" spans="1:15" x14ac:dyDescent="0.3">
      <c r="A132" s="29"/>
      <c r="B132" s="29"/>
      <c r="C132" s="29"/>
      <c r="D132" s="29"/>
      <c r="E132" s="29"/>
      <c r="F132" s="29"/>
      <c r="G132" s="29"/>
      <c r="H132" s="29"/>
      <c r="I132" s="29"/>
      <c r="J132" s="29"/>
      <c r="K132" s="29"/>
      <c r="L132" s="29"/>
      <c r="M132" s="29"/>
      <c r="N132" s="29"/>
      <c r="O132" s="29"/>
    </row>
    <row r="133" spans="1:15" x14ac:dyDescent="0.3">
      <c r="A133" s="29"/>
      <c r="B133" s="29"/>
      <c r="C133" s="29"/>
      <c r="D133" s="29"/>
      <c r="E133" s="29"/>
      <c r="F133" s="29"/>
      <c r="G133" s="29"/>
      <c r="H133" s="29"/>
      <c r="I133" s="29"/>
      <c r="J133" s="29"/>
      <c r="K133" s="29"/>
      <c r="L133" s="29"/>
      <c r="M133" s="29"/>
      <c r="N133" s="29"/>
      <c r="O133" s="29"/>
    </row>
    <row r="134" spans="1:15" x14ac:dyDescent="0.3">
      <c r="O134" s="29"/>
    </row>
    <row r="135" spans="1:15" x14ac:dyDescent="0.3">
      <c r="O135" s="29"/>
    </row>
    <row r="136" spans="1:15" x14ac:dyDescent="0.3">
      <c r="O136" s="29"/>
    </row>
  </sheetData>
  <sheetProtection algorithmName="SHA-512" hashValue="tmEUjQ6zTo8as7jgQsCO9XtNrKKphgG5two9rZpRjCq/eVB1VdDJSVT3jrGyVK+BrEyp5r6C4DxfkviKF6EXNA==" saltValue="SoIeR+A81c5a9ye9IrzIvw==" spinCount="100000" sheet="1" objects="1" scenarios="1" selectLockedCells="1"/>
  <mergeCells count="247">
    <mergeCell ref="Q1:S1"/>
    <mergeCell ref="F3:J4"/>
    <mergeCell ref="N2:N3"/>
    <mergeCell ref="K2:M2"/>
    <mergeCell ref="M24:N24"/>
    <mergeCell ref="B23:G23"/>
    <mergeCell ref="O30:O31"/>
    <mergeCell ref="A6:C6"/>
    <mergeCell ref="A8:C8"/>
    <mergeCell ref="J12:K12"/>
    <mergeCell ref="M12:N12"/>
    <mergeCell ref="J14:K14"/>
    <mergeCell ref="M14:N14"/>
    <mergeCell ref="J10:K10"/>
    <mergeCell ref="M10:N10"/>
    <mergeCell ref="J13:K13"/>
    <mergeCell ref="M13:N13"/>
    <mergeCell ref="B14:E14"/>
    <mergeCell ref="F14:I14"/>
    <mergeCell ref="J9:K9"/>
    <mergeCell ref="M9:N9"/>
    <mergeCell ref="D6:H6"/>
    <mergeCell ref="J7:O8"/>
    <mergeCell ref="J5:O6"/>
    <mergeCell ref="D8:H8"/>
    <mergeCell ref="H11:L11"/>
    <mergeCell ref="A13:I13"/>
    <mergeCell ref="B31:G31"/>
    <mergeCell ref="J32:K32"/>
    <mergeCell ref="M32:N32"/>
    <mergeCell ref="M26:N26"/>
    <mergeCell ref="M27:N27"/>
    <mergeCell ref="M29:N29"/>
    <mergeCell ref="B27:I27"/>
    <mergeCell ref="B29:I29"/>
    <mergeCell ref="J27:K27"/>
    <mergeCell ref="B28:I28"/>
    <mergeCell ref="J28:K28"/>
    <mergeCell ref="B26:G26"/>
    <mergeCell ref="J26:K26"/>
    <mergeCell ref="B30:G30"/>
    <mergeCell ref="I30:I31"/>
    <mergeCell ref="J30:K31"/>
    <mergeCell ref="L30:L31"/>
    <mergeCell ref="M30:N31"/>
    <mergeCell ref="M28:N28"/>
    <mergeCell ref="J29:K29"/>
    <mergeCell ref="G32:H32"/>
    <mergeCell ref="B32:F32"/>
    <mergeCell ref="A65:D65"/>
    <mergeCell ref="K54:N57"/>
    <mergeCell ref="A59:O61"/>
    <mergeCell ref="A58:E58"/>
    <mergeCell ref="C15:G15"/>
    <mergeCell ref="M11:N11"/>
    <mergeCell ref="J23:K23"/>
    <mergeCell ref="M23:N23"/>
    <mergeCell ref="B25:G25"/>
    <mergeCell ref="J25:K25"/>
    <mergeCell ref="J15:K15"/>
    <mergeCell ref="M15:N15"/>
    <mergeCell ref="B16:H16"/>
    <mergeCell ref="J16:K16"/>
    <mergeCell ref="M16:N16"/>
    <mergeCell ref="B21:G21"/>
    <mergeCell ref="C18:M18"/>
    <mergeCell ref="M21:N21"/>
    <mergeCell ref="M25:N25"/>
    <mergeCell ref="B22:G22"/>
    <mergeCell ref="J22:K22"/>
    <mergeCell ref="M22:N22"/>
    <mergeCell ref="B24:G24"/>
    <mergeCell ref="J24:K24"/>
    <mergeCell ref="M68:O68"/>
    <mergeCell ref="J35:K35"/>
    <mergeCell ref="M35:N35"/>
    <mergeCell ref="B36:G36"/>
    <mergeCell ref="J36:K36"/>
    <mergeCell ref="M36:N36"/>
    <mergeCell ref="A20:C20"/>
    <mergeCell ref="K41:M41"/>
    <mergeCell ref="B39:G39"/>
    <mergeCell ref="J39:K39"/>
    <mergeCell ref="J21:K21"/>
    <mergeCell ref="B34:G34"/>
    <mergeCell ref="J34:K34"/>
    <mergeCell ref="M34:N34"/>
    <mergeCell ref="C33:G33"/>
    <mergeCell ref="J33:K33"/>
    <mergeCell ref="M33:N33"/>
    <mergeCell ref="M39:N39"/>
    <mergeCell ref="K38:N38"/>
    <mergeCell ref="D41:I41"/>
    <mergeCell ref="C37:E38"/>
    <mergeCell ref="F37:G37"/>
    <mergeCell ref="F38:G38"/>
    <mergeCell ref="A52:B55"/>
    <mergeCell ref="G35:H35"/>
    <mergeCell ref="D54:G57"/>
    <mergeCell ref="J40:K40"/>
    <mergeCell ref="B43:G43"/>
    <mergeCell ref="L43:M43"/>
    <mergeCell ref="B44:E44"/>
    <mergeCell ref="L44:M44"/>
    <mergeCell ref="B50:G50"/>
    <mergeCell ref="L50:M50"/>
    <mergeCell ref="C53:M53"/>
    <mergeCell ref="K37:N37"/>
    <mergeCell ref="B35:F35"/>
    <mergeCell ref="M40:N40"/>
    <mergeCell ref="G40:I40"/>
    <mergeCell ref="H45:K51"/>
    <mergeCell ref="B46:G46"/>
    <mergeCell ref="B47:C47"/>
    <mergeCell ref="B48:C48"/>
    <mergeCell ref="B49:C49"/>
    <mergeCell ref="A77:O77"/>
    <mergeCell ref="A96:O96"/>
    <mergeCell ref="A93:O93"/>
    <mergeCell ref="A70:N70"/>
    <mergeCell ref="A71:N71"/>
    <mergeCell ref="A72:N72"/>
    <mergeCell ref="A73:N73"/>
    <mergeCell ref="A74:N74"/>
    <mergeCell ref="A83:O83"/>
    <mergeCell ref="A84:O84"/>
    <mergeCell ref="A85:O85"/>
    <mergeCell ref="A86:O86"/>
    <mergeCell ref="A87:O87"/>
    <mergeCell ref="A88:O88"/>
    <mergeCell ref="A89:O89"/>
    <mergeCell ref="A90:O90"/>
    <mergeCell ref="A78:O78"/>
    <mergeCell ref="A79:O79"/>
    <mergeCell ref="A80:O80"/>
    <mergeCell ref="A81:O81"/>
    <mergeCell ref="A76:O76"/>
    <mergeCell ref="A106:N106"/>
    <mergeCell ref="A107:N107"/>
    <mergeCell ref="A92:O92"/>
    <mergeCell ref="A98:O98"/>
    <mergeCell ref="A105:O105"/>
    <mergeCell ref="A97:O97"/>
    <mergeCell ref="A101:O101"/>
    <mergeCell ref="A102:O102"/>
    <mergeCell ref="A103:O103"/>
    <mergeCell ref="A94:O94"/>
    <mergeCell ref="A99:O99"/>
    <mergeCell ref="Q17:U17"/>
    <mergeCell ref="P2:AK3"/>
    <mergeCell ref="P4:Z4"/>
    <mergeCell ref="P6:R6"/>
    <mergeCell ref="S6:W6"/>
    <mergeCell ref="P8:R8"/>
    <mergeCell ref="S8:W8"/>
    <mergeCell ref="Z10:AB10"/>
    <mergeCell ref="AF10:AH10"/>
    <mergeCell ref="S11:U11"/>
    <mergeCell ref="S10:U10"/>
    <mergeCell ref="R10:R11"/>
    <mergeCell ref="V11:X11"/>
    <mergeCell ref="Z24:AD24"/>
    <mergeCell ref="AF24:AJ24"/>
    <mergeCell ref="Z25:AD25"/>
    <mergeCell ref="AF25:AJ25"/>
    <mergeCell ref="Z26:AD26"/>
    <mergeCell ref="AF26:AJ26"/>
    <mergeCell ref="R27:V27"/>
    <mergeCell ref="Z27:AD27"/>
    <mergeCell ref="AF27:AJ27"/>
    <mergeCell ref="R28:V28"/>
    <mergeCell ref="Z28:AD28"/>
    <mergeCell ref="AF28:AJ28"/>
    <mergeCell ref="Z29:AD29"/>
    <mergeCell ref="AF29:AJ29"/>
    <mergeCell ref="P30:P31"/>
    <mergeCell ref="Q30:W31"/>
    <mergeCell ref="Z30:AD31"/>
    <mergeCell ref="AF30:AJ31"/>
    <mergeCell ref="Z32:AD32"/>
    <mergeCell ref="AF32:AJ32"/>
    <mergeCell ref="Z34:AD34"/>
    <mergeCell ref="AF34:AJ34"/>
    <mergeCell ref="Z35:AD38"/>
    <mergeCell ref="AF35:AJ38"/>
    <mergeCell ref="P39:P40"/>
    <mergeCell ref="Q39:W40"/>
    <mergeCell ref="Z39:AD40"/>
    <mergeCell ref="AF39:AJ40"/>
    <mergeCell ref="AK39:AK40"/>
    <mergeCell ref="S41:S42"/>
    <mergeCell ref="T41:T42"/>
    <mergeCell ref="U41:U42"/>
    <mergeCell ref="V41:W42"/>
    <mergeCell ref="P43:R43"/>
    <mergeCell ref="V43:W43"/>
    <mergeCell ref="P45:T46"/>
    <mergeCell ref="U45:AJ46"/>
    <mergeCell ref="Y41:AC42"/>
    <mergeCell ref="AD41:AI42"/>
    <mergeCell ref="Y43:AC43"/>
    <mergeCell ref="AD43:AI43"/>
    <mergeCell ref="AC68:AJ68"/>
    <mergeCell ref="P47:T48"/>
    <mergeCell ref="U47:AJ48"/>
    <mergeCell ref="P49:T50"/>
    <mergeCell ref="U49:AK50"/>
    <mergeCell ref="P52:AJ52"/>
    <mergeCell ref="P57:Q57"/>
    <mergeCell ref="AC57:AD57"/>
    <mergeCell ref="AE57:AF57"/>
    <mergeCell ref="AG57:AH57"/>
    <mergeCell ref="AI57:AJ57"/>
    <mergeCell ref="P58:Q58"/>
    <mergeCell ref="AC58:AD58"/>
    <mergeCell ref="AE58:AF58"/>
    <mergeCell ref="AG58:AH58"/>
    <mergeCell ref="AI58:AJ58"/>
    <mergeCell ref="P59:AK61"/>
    <mergeCell ref="P53:AJ55"/>
    <mergeCell ref="P51:T51"/>
    <mergeCell ref="U51:AK51"/>
    <mergeCell ref="R56:AA58"/>
    <mergeCell ref="K4:N4"/>
    <mergeCell ref="F2:J2"/>
    <mergeCell ref="P19:P20"/>
    <mergeCell ref="Q19:V20"/>
    <mergeCell ref="Z19:AD20"/>
    <mergeCell ref="AF19:AJ20"/>
    <mergeCell ref="P23:R23"/>
    <mergeCell ref="P15:S15"/>
    <mergeCell ref="Z15:AD15"/>
    <mergeCell ref="AF15:AJ15"/>
    <mergeCell ref="Z16:AD17"/>
    <mergeCell ref="AF16:AJ17"/>
    <mergeCell ref="R18:V18"/>
    <mergeCell ref="Z18:AD18"/>
    <mergeCell ref="AF18:AJ18"/>
    <mergeCell ref="Z11:AA11"/>
    <mergeCell ref="AC11:AD11"/>
    <mergeCell ref="AF11:AG11"/>
    <mergeCell ref="AI11:AJ11"/>
    <mergeCell ref="AA12:AC12"/>
    <mergeCell ref="AG12:AI12"/>
    <mergeCell ref="Q13:U14"/>
    <mergeCell ref="AA13:AC13"/>
    <mergeCell ref="AG13:AI13"/>
  </mergeCells>
  <conditionalFormatting sqref="C18">
    <cfRule type="expression" dxfId="453" priority="160">
      <formula>OR($J$35&gt;=0.25,$M$35&gt;=0.25)</formula>
    </cfRule>
  </conditionalFormatting>
  <conditionalFormatting sqref="J23:K23">
    <cfRule type="expression" dxfId="452" priority="159">
      <formula>$J$23&lt;&gt;0</formula>
    </cfRule>
  </conditionalFormatting>
  <conditionalFormatting sqref="M23:N23">
    <cfRule type="expression" dxfId="451" priority="158">
      <formula>$M$23&lt;&gt;0</formula>
    </cfRule>
  </conditionalFormatting>
  <conditionalFormatting sqref="J24:K24">
    <cfRule type="expression" dxfId="450" priority="155">
      <formula>$J$24&lt;&gt;0</formula>
    </cfRule>
  </conditionalFormatting>
  <conditionalFormatting sqref="M24:N24">
    <cfRule type="expression" dxfId="449" priority="154">
      <formula>$M$24&gt;0</formula>
    </cfRule>
  </conditionalFormatting>
  <conditionalFormatting sqref="L28">
    <cfRule type="expression" dxfId="448" priority="151">
      <formula>$J$28&lt;&gt;0</formula>
    </cfRule>
  </conditionalFormatting>
  <conditionalFormatting sqref="O28">
    <cfRule type="expression" dxfId="447" priority="150">
      <formula>$M$28&lt;&gt;0</formula>
    </cfRule>
  </conditionalFormatting>
  <conditionalFormatting sqref="J28:K28">
    <cfRule type="expression" dxfId="446" priority="149">
      <formula>$J$28&lt;&gt;0</formula>
    </cfRule>
  </conditionalFormatting>
  <conditionalFormatting sqref="M28:N28">
    <cfRule type="expression" dxfId="445" priority="148">
      <formula>$M$28&lt;&gt;0</formula>
    </cfRule>
  </conditionalFormatting>
  <conditionalFormatting sqref="A101:O103">
    <cfRule type="expression" dxfId="444" priority="145">
      <formula>OR($J$28&lt;&gt;0,$M$28&lt;&gt;0)</formula>
    </cfRule>
  </conditionalFormatting>
  <conditionalFormatting sqref="A96:O99">
    <cfRule type="expression" dxfId="443" priority="144">
      <formula>OR($J$24&lt;&gt;0,$M$24&lt;&gt;0)</formula>
    </cfRule>
  </conditionalFormatting>
  <conditionalFormatting sqref="A92:O94">
    <cfRule type="expression" dxfId="442" priority="143">
      <formula>OR($J$23&lt;&gt;0,$M$23&lt;&gt;0)</formula>
    </cfRule>
  </conditionalFormatting>
  <conditionalFormatting sqref="L50:M50">
    <cfRule type="expression" dxfId="441" priority="132">
      <formula>$N$62=TRUE</formula>
    </cfRule>
  </conditionalFormatting>
  <conditionalFormatting sqref="K54:N57">
    <cfRule type="expression" dxfId="440" priority="404">
      <formula>AND(A65&lt;&gt;"1120",A65&lt;&gt;"1120 (2)",A65&lt;&gt;"1120 (3)",A65&lt;&gt;"1120 (4)",A65&lt;&gt;"1120 (5)",A65&lt;&gt;"1120 (6)",A65&lt;&gt;"1120 (7)",A65&lt;&gt;"1120 (8)")</formula>
    </cfRule>
  </conditionalFormatting>
  <conditionalFormatting sqref="A83:O90">
    <cfRule type="expression" dxfId="439" priority="127">
      <formula>AND($M$35&lt;1,$J$35&gt;0,$M$34&gt;0)</formula>
    </cfRule>
    <cfRule type="expression" dxfId="438" priority="128">
      <formula>AND($J$35&lt;1,$J$35&gt;0,$J$34&gt;0)</formula>
    </cfRule>
  </conditionalFormatting>
  <conditionalFormatting sqref="J36:K36">
    <cfRule type="expression" dxfId="437" priority="126">
      <formula>AND($J$35&lt;1,$J$35&gt;0,$J$34&gt;0)</formula>
    </cfRule>
  </conditionalFormatting>
  <conditionalFormatting sqref="M36:N36">
    <cfRule type="expression" dxfId="436" priority="125">
      <formula>AND($M$35&lt;1,$M$35&gt;0,$M$34&gt;0)</formula>
    </cfRule>
  </conditionalFormatting>
  <conditionalFormatting sqref="L36">
    <cfRule type="expression" dxfId="435" priority="124">
      <formula>AND($J$35&lt;1,$J$35&gt;0,$J$34&gt;0)</formula>
    </cfRule>
  </conditionalFormatting>
  <conditionalFormatting sqref="O36">
    <cfRule type="expression" dxfId="434" priority="123">
      <formula>AND($M$35&lt;1,$M$35&gt;0,$M$34&gt;0)</formula>
    </cfRule>
  </conditionalFormatting>
  <conditionalFormatting sqref="AK30">
    <cfRule type="expression" dxfId="433" priority="107">
      <formula>$M$30&lt;&gt;0</formula>
    </cfRule>
  </conditionalFormatting>
  <conditionalFormatting sqref="AA13:AC13">
    <cfRule type="expression" dxfId="432" priority="44">
      <formula>AND($AC$11&lt;&gt;"",$AC$11&lt;$Z$11)</formula>
    </cfRule>
    <cfRule type="expression" dxfId="431" priority="106">
      <formula>AND($AB$14&gt;12,$AC$11&lt;&gt;"")</formula>
    </cfRule>
  </conditionalFormatting>
  <conditionalFormatting sqref="AG13:AI13">
    <cfRule type="expression" dxfId="430" priority="105">
      <formula>AND($AH$14&gt;12,$AI$11&lt;&gt;"")</formula>
    </cfRule>
  </conditionalFormatting>
  <conditionalFormatting sqref="U45">
    <cfRule type="expression" dxfId="429" priority="101">
      <formula>AND($M$40&lt;&gt;0,$J$40&lt;$M$40)</formula>
    </cfRule>
    <cfRule type="expression" dxfId="428" priority="104">
      <formula>$M$40=0</formula>
    </cfRule>
  </conditionalFormatting>
  <conditionalFormatting sqref="Z35">
    <cfRule type="expression" dxfId="427" priority="103">
      <formula>$Z$35="Error, Correct Dates"</formula>
    </cfRule>
  </conditionalFormatting>
  <conditionalFormatting sqref="AF35">
    <cfRule type="expression" dxfId="426" priority="102">
      <formula>OR($AF$35="Error, Correct Dates",$AF$35="Error, Move Most Recent Filed Returns To Left Column on the 1065 Worksheet")</formula>
    </cfRule>
  </conditionalFormatting>
  <conditionalFormatting sqref="U47">
    <cfRule type="expression" dxfId="425" priority="110">
      <formula>OR(AND($AF$39=0,$Z$39&lt;$J$40),AND($AF$39&lt;&gt;0,$AF$39&lt;$J$40))</formula>
    </cfRule>
  </conditionalFormatting>
  <conditionalFormatting sqref="AK53:AK54">
    <cfRule type="expression" dxfId="424" priority="111">
      <formula>AND($AF$39&lt;&gt;0,$AF$39&lt;$J$42)</formula>
    </cfRule>
  </conditionalFormatting>
  <conditionalFormatting sqref="U49">
    <cfRule type="expression" dxfId="423" priority="112">
      <formula>AND($AF$39&lt;&gt;0,$Z$39&lt;$AF$39)</formula>
    </cfRule>
  </conditionalFormatting>
  <conditionalFormatting sqref="J10 M10">
    <cfRule type="expression" dxfId="422" priority="96">
      <formula>$M$64=2</formula>
    </cfRule>
  </conditionalFormatting>
  <conditionalFormatting sqref="M12 J10:K10 J12 H11">
    <cfRule type="expression" dxfId="421" priority="97">
      <formula>$M$64=1</formula>
    </cfRule>
  </conditionalFormatting>
  <conditionalFormatting sqref="M10:N10">
    <cfRule type="expression" dxfId="420" priority="93">
      <formula>$M$64=1</formula>
    </cfRule>
  </conditionalFormatting>
  <conditionalFormatting sqref="AF11:AG11 AI11:AJ11">
    <cfRule type="expression" dxfId="419" priority="92">
      <formula>$M$64=1</formula>
    </cfRule>
  </conditionalFormatting>
  <conditionalFormatting sqref="K41">
    <cfRule type="expression" dxfId="418" priority="81">
      <formula>$M$40=0</formula>
    </cfRule>
    <cfRule type="expression" dxfId="417" priority="82">
      <formula>AND($J$40&lt;&gt;0,$M$40&lt;&gt;0,$J$40&lt;$M$40)</formula>
    </cfRule>
    <cfRule type="expression" dxfId="416" priority="83">
      <formula>AND(OR($F$44=12,$F$44=24,$F$44=0),$J$40&lt;&gt;0,$M$40&lt;&gt;0,$J$40&lt;$M$40)</formula>
    </cfRule>
  </conditionalFormatting>
  <conditionalFormatting sqref="K41:M41">
    <cfRule type="expression" dxfId="415" priority="80">
      <formula>OR(AND($J$40&lt;&gt;0,$M$40&lt;&gt;0,$J$40&lt;$M$40,$N$64=FALSE,$F$44&gt;0), AND($J$40&lt;&gt;0,$M$40&lt;&gt;0,$J$40&lt;$M$40,$N$64=TRUE,$F$44&gt;12))</formula>
    </cfRule>
  </conditionalFormatting>
  <conditionalFormatting sqref="C41">
    <cfRule type="expression" dxfId="414" priority="40" stopIfTrue="1">
      <formula>$O$63=TRUE</formula>
    </cfRule>
    <cfRule type="expression" dxfId="413" priority="77">
      <formula>AND($J$40&lt;&gt;0,$M$40&lt;&gt;0,$J$40=$M$40,$F$44=$G$48,$F$44&lt;&gt;"",$F$44&lt;&gt;12,$N$64=TRUE)</formula>
    </cfRule>
    <cfRule type="expression" dxfId="412" priority="78">
      <formula>OR(AND($J$40&lt;&gt;0,$M$40&lt;&gt;0,$J$40&gt;$M$40,$N$64=TRUE),AND($J$40&lt;&gt;0,$M$40&lt;&gt;$J$40&lt;$M$40,$F$44&lt;&gt;"",$N$64=FALSE),AND($J$40&lt;&gt;0,$M$40&lt;&gt;0,$J$40=$M$40,$F$44=12,$F$44&lt;&gt;"",$N$64=FALSE),AND($J$40&lt;&gt;0,$M$40&lt;&gt;0,$J$40&lt;$M$40,$F$44&lt;&gt;"",$N$64&lt;&gt;TRUE))</formula>
    </cfRule>
    <cfRule type="expression" dxfId="411" priority="79">
      <formula>AND($J$40&lt;&gt;0,$M$40&lt;&gt;0,$J$40&lt;$M$40)</formula>
    </cfRule>
  </conditionalFormatting>
  <conditionalFormatting sqref="F44">
    <cfRule type="expression" dxfId="410" priority="38">
      <formula>AND($O$63=TRUE,$F$44&gt;12)</formula>
    </cfRule>
    <cfRule type="expression" dxfId="409" priority="75">
      <formula>OR(AND($J$40&lt;&gt;0,$M$40&lt;&gt;0,$J$40&lt;$M$40,$F$44&gt;12),AND($J$40&lt;&gt;0,$M$40&lt;&gt;0,$J$40&gt;$M$40,$F$44&lt;&gt;$G$48,$F$44&lt;&gt;""),AND($J$40&lt;&gt;0,$M$40&lt;&gt;0,$M$40=$J$40,$F$40&gt;12,$F$44&lt;&gt;"",$N$64=TRUE),AND($J$40&lt;&gt;0,$M$40&lt;&gt;0,$M$40=$J$40,$F$44&lt;&gt;$G$48,$F$44&lt;&gt;"",$N$64=FALSE))</formula>
    </cfRule>
  </conditionalFormatting>
  <conditionalFormatting sqref="C53:M53">
    <cfRule type="expression" dxfId="408" priority="74">
      <formula>OR(AND($J$40&lt;&gt;0,$M$40&lt;&gt;0,$J$40&lt;$M$40,$N$64=FALSE,$F$44&gt;0), AND($J$40&lt;&gt;0,$M$40&lt;&gt;0,$J$40&lt;$M$40,$N$64=TRUE,$F$44&gt;12),AND($J$40&lt;&gt;0,$M$40&lt;&gt;0,$J$40&lt;$M$40,$F$44&gt;12),AND($J$40&lt;&gt;0,$M$40&lt;&gt;0,$J$40&gt;$M$40,$F$44&lt;&gt;$G$48,$F$44&lt;&gt;""),AND($J$40&lt;&gt;0,$M$40&lt;&gt;0,$M$40=$J$40,$F$44&gt;12,$F$44&lt;&gt;"",$N$64=TRUE),AND($J$40&lt;&gt;0,$M$40&lt;&gt;0,$M$40=$J$40,$F$44&lt;&gt;$G$48,$F$44&lt;&gt;"",$N$64=FALSE),AND($J$40&lt;&gt;0,$M$40&lt;&gt;0,$J$40&gt;$M$40,$N$64=TRUE),AND($J$40&lt;&gt;0,$M$40&lt;&gt;$J$40&lt;$M$40,$F$44&lt;&gt;"",$N$64=FALSE),AND($J$40&lt;&gt;0,$M$40&lt;&gt;0,$J$40=$M$40,$F$44=12,$F$44&lt;&gt;"",$N$64=FALSE),AND($J$40&lt;&gt;0,$M$40&lt;&gt;0,$J$40=$M$40,$F$44=$G$48,$F$44&lt;&gt;"",$F$44&lt;&gt;12,$N$64=TRUE),AND($J$40&lt;&gt;0,$M$40&lt;&gt;0,$J$40&lt;$M$40,$F$44&lt;&gt;"",$N$64&lt;&gt;TRUE))</formula>
    </cfRule>
  </conditionalFormatting>
  <conditionalFormatting sqref="J40:K40">
    <cfRule type="expression" dxfId="407" priority="72">
      <formula>OR(AND($F$49&lt;12,$F$49&lt;&gt;""),$J$40&lt;&gt;$J$39)</formula>
    </cfRule>
  </conditionalFormatting>
  <conditionalFormatting sqref="M40:N40">
    <cfRule type="expression" dxfId="406" priority="71">
      <formula>OR(AND($D$49&lt;12,$D$49&lt;&gt;""),$M$40&lt;&gt;$M$39)</formula>
    </cfRule>
  </conditionalFormatting>
  <conditionalFormatting sqref="M11">
    <cfRule type="expression" dxfId="405" priority="65">
      <formula>$M$64=1</formula>
    </cfRule>
  </conditionalFormatting>
  <conditionalFormatting sqref="E48">
    <cfRule type="expression" dxfId="404" priority="60">
      <formula>AND($E$48="",$F$48&lt;&gt;"")</formula>
    </cfRule>
  </conditionalFormatting>
  <conditionalFormatting sqref="F48">
    <cfRule type="expression" dxfId="403" priority="59">
      <formula>AND($F$48="",$E$48&lt;&gt;"")</formula>
    </cfRule>
  </conditionalFormatting>
  <conditionalFormatting sqref="H11">
    <cfRule type="expression" dxfId="402" priority="751">
      <formula>AND($H$11="Enter Start/End Dates Below",$M$64=2)</formula>
    </cfRule>
  </conditionalFormatting>
  <conditionalFormatting sqref="E48:F48">
    <cfRule type="expression" dxfId="401" priority="753">
      <formula>AND($H$11="Enter Start/End Dates Below",$M$64=2)</formula>
    </cfRule>
  </conditionalFormatting>
  <conditionalFormatting sqref="D48">
    <cfRule type="expression" dxfId="400" priority="56">
      <formula>AND($D$48="",$B$48&lt;&gt;"")</formula>
    </cfRule>
  </conditionalFormatting>
  <conditionalFormatting sqref="B48:C48">
    <cfRule type="expression" dxfId="399" priority="55">
      <formula>AND($B$48="",$D$48&lt;&gt;"")</formula>
    </cfRule>
  </conditionalFormatting>
  <conditionalFormatting sqref="G40:I40">
    <cfRule type="expression" dxfId="398" priority="54">
      <formula>OR($J$39&lt;&gt;$J$40,$M$39&lt;&gt;$M$40)</formula>
    </cfRule>
  </conditionalFormatting>
  <conditionalFormatting sqref="Q13:U14">
    <cfRule type="expression" dxfId="397" priority="53">
      <formula>OR($Q$13="Most recent Filed returns must be entered in the left column on the 1065 Worksheet and year updated at top.",$Q$13="Error, Tax Years and P&amp;L years are not entered correctly; see the Instructions tab under P&amp;L's")</formula>
    </cfRule>
  </conditionalFormatting>
  <conditionalFormatting sqref="A52:B55">
    <cfRule type="expression" dxfId="396" priority="51">
      <formula>AND(OR($F$44=12,$F$44=24,$F$44=0),$J$40&lt;&gt;0,$M$40&lt;&gt;0,$J$40&lt;$M$40)</formula>
    </cfRule>
    <cfRule type="expression" dxfId="395" priority="52">
      <formula>AND($J$40&lt;&gt;0,$M$40&lt;&gt;0,$J$40&lt;$M$40)</formula>
    </cfRule>
  </conditionalFormatting>
  <conditionalFormatting sqref="J15:K15 M15:N15 C15:G15 J21:K33 M21:N33 C33:G33 J35:K35 M35:N35">
    <cfRule type="expression" dxfId="394" priority="48">
      <formula>$O$62=TRUE</formula>
    </cfRule>
  </conditionalFormatting>
  <conditionalFormatting sqref="J7:O8 J14:K14 M14:N14 C41 F44 B48:F48 A52:B55">
    <cfRule type="expression" dxfId="393" priority="47">
      <formula>$O$62=TRUE</formula>
    </cfRule>
  </conditionalFormatting>
  <conditionalFormatting sqref="A14:I14 K37:K38 A15:N16 A20:O31 A36:N36 A33:O34 A32:B32 I32:O32 G32 A35:B35 G35 I35:K35 M35:N35">
    <cfRule type="expression" dxfId="392" priority="46">
      <formula>$O$62=TRUE</formula>
    </cfRule>
  </conditionalFormatting>
  <conditionalFormatting sqref="J5:O8">
    <cfRule type="expression" dxfId="391" priority="45">
      <formula>$O$62=TRUE</formula>
    </cfRule>
  </conditionalFormatting>
  <conditionalFormatting sqref="Z10:AB10 Z11:AA11">
    <cfRule type="expression" dxfId="390" priority="43">
      <formula>$Z$10&lt;&gt;$W$12</formula>
    </cfRule>
  </conditionalFormatting>
  <conditionalFormatting sqref="Z15:AD15">
    <cfRule type="expression" dxfId="389" priority="42">
      <formula>$Z$15&lt;&gt;""</formula>
    </cfRule>
  </conditionalFormatting>
  <conditionalFormatting sqref="M14:N15 M21:N33 M35:N35 B48:D48">
    <cfRule type="expression" dxfId="388" priority="41" stopIfTrue="1">
      <formula>$O$63=TRUE</formula>
    </cfRule>
  </conditionalFormatting>
  <conditionalFormatting sqref="M13:N13">
    <cfRule type="expression" dxfId="387" priority="39">
      <formula>$O$63=TRUE</formula>
    </cfRule>
  </conditionalFormatting>
  <conditionalFormatting sqref="A32:I32 L32 O32">
    <cfRule type="expression" dxfId="386" priority="37">
      <formula>$O$1=2</formula>
    </cfRule>
  </conditionalFormatting>
  <conditionalFormatting sqref="J32:K32 M32:N32">
    <cfRule type="expression" dxfId="385" priority="36">
      <formula>$O$1=2</formula>
    </cfRule>
  </conditionalFormatting>
  <conditionalFormatting sqref="F37">
    <cfRule type="expression" dxfId="384" priority="35">
      <formula>AND($O$62=TRUE,OR($J$34&lt;0,$M$34&lt;0),$O$1=1)</formula>
    </cfRule>
  </conditionalFormatting>
  <conditionalFormatting sqref="F37">
    <cfRule type="expression" dxfId="383" priority="34">
      <formula>$O$62=TRUE</formula>
    </cfRule>
  </conditionalFormatting>
  <conditionalFormatting sqref="C37:G38">
    <cfRule type="expression" dxfId="382" priority="26">
      <formula>AND(OR($J$34&lt;0,$M$34&lt;0),$O$1=1,$F$37="",$N$1="Conventional")</formula>
    </cfRule>
    <cfRule type="expression" dxfId="381" priority="31">
      <formula>AND(OR($J$34&lt;0,$M$34&lt;0),$O$1=1,$F$37="",$N$1&lt;&gt;"Conventional")</formula>
    </cfRule>
    <cfRule type="expression" dxfId="380" priority="33">
      <formula>AND(OR($J$34&lt;0,$M$34&lt;0),$O$1=1,$F$37&lt;&gt;"")</formula>
    </cfRule>
  </conditionalFormatting>
  <conditionalFormatting sqref="F37:G37">
    <cfRule type="expression" dxfId="379" priority="32">
      <formula>AND(OR($J$34&lt;0,$M$34&lt;0),$O$1=1)</formula>
    </cfRule>
  </conditionalFormatting>
  <conditionalFormatting sqref="C37:E38">
    <cfRule type="expression" dxfId="378" priority="25">
      <formula>AND(OR($J$34&lt;0,$M$34&lt;0),$O$1=1,$F$37="",$N$1="Conventional")</formula>
    </cfRule>
    <cfRule type="expression" dxfId="377" priority="30">
      <formula>AND(OR($J$34&lt;0,$M$34&lt;0),$O$1=1,$F$37="",$N$1&lt;&gt;"Conventional")</formula>
    </cfRule>
  </conditionalFormatting>
  <conditionalFormatting sqref="G35:H35">
    <cfRule type="expression" dxfId="376" priority="29">
      <formula>$G$35&lt;&gt;""</formula>
    </cfRule>
  </conditionalFormatting>
  <conditionalFormatting sqref="J35:K35">
    <cfRule type="expression" dxfId="375" priority="28">
      <formula>AND(OR($J$16&lt;&gt;0,$J$34&lt;&gt;0),$G$35&lt;&gt;"",$J$35=0)</formula>
    </cfRule>
  </conditionalFormatting>
  <conditionalFormatting sqref="M35:N35">
    <cfRule type="expression" dxfId="374" priority="27">
      <formula>AND(OR($M$16&lt;&gt;0,$M$34&lt;&gt;0),$G$35&lt;&gt;"",$M$35=0,O63&lt;&gt;TRUE)</formula>
    </cfRule>
  </conditionalFormatting>
  <conditionalFormatting sqref="AD43:AI43">
    <cfRule type="expression" dxfId="373" priority="24">
      <formula>$AD$41=""</formula>
    </cfRule>
  </conditionalFormatting>
  <conditionalFormatting sqref="R56:AA58">
    <cfRule type="expression" dxfId="372" priority="23">
      <formula>$R$56&lt;&gt;""</formula>
    </cfRule>
  </conditionalFormatting>
  <conditionalFormatting sqref="D54:G57">
    <cfRule type="expression" dxfId="371" priority="22">
      <formula>$D$54&lt;&gt;""</formula>
    </cfRule>
  </conditionalFormatting>
  <conditionalFormatting sqref="U47:AJ48">
    <cfRule type="expression" dxfId="370" priority="17">
      <formula>$U$47="No Change"</formula>
    </cfRule>
    <cfRule type="expression" dxfId="369" priority="18">
      <formula>AND(N1="FHA",Y43&lt;&gt;0,Z39&lt;&gt;0,Z39&lt;Y43)</formula>
    </cfRule>
    <cfRule type="expression" dxfId="368" priority="21">
      <formula>AND(N1="FHA",Y43&lt;&gt;0,Z39&lt;&gt;0,Z39&gt;Y43)</formula>
    </cfRule>
  </conditionalFormatting>
  <conditionalFormatting sqref="U49:AK50">
    <cfRule type="expression" dxfId="367" priority="14">
      <formula>$U$49="No Change"</formula>
    </cfRule>
    <cfRule type="expression" dxfId="366" priority="15">
      <formula>AND(N1="FHA",Y43&lt;&gt;0,AF39&lt;&gt;0,AF39&lt;Y43)</formula>
    </cfRule>
    <cfRule type="expression" dxfId="365" priority="20">
      <formula>AND(N1="FHA",Y43&lt;&gt;0,AF39&lt;&gt;0,AF39&gt;Y43)</formula>
    </cfRule>
  </conditionalFormatting>
  <conditionalFormatting sqref="U51:AK51">
    <cfRule type="expression" dxfId="364" priority="12">
      <formula>AND(N1="FHA",Y43&lt;&gt;0,Z39&lt;&gt;0,AF39&lt;&gt;0,Z39&gt;AD43)</formula>
    </cfRule>
    <cfRule type="expression" dxfId="363" priority="13">
      <formula>$U$51="No Change"</formula>
    </cfRule>
    <cfRule type="expression" dxfId="362" priority="19">
      <formula>AND(N1="FHA",Y43&lt;&gt;0,Z39&lt;&gt;0,AF39&lt;&gt;0,Z39&lt;AD43)</formula>
    </cfRule>
  </conditionalFormatting>
  <conditionalFormatting sqref="V43:W43">
    <cfRule type="expression" dxfId="361" priority="11">
      <formula>$V$41=""</formula>
    </cfRule>
  </conditionalFormatting>
  <conditionalFormatting sqref="N2:N3">
    <cfRule type="expression" dxfId="360" priority="10">
      <formula>$M$63=TRUE</formula>
    </cfRule>
  </conditionalFormatting>
  <conditionalFormatting sqref="K4:N4">
    <cfRule type="expression" dxfId="359" priority="9">
      <formula>AND($N$1&lt;&gt;"Conventional",$N$1&lt;&gt;"Other")</formula>
    </cfRule>
  </conditionalFormatting>
  <conditionalFormatting sqref="K2:M2">
    <cfRule type="expression" dxfId="358" priority="7">
      <formula>AND($M$63=TRUE,$N$2&lt;&gt;"")</formula>
    </cfRule>
    <cfRule type="expression" dxfId="357" priority="8">
      <formula>AND($M$63=TRUE,$N$2="")</formula>
    </cfRule>
  </conditionalFormatting>
  <conditionalFormatting sqref="K3">
    <cfRule type="expression" dxfId="356" priority="4">
      <formula>AND($M$63=TRUE,$N$2&lt;&gt;"")</formula>
    </cfRule>
    <cfRule type="expression" dxfId="355" priority="6">
      <formula>AND($M$63=TRUE,$N$2="")</formula>
    </cfRule>
  </conditionalFormatting>
  <conditionalFormatting sqref="L3:M3">
    <cfRule type="expression" dxfId="354" priority="2">
      <formula>AND($M$63=TRUE,$N$2&lt;&gt;"")</formula>
    </cfRule>
    <cfRule type="expression" dxfId="353" priority="5">
      <formula>AND($M$63=TRUE,$N$2="")</formula>
    </cfRule>
  </conditionalFormatting>
  <conditionalFormatting sqref="K2:N3">
    <cfRule type="expression" dxfId="352" priority="1">
      <formula>AND($N$1&lt;&gt;"Conventional",$N$1&lt;&gt;"Other")</formula>
    </cfRule>
  </conditionalFormatting>
  <dataValidations disablePrompts="1" count="4">
    <dataValidation type="decimal" operator="greaterThanOrEqual" allowBlank="1" showInputMessage="1" showErrorMessage="1" errorTitle="Invalid Entry" error="A negative figure cannot be entered in this field.  The worksheet subtracts any amount entered in this field as it is for nonrecurring gains that should be backed out of the cash flow. Please see worksheet instruction ***" sqref="J23:K23 M23:N23" xr:uid="{00000000-0002-0000-1300-000000000000}">
      <formula1>0</formula1>
    </dataValidation>
    <dataValidation type="decimal" operator="greaterThanOrEqual" allowBlank="1" showInputMessage="1" showErrorMessage="1" errorTitle="Invalid Entry" error="A negative figure cannot be entered in this field.  The worksheet subtracts any amount entered in this field as it is for nonrecurring income that should be backed out of the cash flow. Please see worksheet instruction ****_x000a_" sqref="M24:N24 J24:K24" xr:uid="{00000000-0002-0000-1300-000001000000}">
      <formula1>0</formula1>
    </dataValidation>
    <dataValidation type="list" allowBlank="1" showInputMessage="1" showErrorMessage="1" sqref="F37:G37" xr:uid="{E20DE9C2-1F94-4063-909E-861BB154F95F}">
      <formula1>"Fannie,Freddie"</formula1>
    </dataValidation>
    <dataValidation type="list" allowBlank="1" showInputMessage="1" showErrorMessage="1" sqref="N2:N3" xr:uid="{47CD3706-0EE0-4551-9B98-D9587FC9D287}">
      <formula1>$AL$1:$AL$3</formula1>
    </dataValidation>
  </dataValidations>
  <hyperlinks>
    <hyperlink ref="L3" r:id="rId1" location="P2131" xr:uid="{5CC530D2-2FC8-4D87-B33B-FE2A38A60FDB}"/>
    <hyperlink ref="M3" r:id="rId2" location="N" xr:uid="{F8613C8D-B1F9-4598-BFBC-E7BCF23E8EBE}"/>
  </hyperlinks>
  <printOptions horizontalCentered="1"/>
  <pageMargins left="0.25" right="0.25" top="0.25" bottom="0.25" header="0.3" footer="0.3"/>
  <pageSetup paperSize="5" scale="95" fitToWidth="0" fitToHeight="0" pageOrder="overThenDown" orientation="portrait" r:id="rId3"/>
  <rowBreaks count="1" manualBreakCount="1">
    <brk id="68" max="16383" man="1"/>
  </rowBreaks>
  <ignoredErrors>
    <ignoredError sqref="K41"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9217" r:id="rId6" name="Check Box 1">
              <controlPr defaultSize="0" autoFill="0" autoLine="0" autoPict="0">
                <anchor moveWithCells="1">
                  <from>
                    <xdr:col>2</xdr:col>
                    <xdr:colOff>60960</xdr:colOff>
                    <xdr:row>39</xdr:row>
                    <xdr:rowOff>68580</xdr:rowOff>
                  </from>
                  <to>
                    <xdr:col>7</xdr:col>
                    <xdr:colOff>426720</xdr:colOff>
                    <xdr:row>41</xdr:row>
                    <xdr:rowOff>60960</xdr:rowOff>
                  </to>
                </anchor>
              </controlPr>
            </control>
          </mc:Choice>
        </mc:AlternateContent>
        <mc:AlternateContent xmlns:mc="http://schemas.openxmlformats.org/markup-compatibility/2006">
          <mc:Choice Requires="x14">
            <control shapeId="9219" r:id="rId7" name="Check Box 3">
              <controlPr defaultSize="0" autoFill="0" autoLine="0" autoPict="0">
                <anchor moveWithCells="1">
                  <from>
                    <xdr:col>9</xdr:col>
                    <xdr:colOff>457200</xdr:colOff>
                    <xdr:row>36</xdr:row>
                    <xdr:rowOff>30480</xdr:rowOff>
                  </from>
                  <to>
                    <xdr:col>11</xdr:col>
                    <xdr:colOff>457200</xdr:colOff>
                    <xdr:row>37</xdr:row>
                    <xdr:rowOff>160020</xdr:rowOff>
                  </to>
                </anchor>
              </controlPr>
            </control>
          </mc:Choice>
        </mc:AlternateContent>
        <mc:AlternateContent xmlns:mc="http://schemas.openxmlformats.org/markup-compatibility/2006">
          <mc:Choice Requires="x14">
            <control shapeId="9220" r:id="rId8" name="Check Box 4">
              <controlPr defaultSize="0" autoFill="0" autoLine="0" autoPict="0">
                <anchor moveWithCells="1">
                  <from>
                    <xdr:col>11</xdr:col>
                    <xdr:colOff>38100</xdr:colOff>
                    <xdr:row>50</xdr:row>
                    <xdr:rowOff>30480</xdr:rowOff>
                  </from>
                  <to>
                    <xdr:col>13</xdr:col>
                    <xdr:colOff>0</xdr:colOff>
                    <xdr:row>51</xdr:row>
                    <xdr:rowOff>7620</xdr:rowOff>
                  </to>
                </anchor>
              </controlPr>
            </control>
          </mc:Choice>
        </mc:AlternateContent>
        <mc:AlternateContent xmlns:mc="http://schemas.openxmlformats.org/markup-compatibility/2006">
          <mc:Choice Requires="x14">
            <control shapeId="9222" r:id="rId9" name="Option Button 6">
              <controlPr defaultSize="0" autoFill="0" autoLine="0" autoPict="0">
                <anchor moveWithCells="1">
                  <from>
                    <xdr:col>1</xdr:col>
                    <xdr:colOff>68580</xdr:colOff>
                    <xdr:row>9</xdr:row>
                    <xdr:rowOff>0</xdr:rowOff>
                  </from>
                  <to>
                    <xdr:col>6</xdr:col>
                    <xdr:colOff>609600</xdr:colOff>
                    <xdr:row>10</xdr:row>
                    <xdr:rowOff>0</xdr:rowOff>
                  </to>
                </anchor>
              </controlPr>
            </control>
          </mc:Choice>
        </mc:AlternateContent>
        <mc:AlternateContent xmlns:mc="http://schemas.openxmlformats.org/markup-compatibility/2006">
          <mc:Choice Requires="x14">
            <control shapeId="9223" r:id="rId10" name="Option Button 7">
              <controlPr defaultSize="0" autoFill="0" autoLine="0" autoPict="0">
                <anchor moveWithCells="1">
                  <from>
                    <xdr:col>1</xdr:col>
                    <xdr:colOff>68580</xdr:colOff>
                    <xdr:row>10</xdr:row>
                    <xdr:rowOff>0</xdr:rowOff>
                  </from>
                  <to>
                    <xdr:col>6</xdr:col>
                    <xdr:colOff>601980</xdr:colOff>
                    <xdr:row>11</xdr:row>
                    <xdr:rowOff>0</xdr:rowOff>
                  </to>
                </anchor>
              </controlPr>
            </control>
          </mc:Choice>
        </mc:AlternateContent>
        <mc:AlternateContent xmlns:mc="http://schemas.openxmlformats.org/markup-compatibility/2006">
          <mc:Choice Requires="x14">
            <control shapeId="9250" r:id="rId11" name="Check Box 34">
              <controlPr defaultSize="0" autoFill="0" autoLine="0" autoPict="0">
                <anchor moveWithCells="1">
                  <from>
                    <xdr:col>10</xdr:col>
                    <xdr:colOff>68580</xdr:colOff>
                    <xdr:row>3</xdr:row>
                    <xdr:rowOff>198120</xdr:rowOff>
                  </from>
                  <to>
                    <xdr:col>10</xdr:col>
                    <xdr:colOff>281940</xdr:colOff>
                    <xdr:row>3</xdr:row>
                    <xdr:rowOff>388620</xdr:rowOff>
                  </to>
                </anchor>
              </controlPr>
            </control>
          </mc:Choice>
        </mc:AlternateContent>
        <mc:AlternateContent xmlns:mc="http://schemas.openxmlformats.org/markup-compatibility/2006">
          <mc:Choice Requires="x14">
            <control shapeId="9251" r:id="rId12" name="Check Box 35">
              <controlPr defaultSize="0" autoFill="0" autoLine="0" autoPict="0">
                <anchor moveWithCells="1">
                  <from>
                    <xdr:col>10</xdr:col>
                    <xdr:colOff>68580</xdr:colOff>
                    <xdr:row>3</xdr:row>
                    <xdr:rowOff>7620</xdr:rowOff>
                  </from>
                  <to>
                    <xdr:col>10</xdr:col>
                    <xdr:colOff>281940</xdr:colOff>
                    <xdr:row>3</xdr:row>
                    <xdr:rowOff>205740</xdr:rowOff>
                  </to>
                </anchor>
              </controlPr>
            </control>
          </mc:Choice>
        </mc:AlternateContent>
        <mc:AlternateContent xmlns:mc="http://schemas.openxmlformats.org/markup-compatibility/2006">
          <mc:Choice Requires="x14">
            <control shapeId="9252" r:id="rId13" name="Button 36">
              <controlPr defaultSize="0" print="0" autoFill="0" autoPict="0" macro="[0]!IW_Copy">
                <anchor moveWithCells="1" sizeWithCells="1">
                  <from>
                    <xdr:col>1</xdr:col>
                    <xdr:colOff>38100</xdr:colOff>
                    <xdr:row>0</xdr:row>
                    <xdr:rowOff>7620</xdr:rowOff>
                  </from>
                  <to>
                    <xdr:col>2</xdr:col>
                    <xdr:colOff>53340</xdr:colOff>
                    <xdr:row>1</xdr:row>
                    <xdr:rowOff>114300</xdr:rowOff>
                  </to>
                </anchor>
              </controlPr>
            </control>
          </mc:Choice>
        </mc:AlternateContent>
        <mc:AlternateContent xmlns:mc="http://schemas.openxmlformats.org/markup-compatibility/2006">
          <mc:Choice Requires="x14">
            <control shapeId="9253" r:id="rId14" name="Button 37">
              <controlPr defaultSize="0" print="0" autoFill="0" autoPict="0" macro="[0]!IW_Home">
                <anchor moveWithCells="1" sizeWithCells="1">
                  <from>
                    <xdr:col>0</xdr:col>
                    <xdr:colOff>7620</xdr:colOff>
                    <xdr:row>0</xdr:row>
                    <xdr:rowOff>7620</xdr:rowOff>
                  </from>
                  <to>
                    <xdr:col>0</xdr:col>
                    <xdr:colOff>441960</xdr:colOff>
                    <xdr:row>1</xdr:row>
                    <xdr:rowOff>114300</xdr:rowOff>
                  </to>
                </anchor>
              </controlPr>
            </control>
          </mc:Choice>
        </mc:AlternateContent>
        <mc:AlternateContent xmlns:mc="http://schemas.openxmlformats.org/markup-compatibility/2006">
          <mc:Choice Requires="x14">
            <control shapeId="9254" r:id="rId15" name="Button 38">
              <controlPr defaultSize="0" print="0" autoFill="0" autoPict="0" macro="[0]!Corp_Clear">
                <anchor moveWithCells="1" sizeWithCells="1">
                  <from>
                    <xdr:col>2</xdr:col>
                    <xdr:colOff>106680</xdr:colOff>
                    <xdr:row>0</xdr:row>
                    <xdr:rowOff>7620</xdr:rowOff>
                  </from>
                  <to>
                    <xdr:col>3</xdr:col>
                    <xdr:colOff>243840</xdr:colOff>
                    <xdr:row>1</xdr:row>
                    <xdr:rowOff>114300</xdr:rowOff>
                  </to>
                </anchor>
              </controlPr>
            </control>
          </mc:Choice>
        </mc:AlternateContent>
        <mc:AlternateContent xmlns:mc="http://schemas.openxmlformats.org/markup-compatibility/2006">
          <mc:Choice Requires="x14">
            <control shapeId="9255" r:id="rId16" name="Button 39">
              <controlPr defaultSize="0" print="0" autoFill="0" autoPict="0" macro="[0]!Corp_OmitHide">
                <anchor moveWithCells="1" sizeWithCells="1">
                  <from>
                    <xdr:col>0</xdr:col>
                    <xdr:colOff>15240</xdr:colOff>
                    <xdr:row>1</xdr:row>
                    <xdr:rowOff>160020</xdr:rowOff>
                  </from>
                  <to>
                    <xdr:col>1</xdr:col>
                    <xdr:colOff>381000</xdr:colOff>
                    <xdr:row>1</xdr:row>
                    <xdr:rowOff>457200</xdr:rowOff>
                  </to>
                </anchor>
              </controlPr>
            </control>
          </mc:Choice>
        </mc:AlternateContent>
        <mc:AlternateContent xmlns:mc="http://schemas.openxmlformats.org/markup-compatibility/2006">
          <mc:Choice Requires="x14">
            <control shapeId="9256" r:id="rId17" name="Check Box 40">
              <controlPr defaultSize="0" autoFill="0" autoLine="0" autoPict="0" macro="[0]!Corp_ShowHidePL">
                <anchor moveWithCells="1">
                  <from>
                    <xdr:col>0</xdr:col>
                    <xdr:colOff>0</xdr:colOff>
                    <xdr:row>51</xdr:row>
                    <xdr:rowOff>38100</xdr:rowOff>
                  </from>
                  <to>
                    <xdr:col>0</xdr:col>
                    <xdr:colOff>152400</xdr:colOff>
                    <xdr:row>52</xdr:row>
                    <xdr:rowOff>22860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
    <tabColor theme="3" tint="0.79998168889431442"/>
  </sheetPr>
  <dimension ref="A1:AN70"/>
  <sheetViews>
    <sheetView showGridLines="0" showRowColHeaders="0" showRuler="0" view="pageLayout" zoomScale="90" zoomScaleNormal="100" zoomScalePageLayoutView="90" workbookViewId="0">
      <selection activeCell="D6" sqref="D6:H6"/>
      <extLst>
        <ext xmlns:xlsdti="http://schemas.microsoft.com/office/spreadsheetml/2023/showDataTypeIcons" uri="{77bfe23e-c014-4d31-8a63-9c772dbf06b6}">
          <xlsdti:showDataTypeIcons visible="0"/>
        </ext>
      </extLst>
    </sheetView>
  </sheetViews>
  <sheetFormatPr defaultColWidth="9.109375" defaultRowHeight="14.4" x14ac:dyDescent="0.3"/>
  <cols>
    <col min="1" max="1" width="6.109375" style="15" customWidth="1"/>
    <col min="2" max="2" width="6.109375" customWidth="1"/>
    <col min="3" max="3" width="4.109375" customWidth="1"/>
    <col min="6" max="6" width="9.109375" customWidth="1"/>
    <col min="7" max="7" width="8.77734375" customWidth="1"/>
    <col min="8" max="8" width="5.5546875" customWidth="1"/>
    <col min="9" max="9" width="1.33203125" customWidth="1"/>
    <col min="10" max="10" width="8.5546875" customWidth="1"/>
    <col min="11" max="11" width="8.109375" customWidth="1"/>
    <col min="12" max="12" width="9.109375" customWidth="1"/>
    <col min="13" max="13" width="8.5546875" customWidth="1"/>
    <col min="14" max="14" width="8.33203125" customWidth="1"/>
    <col min="15" max="15" width="2.6640625" customWidth="1"/>
    <col min="16" max="17" width="4.88671875" hidden="1" customWidth="1"/>
    <col min="18" max="18" width="4.21875" hidden="1" customWidth="1"/>
    <col min="19" max="19" width="10.6640625" hidden="1" customWidth="1"/>
    <col min="20" max="20" width="11.21875" hidden="1" customWidth="1"/>
    <col min="21" max="21" width="11.33203125" hidden="1" customWidth="1"/>
    <col min="22" max="22" width="6.33203125" hidden="1" customWidth="1"/>
    <col min="23" max="23" width="5.33203125" hidden="1" customWidth="1"/>
    <col min="24" max="24" width="14.5546875" hidden="1" customWidth="1"/>
    <col min="25" max="25" width="1.33203125" hidden="1" customWidth="1"/>
    <col min="26" max="26" width="1.109375" hidden="1" customWidth="1"/>
    <col min="27" max="27" width="7.109375" hidden="1" customWidth="1"/>
    <col min="28" max="28" width="1.21875" hidden="1" customWidth="1"/>
    <col min="29" max="29" width="6.77734375" hidden="1" customWidth="1"/>
    <col min="30" max="30" width="1" hidden="1" customWidth="1"/>
    <col min="31" max="31" width="5.5546875" hidden="1" customWidth="1"/>
    <col min="32" max="32" width="1.21875" hidden="1" customWidth="1"/>
    <col min="33" max="33" width="6.88671875" hidden="1" customWidth="1"/>
    <col min="34" max="34" width="1.109375" hidden="1" customWidth="1"/>
    <col min="35" max="35" width="7" hidden="1" customWidth="1"/>
    <col min="36" max="36" width="1.21875" hidden="1" customWidth="1"/>
    <col min="37" max="37" width="0" hidden="1" customWidth="1"/>
    <col min="38" max="38" width="17.5546875" hidden="1" customWidth="1"/>
    <col min="39" max="39" width="0" hidden="1" customWidth="1"/>
    <col min="40" max="40" width="28.5546875" customWidth="1"/>
  </cols>
  <sheetData>
    <row r="1" spans="1:40" x14ac:dyDescent="0.3">
      <c r="N1" s="36">
        <f>'I&amp;D Worksheet'!J8</f>
        <v>0</v>
      </c>
      <c r="O1" s="36" t="s">
        <v>1390</v>
      </c>
      <c r="P1" s="15"/>
      <c r="Q1" s="1791"/>
      <c r="R1" s="1791"/>
      <c r="S1" s="1791"/>
      <c r="AL1" s="1155"/>
    </row>
    <row r="2" spans="1:40" ht="36" customHeight="1" x14ac:dyDescent="0.5">
      <c r="B2" s="354"/>
      <c r="C2" s="354"/>
      <c r="D2" s="354"/>
      <c r="E2" s="354"/>
      <c r="F2" s="1321" t="s">
        <v>57</v>
      </c>
      <c r="G2" s="1321"/>
      <c r="H2" s="1321"/>
      <c r="I2" s="1321"/>
      <c r="J2" s="1321"/>
      <c r="K2" s="1969" t="s">
        <v>1397</v>
      </c>
      <c r="L2" s="2011"/>
      <c r="M2" s="2011"/>
      <c r="N2" s="2082"/>
      <c r="P2" s="1207" t="s">
        <v>803</v>
      </c>
      <c r="Q2" s="1207"/>
      <c r="R2" s="1207"/>
      <c r="S2" s="1207"/>
      <c r="T2" s="1207"/>
      <c r="U2" s="1207"/>
      <c r="V2" s="1207"/>
      <c r="W2" s="1207"/>
      <c r="X2" s="1207"/>
      <c r="Y2" s="1207"/>
      <c r="Z2" s="1207"/>
      <c r="AA2" s="1207"/>
      <c r="AB2" s="1207"/>
      <c r="AC2" s="1207"/>
      <c r="AD2" s="1207"/>
      <c r="AE2" s="1207"/>
      <c r="AF2" s="1207"/>
      <c r="AG2" s="1207"/>
      <c r="AH2" s="1207"/>
      <c r="AI2" s="1207"/>
      <c r="AJ2" s="1207"/>
      <c r="AK2" s="1207"/>
      <c r="AL2" s="1169" t="str">
        <f>IF(AND(OR(N1="Conventional",N1="Other"),M64=TRUE),"Yes, 1 yr returns confirmed","")</f>
        <v/>
      </c>
    </row>
    <row r="3" spans="1:40" ht="15" customHeight="1" x14ac:dyDescent="0.45">
      <c r="B3" s="355"/>
      <c r="C3" s="355"/>
      <c r="D3" s="355"/>
      <c r="E3" s="355"/>
      <c r="F3" s="1970" t="s">
        <v>51</v>
      </c>
      <c r="G3" s="1970"/>
      <c r="H3" s="1970"/>
      <c r="I3" s="1970"/>
      <c r="J3" s="1970"/>
      <c r="K3" s="1150" t="s">
        <v>1375</v>
      </c>
      <c r="L3" s="1171" t="s">
        <v>941</v>
      </c>
      <c r="M3" s="1172" t="s">
        <v>942</v>
      </c>
      <c r="N3" s="2082"/>
      <c r="P3" s="1207"/>
      <c r="Q3" s="1207"/>
      <c r="R3" s="1207"/>
      <c r="S3" s="1207"/>
      <c r="T3" s="1207"/>
      <c r="U3" s="1207"/>
      <c r="V3" s="1207"/>
      <c r="W3" s="1207"/>
      <c r="X3" s="1207"/>
      <c r="Y3" s="1207"/>
      <c r="Z3" s="1207"/>
      <c r="AA3" s="1207"/>
      <c r="AB3" s="1207"/>
      <c r="AC3" s="1207"/>
      <c r="AD3" s="1207"/>
      <c r="AE3" s="1207"/>
      <c r="AF3" s="1207"/>
      <c r="AG3" s="1207"/>
      <c r="AH3" s="1207"/>
      <c r="AI3" s="1207"/>
      <c r="AJ3" s="1207"/>
      <c r="AK3" s="1207"/>
      <c r="AL3" s="1155" t="str">
        <f>IF(AND(OR(N1="Conventional",N1="Other"),M64=TRUE),"No","")</f>
        <v/>
      </c>
    </row>
    <row r="4" spans="1:40" ht="31.8" customHeight="1" x14ac:dyDescent="0.3">
      <c r="A4"/>
      <c r="F4" s="1970"/>
      <c r="G4" s="1970"/>
      <c r="H4" s="1970"/>
      <c r="I4" s="1970"/>
      <c r="J4" s="1970"/>
      <c r="K4" s="2187" t="s">
        <v>1236</v>
      </c>
      <c r="L4" s="2188"/>
      <c r="M4" s="2188"/>
      <c r="N4" s="2188"/>
      <c r="O4" s="8"/>
      <c r="AD4" s="2"/>
      <c r="AE4" s="2"/>
      <c r="AF4" s="2"/>
      <c r="AG4" s="2"/>
      <c r="AH4" s="2"/>
      <c r="AI4" s="2"/>
      <c r="AJ4" s="2"/>
      <c r="AM4" s="476" t="s">
        <v>1396</v>
      </c>
    </row>
    <row r="5" spans="1:40" ht="7.2" customHeight="1" x14ac:dyDescent="0.3">
      <c r="A5"/>
      <c r="J5" s="1948" t="s">
        <v>1227</v>
      </c>
      <c r="K5" s="2175"/>
      <c r="L5" s="2175"/>
      <c r="M5" s="2175"/>
      <c r="N5" s="2175"/>
      <c r="O5" s="2175"/>
      <c r="S5" s="2"/>
      <c r="T5" s="2"/>
      <c r="U5" s="2"/>
      <c r="V5" s="2"/>
      <c r="W5" s="2"/>
      <c r="X5" s="2"/>
      <c r="Y5" s="2"/>
      <c r="Z5" s="2"/>
      <c r="AA5" s="2"/>
      <c r="AB5" s="2"/>
      <c r="AC5" s="2"/>
      <c r="AD5" s="2"/>
      <c r="AE5" s="2"/>
      <c r="AF5" s="2"/>
      <c r="AG5" s="2"/>
      <c r="AH5" s="2"/>
      <c r="AI5" s="2"/>
      <c r="AJ5" s="2"/>
    </row>
    <row r="6" spans="1:40" ht="15.75" customHeight="1" x14ac:dyDescent="0.3">
      <c r="A6" s="1407" t="s">
        <v>37</v>
      </c>
      <c r="B6" s="1407"/>
      <c r="C6" s="1407"/>
      <c r="D6" s="1359"/>
      <c r="E6" s="1359"/>
      <c r="F6" s="1359"/>
      <c r="G6" s="1359"/>
      <c r="H6" s="1359"/>
      <c r="I6" s="36" t="str">
        <f>IF(D6="","",D6)</f>
        <v/>
      </c>
      <c r="J6" s="2175"/>
      <c r="K6" s="2175"/>
      <c r="L6" s="2175"/>
      <c r="M6" s="2175"/>
      <c r="N6" s="2175"/>
      <c r="O6" s="2175"/>
      <c r="P6" s="1407" t="s">
        <v>37</v>
      </c>
      <c r="Q6" s="1407"/>
      <c r="R6" s="1407"/>
      <c r="S6" s="1412" t="str">
        <f>IF(D6&lt;&gt;"",D6,"")</f>
        <v/>
      </c>
      <c r="T6" s="1412"/>
      <c r="U6" s="1412"/>
      <c r="V6" s="1412"/>
      <c r="W6" s="1412"/>
      <c r="X6" s="91"/>
      <c r="Y6" s="53"/>
      <c r="Z6" s="2"/>
      <c r="AA6" s="2"/>
      <c r="AB6" s="2"/>
      <c r="AC6" s="2"/>
      <c r="AD6" s="2"/>
      <c r="AE6" s="2"/>
      <c r="AF6" s="2"/>
      <c r="AG6" s="2"/>
      <c r="AH6" s="2"/>
      <c r="AI6" s="2"/>
      <c r="AJ6" s="2"/>
      <c r="AM6" s="1157" t="s">
        <v>1394</v>
      </c>
    </row>
    <row r="7" spans="1:40" ht="7.5" customHeight="1" x14ac:dyDescent="0.3">
      <c r="A7"/>
      <c r="D7" s="2"/>
      <c r="E7" s="2"/>
      <c r="F7" s="2"/>
      <c r="G7" s="2"/>
      <c r="H7" s="2"/>
      <c r="I7" s="2"/>
      <c r="J7" s="2175"/>
      <c r="K7" s="2175"/>
      <c r="L7" s="2175"/>
      <c r="M7" s="2175"/>
      <c r="N7" s="2175"/>
      <c r="O7" s="2175"/>
      <c r="P7" s="4"/>
      <c r="Q7" s="4"/>
      <c r="R7" s="4"/>
      <c r="S7" s="10"/>
      <c r="T7" s="10"/>
      <c r="U7" s="10"/>
      <c r="V7" s="10"/>
      <c r="W7" s="10"/>
      <c r="X7" s="10"/>
      <c r="Y7" s="2"/>
      <c r="Z7" s="2"/>
      <c r="AA7" s="2"/>
      <c r="AB7" s="2"/>
      <c r="AC7" s="2"/>
      <c r="AD7" s="2"/>
      <c r="AE7" s="2"/>
      <c r="AF7" s="2"/>
      <c r="AG7" s="2"/>
      <c r="AH7" s="2"/>
      <c r="AI7" s="2"/>
      <c r="AJ7" s="2"/>
    </row>
    <row r="8" spans="1:40" ht="15.6" x14ac:dyDescent="0.3">
      <c r="A8" s="1407" t="s">
        <v>132</v>
      </c>
      <c r="B8" s="1407"/>
      <c r="C8" s="1407"/>
      <c r="D8" s="2189"/>
      <c r="E8" s="2189"/>
      <c r="F8" s="2189"/>
      <c r="G8" s="2189"/>
      <c r="H8" s="2189"/>
      <c r="I8" s="46" t="str">
        <f>IF(D8="","",D8)</f>
        <v/>
      </c>
      <c r="J8" s="1969" t="s">
        <v>1229</v>
      </c>
      <c r="K8" s="2011"/>
      <c r="L8" s="2011"/>
      <c r="M8" s="2011"/>
      <c r="N8" s="2011"/>
      <c r="O8" s="2011"/>
      <c r="P8" s="34" t="s">
        <v>35</v>
      </c>
      <c r="Q8" s="34"/>
      <c r="R8" s="34"/>
      <c r="S8" s="796" t="str">
        <f>IF(D8&lt;&gt;"",D8,"")</f>
        <v/>
      </c>
      <c r="T8" s="796"/>
      <c r="U8" s="796"/>
      <c r="V8" s="796"/>
      <c r="W8" s="796"/>
      <c r="X8" s="91"/>
      <c r="Y8" s="2"/>
      <c r="Z8" s="46" t="str">
        <f>IF(S8="","",S8)</f>
        <v/>
      </c>
      <c r="AA8" s="46"/>
      <c r="AB8" s="46"/>
      <c r="AC8" s="46"/>
      <c r="AD8" s="2"/>
      <c r="AE8" s="2"/>
      <c r="AF8" s="2"/>
      <c r="AG8" s="36">
        <f>AF9-2000</f>
        <v>25</v>
      </c>
      <c r="AH8" s="2"/>
      <c r="AI8" s="2"/>
      <c r="AJ8" s="2"/>
    </row>
    <row r="9" spans="1:40" ht="15" customHeight="1" x14ac:dyDescent="0.35">
      <c r="A9" s="4"/>
      <c r="B9" s="4"/>
      <c r="C9" s="4"/>
      <c r="D9" s="10"/>
      <c r="E9" s="10"/>
      <c r="F9" s="10"/>
      <c r="G9" s="10"/>
      <c r="H9" s="10"/>
      <c r="I9" s="2"/>
      <c r="J9" s="2011"/>
      <c r="K9" s="2011"/>
      <c r="L9" s="2011"/>
      <c r="M9" s="2011"/>
      <c r="N9" s="2011"/>
      <c r="O9" s="2011"/>
      <c r="Z9" s="2185">
        <v>2026</v>
      </c>
      <c r="AA9" s="2185"/>
      <c r="AB9" s="2185"/>
      <c r="AC9" s="439" t="s">
        <v>816</v>
      </c>
      <c r="AF9" s="2184">
        <f>Z9-1</f>
        <v>2025</v>
      </c>
      <c r="AG9" s="2184"/>
      <c r="AH9" s="2184"/>
      <c r="AI9" s="438" t="s">
        <v>816</v>
      </c>
      <c r="AJ9" s="440"/>
      <c r="AK9" s="440"/>
    </row>
    <row r="10" spans="1:40" ht="7.8" customHeight="1" x14ac:dyDescent="0.3">
      <c r="A10" s="2197" t="str">
        <f>IF(O63=TRUE,"Total Adjusted Schedule F Income from Vendor wkst:","")</f>
        <v/>
      </c>
      <c r="B10" s="2197"/>
      <c r="C10" s="2197"/>
      <c r="D10" s="2197"/>
      <c r="E10" s="2197"/>
      <c r="F10" s="2197"/>
      <c r="G10" s="2197"/>
      <c r="H10" s="2197"/>
      <c r="I10" s="2197"/>
      <c r="J10" s="2190">
        <v>2025</v>
      </c>
      <c r="K10" s="2190"/>
      <c r="M10" s="2191">
        <f>J10-1</f>
        <v>2024</v>
      </c>
      <c r="N10" s="2191"/>
      <c r="P10" s="1174"/>
      <c r="Q10" s="1174"/>
      <c r="R10" s="2063" t="b">
        <v>0</v>
      </c>
      <c r="S10" s="1341" t="s">
        <v>1415</v>
      </c>
      <c r="T10" s="1341"/>
      <c r="U10" s="1341"/>
      <c r="V10" s="1899" t="s">
        <v>805</v>
      </c>
      <c r="W10" s="1899"/>
      <c r="X10" s="1899"/>
      <c r="Y10" s="359"/>
      <c r="Z10" s="2180">
        <v>46023</v>
      </c>
      <c r="AA10" s="2180"/>
      <c r="AB10" s="441"/>
      <c r="AC10" s="2180"/>
      <c r="AD10" s="2180"/>
      <c r="AE10" s="8"/>
      <c r="AF10" s="2182" t="str">
        <f>CONCATENATE("1/1/",AG8)</f>
        <v>1/1/25</v>
      </c>
      <c r="AG10" s="2182"/>
      <c r="AH10" s="441"/>
      <c r="AI10" s="2182" t="str">
        <f>CONCATENATE("12/31/",AG8)</f>
        <v>12/31/25</v>
      </c>
      <c r="AJ10" s="2182"/>
    </row>
    <row r="11" spans="1:40" ht="7.8" customHeight="1" x14ac:dyDescent="0.3">
      <c r="A11" s="2197"/>
      <c r="B11" s="2197"/>
      <c r="C11" s="2197"/>
      <c r="D11" s="2197"/>
      <c r="E11" s="2197"/>
      <c r="F11" s="2197"/>
      <c r="G11" s="2197"/>
      <c r="H11" s="2197"/>
      <c r="I11" s="2197"/>
      <c r="J11" s="2190"/>
      <c r="K11" s="2190"/>
      <c r="L11" s="2"/>
      <c r="M11" s="2191"/>
      <c r="N11" s="2191"/>
      <c r="P11" s="4"/>
      <c r="R11" s="2063"/>
      <c r="S11" s="1341"/>
      <c r="T11" s="1341"/>
      <c r="U11" s="1341"/>
      <c r="V11" s="1899"/>
      <c r="W11" s="1899"/>
      <c r="X11" s="1899"/>
      <c r="Y11" s="359"/>
      <c r="Z11" s="2181"/>
      <c r="AA11" s="2181"/>
      <c r="AB11" s="74"/>
      <c r="AC11" s="2181"/>
      <c r="AD11" s="2181"/>
      <c r="AE11" s="74"/>
      <c r="AF11" s="2183"/>
      <c r="AG11" s="2183"/>
      <c r="AH11" s="74"/>
      <c r="AI11" s="2183"/>
      <c r="AJ11" s="2183"/>
      <c r="AK11" s="3"/>
    </row>
    <row r="12" spans="1:40" ht="15.6" x14ac:dyDescent="0.3">
      <c r="A12" s="4" t="s">
        <v>1</v>
      </c>
      <c r="B12" s="1701" t="s">
        <v>52</v>
      </c>
      <c r="C12" s="1701"/>
      <c r="D12" s="1701"/>
      <c r="E12" s="1701"/>
      <c r="F12" s="1701"/>
      <c r="G12" s="1701"/>
      <c r="H12" s="2"/>
      <c r="I12" s="3"/>
      <c r="J12" s="1957"/>
      <c r="K12" s="1957"/>
      <c r="L12" s="3"/>
      <c r="M12" s="1957"/>
      <c r="N12" s="1957"/>
      <c r="O12" s="3"/>
      <c r="P12" s="4"/>
      <c r="Q12" s="2"/>
      <c r="R12" s="2063"/>
      <c r="S12" s="2062" t="s">
        <v>1416</v>
      </c>
      <c r="T12" s="2062"/>
      <c r="U12" s="2062"/>
      <c r="V12" s="2062"/>
      <c r="W12" s="53">
        <f>YEAR(Z10)</f>
        <v>2026</v>
      </c>
      <c r="X12" s="2"/>
      <c r="Y12" s="3"/>
      <c r="Z12" s="6"/>
      <c r="AA12" s="2059" t="s">
        <v>97</v>
      </c>
      <c r="AB12" s="2059"/>
      <c r="AC12" s="2059"/>
      <c r="AD12" s="389"/>
      <c r="AE12" s="2"/>
      <c r="AF12" s="389"/>
      <c r="AG12" s="2059" t="s">
        <v>97</v>
      </c>
      <c r="AH12" s="2059"/>
      <c r="AI12" s="2059"/>
      <c r="AJ12" s="6"/>
      <c r="AK12" s="3"/>
    </row>
    <row r="13" spans="1:40" ht="15.6" customHeight="1" x14ac:dyDescent="0.3">
      <c r="A13" s="4" t="s">
        <v>2</v>
      </c>
      <c r="B13" s="1701" t="s">
        <v>53</v>
      </c>
      <c r="C13" s="1701"/>
      <c r="D13" s="1701"/>
      <c r="E13" s="1701"/>
      <c r="F13" s="1701"/>
      <c r="G13" s="1701"/>
      <c r="H13" s="1701"/>
      <c r="I13" s="3"/>
      <c r="J13" s="2192"/>
      <c r="K13" s="2192"/>
      <c r="L13" s="3"/>
      <c r="M13" s="2192"/>
      <c r="N13" s="2192"/>
      <c r="O13" s="3"/>
      <c r="Q13" s="2045" t="str">
        <f>IF(AND(AF21&lt;&gt;0,J21=0,M21&lt;&gt;0),"Most recent Filed returns must be entered in the left column on the 1065 Worksheet and year updated at top.",IF(AND(AF21&lt;&gt;0,AF9&lt;&gt;(J10+1)),"Error, Tax Years and P&amp;L years are not entered correctly; see the Instructions tab under P&amp;L's",IF(AND(AF21=0,Z21&lt;&gt;0,Z9&lt;&gt;(J10+1)),"Error, Tax Years and P&amp;L years are not entered correctly; see the Instructions tab under P&amp;L's","")))</f>
        <v/>
      </c>
      <c r="R13" s="2045"/>
      <c r="S13" s="2045"/>
      <c r="T13" s="2045"/>
      <c r="U13" s="2045"/>
      <c r="V13" s="401"/>
      <c r="W13" s="401"/>
      <c r="X13" s="2"/>
      <c r="Y13" s="3"/>
      <c r="Z13" s="6"/>
      <c r="AA13" s="2046" t="str">
        <f>IF(OR(Z10="",AC10=""),"=",CONCATENATE(ROUND(AC14,2)," Months"))</f>
        <v>=</v>
      </c>
      <c r="AB13" s="2046"/>
      <c r="AC13" s="2046"/>
      <c r="AE13" s="3"/>
      <c r="AF13" s="6"/>
      <c r="AG13" s="2046" t="str">
        <f>IF(OR(AF10="",AI10=""),"=",CONCATENATE(ROUND(AI14,2)," Months"))</f>
        <v>12 Months</v>
      </c>
      <c r="AH13" s="2046"/>
      <c r="AI13" s="2046"/>
      <c r="AK13" s="3"/>
      <c r="AN13" s="36"/>
    </row>
    <row r="14" spans="1:40" ht="8.25" customHeight="1" x14ac:dyDescent="0.3">
      <c r="A14" s="4"/>
      <c r="B14" s="2119" t="s">
        <v>56</v>
      </c>
      <c r="C14" s="2119"/>
      <c r="D14" s="2119"/>
      <c r="E14" s="2119"/>
      <c r="F14" s="2119"/>
      <c r="G14" s="2119"/>
      <c r="H14" s="2119"/>
      <c r="I14" s="3"/>
      <c r="J14" s="2193"/>
      <c r="K14" s="2193"/>
      <c r="L14" s="3"/>
      <c r="M14" s="2193"/>
      <c r="N14" s="2193"/>
      <c r="O14" s="3"/>
      <c r="P14" s="401"/>
      <c r="Q14" s="2045"/>
      <c r="R14" s="2045"/>
      <c r="S14" s="2045"/>
      <c r="T14" s="2045"/>
      <c r="U14" s="2045"/>
      <c r="V14" s="401"/>
      <c r="W14" s="401"/>
      <c r="X14" s="2"/>
      <c r="Z14" s="11"/>
      <c r="AA14" s="220">
        <f>YEARFRAC(Z10,AC10+1,4)</f>
        <v>126</v>
      </c>
      <c r="AB14" s="394" t="str">
        <f>IF(OR(Z10="",AC10=""),"=",(ROUND(AC14,2)))</f>
        <v>=</v>
      </c>
      <c r="AC14" s="221">
        <f>AA14*12</f>
        <v>1512</v>
      </c>
      <c r="AD14" s="11"/>
      <c r="AE14" s="3"/>
      <c r="AF14" s="11"/>
      <c r="AG14" s="220">
        <f>YEARFRAC(AF10,AI10+1,4)</f>
        <v>1</v>
      </c>
      <c r="AH14" s="394">
        <f>IF(OR(AF10="",AI10=""),"=",(ROUND(AI14,2)))</f>
        <v>12</v>
      </c>
      <c r="AI14" s="221">
        <f>AG14*12</f>
        <v>12</v>
      </c>
      <c r="AJ14" s="11"/>
      <c r="AK14" s="3"/>
    </row>
    <row r="15" spans="1:40" ht="15.6" x14ac:dyDescent="0.3">
      <c r="A15" s="4" t="s">
        <v>3</v>
      </c>
      <c r="B15" s="1876" t="s">
        <v>778</v>
      </c>
      <c r="C15" s="1876"/>
      <c r="D15" s="1876"/>
      <c r="E15" s="1876"/>
      <c r="F15" s="1876"/>
      <c r="G15" s="1876"/>
      <c r="H15" s="1876"/>
      <c r="I15" s="3" t="s">
        <v>14</v>
      </c>
      <c r="J15" s="1985"/>
      <c r="K15" s="1985"/>
      <c r="L15" s="3" t="s">
        <v>558</v>
      </c>
      <c r="M15" s="1985"/>
      <c r="N15" s="1985"/>
      <c r="O15" s="3" t="s">
        <v>13</v>
      </c>
      <c r="P15" s="2027" t="s">
        <v>818</v>
      </c>
      <c r="Q15" s="2027"/>
      <c r="R15" s="2027"/>
      <c r="S15" s="2027"/>
      <c r="T15" s="419"/>
      <c r="U15" s="419"/>
      <c r="Z15" s="2195" t="str">
        <f>IF(Z9&lt;&gt;W12,"Error: Years don’t match",IF(AND(AC10&lt;&gt;"",AC10&lt;Z10),"Error: &lt; 1 day",IF(AND(AB14&gt;12,AC10&lt;&gt;""),"Error: &gt; 12 Mo","")))</f>
        <v/>
      </c>
      <c r="AA15" s="2195"/>
      <c r="AB15" s="2195"/>
      <c r="AC15" s="2195"/>
      <c r="AD15" s="2195"/>
      <c r="AE15" s="421"/>
      <c r="AF15" s="2196" t="str">
        <f>IF(AND(AH14&gt;12,AI10&lt;&gt;""),"Error: &gt; 12 Mo","")</f>
        <v/>
      </c>
      <c r="AG15" s="2196"/>
      <c r="AH15" s="2196"/>
      <c r="AI15" s="2196"/>
      <c r="AJ15" s="2196"/>
    </row>
    <row r="16" spans="1:40" ht="15.6" x14ac:dyDescent="0.3">
      <c r="A16" s="4" t="s">
        <v>4</v>
      </c>
      <c r="B16" s="1701" t="s">
        <v>842</v>
      </c>
      <c r="C16" s="1701"/>
      <c r="D16" s="1701"/>
      <c r="E16" s="1701"/>
      <c r="F16" s="1701"/>
      <c r="G16" s="1701"/>
      <c r="H16" s="2"/>
      <c r="I16" s="3"/>
      <c r="J16" s="1985"/>
      <c r="K16" s="1985"/>
      <c r="L16" s="3"/>
      <c r="M16" s="1985"/>
      <c r="N16" s="1985"/>
      <c r="O16" s="3"/>
      <c r="P16" s="4" t="s">
        <v>1</v>
      </c>
      <c r="Q16" s="66" t="s">
        <v>807</v>
      </c>
      <c r="R16" s="66"/>
      <c r="S16" s="66"/>
      <c r="T16" s="66"/>
      <c r="U16" s="66"/>
      <c r="V16" s="66"/>
      <c r="W16" s="66"/>
      <c r="X16" s="66"/>
      <c r="Y16" s="66"/>
      <c r="Z16" s="1917"/>
      <c r="AA16" s="1917"/>
      <c r="AB16" s="1917"/>
      <c r="AC16" s="1917"/>
      <c r="AD16" s="1917"/>
      <c r="AE16" s="3"/>
      <c r="AF16" s="1917"/>
      <c r="AG16" s="1917"/>
      <c r="AH16" s="1917"/>
      <c r="AI16" s="1917"/>
      <c r="AJ16" s="1917"/>
      <c r="AK16" s="3"/>
    </row>
    <row r="17" spans="1:37" ht="15.6" x14ac:dyDescent="0.3">
      <c r="A17" s="4" t="s">
        <v>5</v>
      </c>
      <c r="B17" s="1701" t="s">
        <v>843</v>
      </c>
      <c r="C17" s="1701"/>
      <c r="D17" s="1701"/>
      <c r="E17" s="1701"/>
      <c r="F17" s="1701"/>
      <c r="G17" s="1701"/>
      <c r="H17" s="1701"/>
      <c r="I17" s="1701"/>
      <c r="J17" s="1985"/>
      <c r="K17" s="1985"/>
      <c r="L17" s="212" t="s">
        <v>256</v>
      </c>
      <c r="M17" s="1985"/>
      <c r="N17" s="1985"/>
      <c r="O17" s="213" t="s">
        <v>256</v>
      </c>
      <c r="P17" s="4" t="s">
        <v>2</v>
      </c>
      <c r="Q17" s="2" t="s">
        <v>792</v>
      </c>
      <c r="R17" s="2"/>
      <c r="S17" s="2"/>
      <c r="T17" s="2"/>
      <c r="U17" s="2"/>
      <c r="V17" s="2"/>
      <c r="W17" s="2"/>
      <c r="X17" s="2"/>
      <c r="Y17" s="3"/>
      <c r="Z17" s="1917"/>
      <c r="AA17" s="1917"/>
      <c r="AB17" s="1917"/>
      <c r="AC17" s="1917"/>
      <c r="AD17" s="1917"/>
      <c r="AE17" s="3"/>
      <c r="AF17" s="1917"/>
      <c r="AG17" s="1917"/>
      <c r="AH17" s="1917"/>
      <c r="AI17" s="1917"/>
      <c r="AJ17" s="1917"/>
      <c r="AK17" s="3"/>
    </row>
    <row r="18" spans="1:37" ht="15.6" x14ac:dyDescent="0.3">
      <c r="A18" s="4" t="s">
        <v>6</v>
      </c>
      <c r="B18" s="1701" t="s">
        <v>210</v>
      </c>
      <c r="C18" s="1701"/>
      <c r="D18" s="1701"/>
      <c r="E18" s="1701"/>
      <c r="F18" s="1701"/>
      <c r="G18" s="1701"/>
      <c r="H18" s="2"/>
      <c r="I18" s="3"/>
      <c r="J18" s="1957"/>
      <c r="K18" s="1957"/>
      <c r="L18" s="3"/>
      <c r="M18" s="1985"/>
      <c r="N18" s="1985"/>
      <c r="O18" s="3"/>
      <c r="P18" s="4" t="s">
        <v>3</v>
      </c>
      <c r="Q18" s="2" t="s">
        <v>806</v>
      </c>
      <c r="R18" s="2"/>
      <c r="S18" s="2"/>
      <c r="T18" s="2"/>
      <c r="U18" s="2"/>
      <c r="V18" s="2"/>
      <c r="W18" s="2"/>
      <c r="X18" s="2"/>
      <c r="Y18" s="3"/>
      <c r="Z18" s="1917"/>
      <c r="AA18" s="1917"/>
      <c r="AB18" s="1917"/>
      <c r="AC18" s="1917"/>
      <c r="AD18" s="1917"/>
      <c r="AE18" s="3"/>
      <c r="AF18" s="1917"/>
      <c r="AG18" s="1917"/>
      <c r="AH18" s="1917"/>
      <c r="AI18" s="1917"/>
      <c r="AJ18" s="1917"/>
      <c r="AK18" s="3"/>
    </row>
    <row r="19" spans="1:37" ht="15.6" x14ac:dyDescent="0.3">
      <c r="A19" s="4" t="s">
        <v>7</v>
      </c>
      <c r="B19" s="2" t="s">
        <v>239</v>
      </c>
      <c r="C19" s="2194"/>
      <c r="D19" s="2194"/>
      <c r="E19" s="2194"/>
      <c r="F19" s="2194"/>
      <c r="G19" s="2194"/>
      <c r="H19" s="2"/>
      <c r="I19" s="3"/>
      <c r="J19" s="1957"/>
      <c r="K19" s="1957"/>
      <c r="L19" s="3"/>
      <c r="M19" s="1985"/>
      <c r="N19" s="1985"/>
      <c r="O19" s="3"/>
      <c r="P19" s="4" t="s">
        <v>4</v>
      </c>
      <c r="Q19" s="2" t="s">
        <v>239</v>
      </c>
      <c r="R19" s="2031"/>
      <c r="S19" s="2031"/>
      <c r="T19" s="2031"/>
      <c r="U19" s="2031"/>
      <c r="V19" s="2031"/>
      <c r="W19" s="2"/>
      <c r="X19" s="2"/>
      <c r="Y19" s="3"/>
      <c r="Z19" s="1917"/>
      <c r="AA19" s="1917"/>
      <c r="AB19" s="1917"/>
      <c r="AC19" s="1917"/>
      <c r="AD19" s="1917"/>
      <c r="AE19" s="3"/>
      <c r="AF19" s="1917"/>
      <c r="AG19" s="1917"/>
      <c r="AH19" s="1917"/>
      <c r="AI19" s="1917"/>
      <c r="AJ19" s="1917"/>
      <c r="AK19" s="3"/>
    </row>
    <row r="20" spans="1:37" ht="16.2" thickBot="1" x14ac:dyDescent="0.35">
      <c r="A20" s="4" t="s">
        <v>8</v>
      </c>
      <c r="B20" s="1427" t="s">
        <v>55</v>
      </c>
      <c r="C20" s="1427"/>
      <c r="D20" s="1427"/>
      <c r="E20" s="1427"/>
      <c r="F20" s="1427"/>
      <c r="G20" s="1427"/>
      <c r="H20" s="3"/>
      <c r="I20" s="3"/>
      <c r="J20" s="1959">
        <f>IF(O63=TRUE,J12,J12+J13-J15+J16+J17+J18+J19)</f>
        <v>0</v>
      </c>
      <c r="K20" s="1959"/>
      <c r="L20" s="3"/>
      <c r="M20" s="1959">
        <f>IF(O64=TRUE,0,IF(O63=TRUE,M12,M12+M13-M15+M16+M17+M18+M19))</f>
        <v>0</v>
      </c>
      <c r="N20" s="1959"/>
      <c r="O20" s="3"/>
      <c r="P20" s="4" t="s">
        <v>5</v>
      </c>
      <c r="Q20" s="2" t="s">
        <v>239</v>
      </c>
      <c r="R20" s="2029"/>
      <c r="S20" s="2029"/>
      <c r="T20" s="2029"/>
      <c r="U20" s="2029"/>
      <c r="V20" s="2029"/>
      <c r="W20" s="2"/>
      <c r="X20" s="2"/>
      <c r="Y20" s="2"/>
      <c r="Z20" s="1917"/>
      <c r="AA20" s="1917"/>
      <c r="AB20" s="1917"/>
      <c r="AC20" s="1917"/>
      <c r="AD20" s="1917"/>
      <c r="AE20" s="212"/>
      <c r="AF20" s="1917"/>
      <c r="AG20" s="1917"/>
      <c r="AH20" s="1917"/>
      <c r="AI20" s="1917"/>
      <c r="AJ20" s="1917"/>
      <c r="AK20" s="3"/>
    </row>
    <row r="21" spans="1:37" ht="9" customHeight="1" thickTop="1" x14ac:dyDescent="0.3">
      <c r="A21" s="4"/>
      <c r="B21" s="3"/>
      <c r="C21" s="3"/>
      <c r="D21" s="3"/>
      <c r="E21" s="3"/>
      <c r="F21" s="3"/>
      <c r="G21" s="1958" t="s">
        <v>814</v>
      </c>
      <c r="H21" s="1958"/>
      <c r="I21" s="1958"/>
      <c r="J21" s="1989">
        <f>IF(AND(F30&lt;12,F30&lt;&gt;""),(J20/F30)*12,J20)</f>
        <v>0</v>
      </c>
      <c r="K21" s="1989"/>
      <c r="L21" s="3"/>
      <c r="M21" s="1989">
        <f>IF(AND(D30&lt;12,D30&lt;&gt;""),(M20/D30)*12,M20)</f>
        <v>0</v>
      </c>
      <c r="N21" s="1989"/>
      <c r="O21" s="3"/>
      <c r="P21" s="2061" t="s">
        <v>6</v>
      </c>
      <c r="Q21" s="1809" t="s">
        <v>819</v>
      </c>
      <c r="R21" s="1809"/>
      <c r="S21" s="1809"/>
      <c r="T21" s="1809"/>
      <c r="U21" s="1809"/>
      <c r="V21" s="1809"/>
      <c r="W21" s="3"/>
      <c r="X21" s="3"/>
      <c r="Y21" s="3"/>
      <c r="Z21" s="2060">
        <f>Z16+Z17+Z18+Z19+Z20</f>
        <v>0</v>
      </c>
      <c r="AA21" s="2060"/>
      <c r="AB21" s="2060"/>
      <c r="AC21" s="2060"/>
      <c r="AD21" s="2060"/>
      <c r="AE21" s="3"/>
      <c r="AF21" s="2060">
        <f>AF16+AF17+AF18+AF19+AF20</f>
        <v>0</v>
      </c>
      <c r="AG21" s="2060"/>
      <c r="AH21" s="2060"/>
      <c r="AI21" s="2060"/>
      <c r="AJ21" s="2060"/>
      <c r="AK21" s="3"/>
    </row>
    <row r="22" spans="1:37" ht="15.6" x14ac:dyDescent="0.3">
      <c r="A22" s="4"/>
      <c r="B22" s="3"/>
      <c r="C22" s="30"/>
      <c r="D22" s="1341" t="str">
        <f>CONCATENATE("Exclude ", M10, " from Total Adjusted Farming Income Below")</f>
        <v>Exclude 2024 from Total Adjusted Farming Income Below</v>
      </c>
      <c r="E22" s="1341"/>
      <c r="F22" s="1341"/>
      <c r="G22" s="1341"/>
      <c r="H22" s="1341"/>
      <c r="I22" s="1341"/>
      <c r="J22" s="25"/>
      <c r="K22" s="1991" t="str">
        <f>IF(AND(J21&lt;M21,OR(G29="",G29=12,G29=24)),CONCATENATE(ROUND(((M21-J21)/M21)*100,2),"%"," Decline from ",M10," to ",J10,),
IF(AND(G29&gt;12,G29&lt;24,J21&lt;M21),CONCATENATE(ROUND(((M21-J21)/M21)*100,2),"%"," Decline from ",M10," to ",J10,),
IF(J21&lt;M21,(CONCATENATE("Decline from ",M10," to ",J10,)),
IF(AND(J21&gt;M21,OR(G29="",G29=12,G29=24)),CONCATENATE(ROUND(((J21-M21)/M21)*100,2),"%"," Increase from ",M10," to ",J10,),
IF(AND(G29&gt;12,G29&lt;24,J21&gt;M21),CONCATENATE(ROUND(((J21-M21)/M21)*100,2),"%"," Increase from ",M10," to ",J10,),"")))))</f>
        <v/>
      </c>
      <c r="L22" s="1991"/>
      <c r="M22" s="1991"/>
      <c r="N22" s="25"/>
      <c r="O22" s="3"/>
      <c r="P22" s="2061"/>
      <c r="Q22" s="1809"/>
      <c r="R22" s="1809"/>
      <c r="S22" s="1809"/>
      <c r="T22" s="1809"/>
      <c r="U22" s="1809"/>
      <c r="V22" s="1809"/>
      <c r="Z22" s="2179"/>
      <c r="AA22" s="2179"/>
      <c r="AB22" s="2179"/>
      <c r="AC22" s="2179"/>
      <c r="AD22" s="2179"/>
      <c r="AF22" s="2179"/>
      <c r="AG22" s="2179"/>
      <c r="AH22" s="2179"/>
      <c r="AI22" s="2179"/>
      <c r="AJ22" s="2179"/>
      <c r="AK22" s="3"/>
    </row>
    <row r="23" spans="1:37" ht="7.5" customHeight="1" x14ac:dyDescent="0.3">
      <c r="A23" s="4"/>
      <c r="B23" s="2"/>
      <c r="C23" s="2"/>
      <c r="D23" s="2"/>
      <c r="E23" s="2"/>
      <c r="F23" s="2"/>
      <c r="G23" s="2"/>
      <c r="H23" s="2"/>
      <c r="I23" s="2"/>
      <c r="J23" s="2"/>
      <c r="K23" s="2"/>
      <c r="L23" s="16"/>
      <c r="M23" s="16"/>
      <c r="N23" s="2"/>
      <c r="Z23" s="2176" t="str">
        <f>IF(AND(Z21&lt;&gt;0,OR(AB14="",AB14&lt;0,AB14&gt;12)),"Error, Correct Dates",IF(AA13&lt;&gt;"=",CONCATENATE("Annualized based on income/(loss) of $",Z21," over ",AA13," ="),CONCATENATE("Annualized based on income/(loss) of $",Z21," over # Months =")))</f>
        <v>Annualized based on income/(loss) of $0 over # Months =</v>
      </c>
      <c r="AA23" s="2176"/>
      <c r="AB23" s="2176"/>
      <c r="AC23" s="2176"/>
      <c r="AD23" s="2176"/>
      <c r="AF23" s="2176" t="str">
        <f>IF(AND(AF21&lt;&gt;0,OR(AH14="",AH14&lt;0,AH14&gt;12)),"Error, Correct Dates",IF(AND(AF21&lt;&gt;0,J21=0,M21&lt;&gt;0),"Error, Move Most Recent Filed Returns To Left Column on the 1065 Worksheet",IF(AG13&lt;&gt;"=",CONCATENATE("Annualized based on income/(loss) of $",AF21," over ",AG13," ="),CONCATENATE("Annualized based on income/(loss) of $",AF21," over # Months ="))))</f>
        <v>Annualized based on income/(loss) of $0 over 12 Months =</v>
      </c>
      <c r="AG23" s="2176"/>
      <c r="AH23" s="2176"/>
      <c r="AI23" s="2176"/>
      <c r="AJ23" s="2176"/>
      <c r="AK23" s="56"/>
    </row>
    <row r="24" spans="1:37" ht="15.6" x14ac:dyDescent="0.3">
      <c r="A24" s="4" t="s">
        <v>9</v>
      </c>
      <c r="B24" s="1701" t="s">
        <v>55</v>
      </c>
      <c r="C24" s="1701"/>
      <c r="D24" s="1701"/>
      <c r="E24" s="1701"/>
      <c r="F24" s="1701"/>
      <c r="G24" s="1701"/>
      <c r="H24" s="2"/>
      <c r="I24" s="3"/>
      <c r="J24" s="2"/>
      <c r="K24" s="5"/>
      <c r="L24" s="2068">
        <f>IF(N65=TRUE,J20,J20+M20)</f>
        <v>0</v>
      </c>
      <c r="M24" s="2068"/>
      <c r="Z24" s="2037"/>
      <c r="AA24" s="2037"/>
      <c r="AB24" s="2037"/>
      <c r="AC24" s="2037"/>
      <c r="AD24" s="2037"/>
      <c r="AF24" s="2037"/>
      <c r="AG24" s="2037"/>
      <c r="AH24" s="2037"/>
      <c r="AI24" s="2037"/>
      <c r="AJ24" s="2037"/>
      <c r="AK24" s="56"/>
    </row>
    <row r="25" spans="1:37" ht="15.6" x14ac:dyDescent="0.3">
      <c r="A25" s="4" t="s">
        <v>10</v>
      </c>
      <c r="B25" s="1701" t="s">
        <v>12</v>
      </c>
      <c r="C25" s="1701"/>
      <c r="D25" s="1701"/>
      <c r="E25" s="1701"/>
      <c r="F25" s="420"/>
      <c r="G25" s="2"/>
      <c r="H25" s="2"/>
      <c r="I25" s="2"/>
      <c r="J25" s="2"/>
      <c r="K25" s="6"/>
      <c r="L25" s="2069"/>
      <c r="M25" s="2069"/>
      <c r="N25" s="2"/>
      <c r="Z25" s="2037"/>
      <c r="AA25" s="2037"/>
      <c r="AB25" s="2037"/>
      <c r="AC25" s="2037"/>
      <c r="AD25" s="2037"/>
      <c r="AF25" s="2037"/>
      <c r="AG25" s="2037"/>
      <c r="AH25" s="2037"/>
      <c r="AI25" s="2037"/>
      <c r="AJ25" s="2037"/>
      <c r="AK25" s="3"/>
    </row>
    <row r="26" spans="1:37" ht="4.2" customHeight="1" thickBot="1" x14ac:dyDescent="0.35">
      <c r="A26" s="4"/>
      <c r="B26" s="2"/>
      <c r="C26" s="2"/>
      <c r="D26" s="2"/>
      <c r="E26" s="2"/>
      <c r="F26" s="12"/>
      <c r="G26" s="2"/>
      <c r="H26" s="2000" t="str">
        <f>IF(OR(AND(O64=TRUE,F25&gt;12),AND(D30&lt;&gt;"",D30&gt;12),AND(F30&lt;&gt;"",F30&gt;12)),"Error: Greater than 12 months in one year entered","")</f>
        <v/>
      </c>
      <c r="I26" s="2000"/>
      <c r="J26" s="2000"/>
      <c r="K26" s="2000"/>
      <c r="L26" s="14"/>
      <c r="M26" s="14"/>
      <c r="N26" s="2"/>
      <c r="Z26" s="2037"/>
      <c r="AA26" s="2037"/>
      <c r="AB26" s="2037"/>
      <c r="AC26" s="2037"/>
      <c r="AD26" s="2037"/>
      <c r="AF26" s="2037"/>
      <c r="AG26" s="2037"/>
      <c r="AH26" s="2037"/>
      <c r="AI26" s="2037"/>
      <c r="AJ26" s="2037"/>
      <c r="AK26" s="12"/>
    </row>
    <row r="27" spans="1:37" ht="10.8" customHeight="1" thickBot="1" x14ac:dyDescent="0.35">
      <c r="A27" s="4"/>
      <c r="B27" s="1993" t="s">
        <v>299</v>
      </c>
      <c r="C27" s="1994"/>
      <c r="D27" s="1994"/>
      <c r="E27" s="1994"/>
      <c r="F27" s="1994"/>
      <c r="G27" s="1995"/>
      <c r="H27" s="2000"/>
      <c r="I27" s="2000"/>
      <c r="J27" s="2000"/>
      <c r="K27" s="2000"/>
      <c r="L27" s="14"/>
      <c r="M27" s="14"/>
      <c r="N27" s="2"/>
      <c r="Z27" s="2037"/>
      <c r="AA27" s="2037"/>
      <c r="AB27" s="2037"/>
      <c r="AC27" s="2037"/>
      <c r="AD27" s="2037"/>
      <c r="AF27" s="2037"/>
      <c r="AG27" s="2037"/>
      <c r="AH27" s="2037"/>
      <c r="AI27" s="2037"/>
      <c r="AJ27" s="2037"/>
      <c r="AK27" s="12"/>
    </row>
    <row r="28" spans="1:37" ht="10.199999999999999" customHeight="1" x14ac:dyDescent="0.3">
      <c r="A28" s="4"/>
      <c r="B28" s="1996" t="str">
        <f>CONCATENATE(M10," Start:")</f>
        <v>2024 Start:</v>
      </c>
      <c r="C28" s="1997"/>
      <c r="D28" s="405" t="str">
        <f>CONCATENATE(M10," End:")</f>
        <v>2024 End:</v>
      </c>
      <c r="E28" s="406" t="str">
        <f>CONCATENATE(J10," Start:")</f>
        <v>2025 Start:</v>
      </c>
      <c r="F28" s="405" t="str">
        <f>CONCATENATE(J10," End:")</f>
        <v>2025 End:</v>
      </c>
      <c r="G28" s="407" t="s">
        <v>178</v>
      </c>
      <c r="H28" s="2000"/>
      <c r="I28" s="2000"/>
      <c r="J28" s="2000"/>
      <c r="K28" s="2000"/>
      <c r="L28" s="14"/>
      <c r="M28" s="14"/>
      <c r="N28" s="2"/>
      <c r="P28" s="2061" t="s">
        <v>7</v>
      </c>
      <c r="Q28" s="1809" t="s">
        <v>812</v>
      </c>
      <c r="R28" s="1809"/>
      <c r="S28" s="1809"/>
      <c r="T28" s="1809"/>
      <c r="U28" s="1809"/>
      <c r="V28" s="1809"/>
      <c r="W28" s="1809"/>
      <c r="X28" s="30"/>
      <c r="Y28" s="30"/>
      <c r="Z28" s="2060">
        <f>IF(Z23="Error, Correct Dates",0,IF(AND(Z21&lt;&gt;0,AA13&lt;&gt;"="),(Z21/AB14)*12,0))</f>
        <v>0</v>
      </c>
      <c r="AA28" s="2060"/>
      <c r="AB28" s="2060"/>
      <c r="AC28" s="2060"/>
      <c r="AD28" s="2060"/>
      <c r="AE28" s="387">
        <f>IF(AI69=TRUE,0,Z28)</f>
        <v>0</v>
      </c>
      <c r="AF28" s="2060">
        <f>IF(OR(AF23="Error, Move Most Recent Filed Returns To Left Column on the 1065 Worksheet",AF23="Error, Correct Dates"),0,IF(AND(AF21&lt;&gt;0,AG13&lt;&gt;"="),(AF21/AH14)*12,0))</f>
        <v>0</v>
      </c>
      <c r="AG28" s="2060"/>
      <c r="AH28" s="2060"/>
      <c r="AI28" s="2060"/>
      <c r="AJ28" s="2060"/>
      <c r="AK28" s="3"/>
    </row>
    <row r="29" spans="1:37" ht="12" customHeight="1" thickBot="1" x14ac:dyDescent="0.35">
      <c r="A29" s="4"/>
      <c r="B29" s="1998"/>
      <c r="C29" s="1999"/>
      <c r="D29" s="408"/>
      <c r="E29" s="409"/>
      <c r="F29" s="408"/>
      <c r="G29" s="410" t="str">
        <f>G30</f>
        <v/>
      </c>
      <c r="H29" s="2000"/>
      <c r="I29" s="2000"/>
      <c r="J29" s="2000"/>
      <c r="K29" s="2000"/>
      <c r="L29" s="14"/>
      <c r="M29" s="14"/>
      <c r="N29" s="2"/>
      <c r="P29" s="2061"/>
      <c r="Q29" s="1809"/>
      <c r="R29" s="1809"/>
      <c r="S29" s="1809"/>
      <c r="T29" s="1809"/>
      <c r="U29" s="1809"/>
      <c r="V29" s="1809"/>
      <c r="W29" s="1809"/>
      <c r="X29" s="30"/>
      <c r="Y29" s="30"/>
      <c r="Z29" s="1915"/>
      <c r="AA29" s="1915"/>
      <c r="AB29" s="1915"/>
      <c r="AC29" s="1915"/>
      <c r="AD29" s="1915"/>
      <c r="AE29" s="30"/>
      <c r="AF29" s="1915"/>
      <c r="AG29" s="1915"/>
      <c r="AH29" s="1915"/>
      <c r="AI29" s="1915"/>
      <c r="AJ29" s="1915"/>
      <c r="AK29" s="3"/>
    </row>
    <row r="30" spans="1:37" ht="3.6" customHeight="1" x14ac:dyDescent="0.3">
      <c r="A30" s="4"/>
      <c r="B30" s="1981" t="str">
        <f>IF(AND(B29="",D29="",M20&lt;&gt;0),1,IF(AND(B29="",D29="",M20=0),"",IF(AND(B29="",D29&lt;&gt;""),"",IF(AND(B29&lt;&gt;"",D29=""),"",YEARFRAC(B29,D29+1,4)))))</f>
        <v/>
      </c>
      <c r="C30" s="1981"/>
      <c r="D30" s="412" t="str">
        <f>IF(O64=TRUE,"",IF(B30="","",ROUND(B30*12,2)))</f>
        <v/>
      </c>
      <c r="E30" s="413" t="str">
        <f>IF(AND(E29="",F29="",J20&lt;&gt;0),1,IF(AND(E29="",F29="",J20=0),"",IF(AND(E29="",F29&lt;&gt;""),"",IF(AND(E29&lt;&gt;"",F29=""),"",YEARFRAC(E29,F29+1,4)))))</f>
        <v/>
      </c>
      <c r="F30" s="412" t="str">
        <f>IF(E30="","",ROUND(E30*12,2))</f>
        <v/>
      </c>
      <c r="G30" s="414" t="str">
        <f>IF(AND(D30&lt;&gt;"",F30&lt;&gt;""),F30+D30,IF(AND(D30&lt;&gt;"",F30=""),D30,IF(AND(D30="",F30&lt;&gt;""),F30,"")))</f>
        <v/>
      </c>
      <c r="H30" s="2000"/>
      <c r="I30" s="2000"/>
      <c r="J30" s="2000"/>
      <c r="K30" s="2000"/>
      <c r="L30" s="14"/>
      <c r="M30" s="14"/>
      <c r="N30" s="2"/>
      <c r="X30" s="391"/>
      <c r="Y30" s="2"/>
      <c r="AE30" s="2"/>
      <c r="AK30" s="212" t="s">
        <v>257</v>
      </c>
    </row>
    <row r="31" spans="1:37" ht="16.2" customHeight="1" thickBot="1" x14ac:dyDescent="0.35">
      <c r="A31" s="4" t="s">
        <v>11</v>
      </c>
      <c r="B31" s="1427" t="s">
        <v>54</v>
      </c>
      <c r="C31" s="1427"/>
      <c r="D31" s="1427"/>
      <c r="E31" s="1427"/>
      <c r="F31" s="1427"/>
      <c r="G31" s="3"/>
      <c r="H31" s="2000"/>
      <c r="I31" s="2000"/>
      <c r="J31" s="2000"/>
      <c r="K31" s="2000"/>
      <c r="L31" s="2058">
        <f>IF(F25&gt;0,L24/F25,)</f>
        <v>0</v>
      </c>
      <c r="M31" s="2058"/>
      <c r="N31" s="72">
        <f>IF(N64=TRUE,0,L31)</f>
        <v>0</v>
      </c>
      <c r="X31" s="391"/>
      <c r="Y31" s="2"/>
      <c r="AE31" s="2"/>
      <c r="AK31" s="3"/>
    </row>
    <row r="32" spans="1:37" ht="16.2" customHeight="1" thickTop="1" x14ac:dyDescent="0.3">
      <c r="A32" s="4"/>
      <c r="B32" s="3"/>
      <c r="C32" s="3"/>
      <c r="D32" s="3"/>
      <c r="E32" s="3"/>
      <c r="F32" s="3"/>
      <c r="G32" s="3"/>
      <c r="H32" s="2000"/>
      <c r="I32" s="2000"/>
      <c r="J32" s="2000"/>
      <c r="K32" s="2000"/>
      <c r="L32" s="14"/>
      <c r="M32" s="14"/>
      <c r="N32" s="2"/>
      <c r="P32" s="4"/>
      <c r="Q32" s="3"/>
      <c r="R32" s="3"/>
      <c r="S32" s="3"/>
      <c r="T32" s="3"/>
      <c r="U32" s="3"/>
      <c r="V32" s="3"/>
      <c r="W32" s="3"/>
      <c r="X32" s="3"/>
      <c r="Y32" s="3"/>
      <c r="Z32" s="205"/>
      <c r="AA32" s="205"/>
      <c r="AB32" s="205"/>
      <c r="AC32" s="205"/>
      <c r="AD32" s="205"/>
      <c r="AE32" s="3"/>
      <c r="AF32" s="205"/>
      <c r="AG32" s="205"/>
      <c r="AH32" s="205"/>
      <c r="AI32" s="205"/>
      <c r="AJ32" s="205"/>
      <c r="AK32" s="8"/>
    </row>
    <row r="33" spans="1:37" ht="12.75" customHeight="1" x14ac:dyDescent="0.3">
      <c r="A33" s="2070" t="s">
        <v>846</v>
      </c>
      <c r="B33" s="2071"/>
      <c r="C33" s="3"/>
      <c r="D33" s="3"/>
      <c r="E33" s="3"/>
      <c r="F33" s="3"/>
      <c r="G33" s="3"/>
      <c r="H33" s="3"/>
      <c r="I33" s="3"/>
      <c r="J33" s="2"/>
      <c r="K33" s="5"/>
      <c r="L33" s="14"/>
      <c r="M33" s="14"/>
      <c r="N33" s="2"/>
      <c r="P33" s="4"/>
      <c r="Q33" s="2"/>
      <c r="R33" s="10"/>
      <c r="S33" s="10"/>
      <c r="T33" s="10"/>
      <c r="U33" s="10"/>
      <c r="V33" s="10"/>
      <c r="W33" s="2"/>
      <c r="X33" s="2"/>
      <c r="Y33" s="3"/>
      <c r="Z33" s="6"/>
      <c r="AA33" s="6"/>
      <c r="AB33" s="6"/>
      <c r="AC33" s="6"/>
      <c r="AD33" s="6"/>
      <c r="AE33" s="3"/>
      <c r="AF33" s="6"/>
      <c r="AG33" s="6"/>
      <c r="AH33" s="6"/>
      <c r="AI33" s="6"/>
      <c r="AJ33" s="6"/>
      <c r="AK33" s="12"/>
    </row>
    <row r="34" spans="1:37" ht="57" customHeight="1" x14ac:dyDescent="0.3">
      <c r="A34" s="2072"/>
      <c r="B34" s="2073"/>
      <c r="C34" s="2076" t="str">
        <f>IF(J21&lt;M21,C35,IF(J21=M21,C37,C36))</f>
        <v>Caution: Business income stable but 2024 is being excluded and/or the number of months reviewed is less than .  Generally when income is stable 2024 should be included and a  month average of this income should be used, or you must omit the prior year to average over 12 months.  Review above and correct to clear the alert or explain in your notes.</v>
      </c>
      <c r="D34" s="2076"/>
      <c r="E34" s="2076"/>
      <c r="F34" s="2076"/>
      <c r="G34" s="2076"/>
      <c r="H34" s="2076"/>
      <c r="I34" s="2076"/>
      <c r="J34" s="2076"/>
      <c r="K34" s="2076"/>
      <c r="L34" s="2076"/>
      <c r="M34" s="2076"/>
      <c r="N34" s="2"/>
      <c r="P34" s="8"/>
      <c r="Q34" s="417"/>
      <c r="R34" s="417"/>
      <c r="S34" s="430">
        <f>M10</f>
        <v>2024</v>
      </c>
      <c r="T34" s="430">
        <f>J10</f>
        <v>2025</v>
      </c>
      <c r="U34" s="434">
        <f>IF(AF28&lt;&gt;0,AF9,Z9)</f>
        <v>2026</v>
      </c>
      <c r="V34" s="2032" t="str">
        <f>IF(AF28&lt;&gt;0,Z9,"")</f>
        <v/>
      </c>
      <c r="W34" s="2032"/>
      <c r="X34" s="3"/>
      <c r="Y34" s="2135" t="s">
        <v>1367</v>
      </c>
      <c r="Z34" s="2135"/>
      <c r="AA34" s="2135"/>
      <c r="AB34" s="2135"/>
      <c r="AC34" s="2135"/>
      <c r="AD34" s="2135" t="str">
        <f>IF(AF28&lt;&gt;0,(CONCATENATE("Effective Income + ",AG9," avg.")),"")</f>
        <v/>
      </c>
      <c r="AE34" s="2135"/>
      <c r="AF34" s="2135"/>
      <c r="AG34" s="2135"/>
      <c r="AH34" s="2135"/>
      <c r="AI34" s="2135"/>
      <c r="AK34" s="3"/>
    </row>
    <row r="35" spans="1:37" ht="16.5" customHeight="1" x14ac:dyDescent="0.3">
      <c r="A35" s="2072"/>
      <c r="B35" s="2073"/>
      <c r="C35" s="217" t="str">
        <f>CONCATENATE("Caution: Declining income is detected and ",M10, " is not being excluded and/or the number of months reviewed is greater than 12.  Generally with declining income ",M10, " should be excluded and the number of months reviewed should be 12.  Review above and correct to clear the alert or explain the justification in your notes below for not excluding ",M10, " and/or using more than 12 months reviewed.")</f>
        <v>Caution: Declining income is detected and 2024 is not being excluded and/or the number of months reviewed is greater than 12.  Generally with declining income 2024 should be excluded and the number of months reviewed should be 12.  Review above and correct to clear the alert or explain the justification in your notes below for not excluding 2024 and/or using more than 12 months reviewed.</v>
      </c>
      <c r="E35" s="361"/>
      <c r="F35" s="361"/>
      <c r="G35" s="361"/>
      <c r="H35" s="3"/>
      <c r="I35" s="3"/>
      <c r="J35" s="2"/>
      <c r="L35" s="254"/>
      <c r="M35" s="254"/>
      <c r="N35" s="254"/>
      <c r="P35" s="2033" t="s">
        <v>815</v>
      </c>
      <c r="Q35" s="2033"/>
      <c r="R35" s="2033"/>
      <c r="S35" s="415">
        <f>M21</f>
        <v>0</v>
      </c>
      <c r="T35" s="415">
        <f>J21</f>
        <v>0</v>
      </c>
      <c r="U35" s="415">
        <f>IF(AF28&lt;&gt;0,AF28,Z28)</f>
        <v>0</v>
      </c>
      <c r="V35" s="2034">
        <f>IF(AF28&lt;&gt;0,Z28,0)</f>
        <v>0</v>
      </c>
      <c r="W35" s="2034"/>
      <c r="X35" s="68"/>
      <c r="Y35" s="2048">
        <f>L31*12</f>
        <v>0</v>
      </c>
      <c r="Z35" s="2048"/>
      <c r="AA35" s="2048"/>
      <c r="AB35" s="2048"/>
      <c r="AC35" s="2048"/>
      <c r="AD35" s="2048">
        <f>IF(AF28&lt;&gt;0,((Y35+U35)/2),0)</f>
        <v>0</v>
      </c>
      <c r="AE35" s="2048"/>
      <c r="AF35" s="2048"/>
      <c r="AG35" s="2048"/>
      <c r="AH35" s="2048"/>
      <c r="AI35" s="2048"/>
      <c r="AK35" s="3"/>
    </row>
    <row r="36" spans="1:37" ht="14.25" customHeight="1" x14ac:dyDescent="0.3">
      <c r="A36" s="2074"/>
      <c r="B36" s="2075"/>
      <c r="C36" s="217" t="str">
        <f>CONCATENATE("Caution: Business income increased but ",M10, " is being excluded and/or the number of months reviewed is other than ",G29,".  Generally when income increases ",M10, " should be included and a ",G29," month average of this income should be used.  Review above and correct to clear the alert or explain the justification in your notes below for not including ",M10, " and/or using other than ",G29," month reviewed.")</f>
        <v>Caution: Business income increased but 2024 is being excluded and/or the number of months reviewed is other than .  Generally when income increases 2024 should be included and a  month average of this income should be used.  Review above and correct to clear the alert or explain the justification in your notes below for not including 2024 and/or using other than  month reviewed.</v>
      </c>
      <c r="D36" s="2095" t="str">
        <f>IF(OR(AND(OR(N1=0,N1="FHA"),J21&lt;&gt;0,M21&lt;&gt;0,((M21-J21)&gt;=(M21*0.2))),
AND(OR(N1=0,N1="FHA"),T35&lt;&gt;0,U35&lt;&gt;0,((T35-U35)&gt;=(T35*0.2))),
AND(OR(N1=0,N1="FHA"),U35&lt;&gt;0,V35&lt;&gt;0,((U35-V35)&gt;=(U35*0.2))),
AND(OR(N1=0,N1="FHA2"),Y35&lt;&gt;0,AF28&lt;&gt;0,Z28&lt;&gt;0,((AD35-Z28)&gt;=(AD35*0.2)))),"*Self Employed with 20% or greater decline in business income, FHA loans require Manual Downgrade AND Further Analysis if using income.","")</f>
        <v/>
      </c>
      <c r="E36" s="2095"/>
      <c r="F36" s="2095"/>
      <c r="G36" s="2095"/>
      <c r="H36" s="3"/>
      <c r="I36" s="3"/>
      <c r="J36" s="2"/>
      <c r="K36" s="2186" t="s">
        <v>413</v>
      </c>
      <c r="L36" s="2186"/>
      <c r="M36" s="2186"/>
      <c r="N36" s="2186"/>
      <c r="X36" s="68"/>
      <c r="Y36" s="2"/>
      <c r="AE36" s="2"/>
      <c r="AK36" s="3"/>
    </row>
    <row r="37" spans="1:37" ht="13.2" customHeight="1" x14ac:dyDescent="0.3">
      <c r="A37" s="468"/>
      <c r="B37" s="468"/>
      <c r="C37" s="411" t="str">
        <f>CONCATENATE("Caution: Business income stable but ",M10, " is being excluded and/or the number of months reviewed is less than ",G29,".  Generally when income is stable ",M10, " should be included and a ",G29," month average of this income should be used, or you must omit the prior year to average over 12 months.  Review above and correct to clear the alert or explain in your notes.")</f>
        <v>Caution: Business income stable but 2024 is being excluded and/or the number of months reviewed is less than .  Generally when income is stable 2024 should be included and a  month average of this income should be used, or you must omit the prior year to average over 12 months.  Review above and correct to clear the alert or explain in your notes.</v>
      </c>
      <c r="D37" s="2095"/>
      <c r="E37" s="2095"/>
      <c r="F37" s="2095"/>
      <c r="G37" s="2095"/>
      <c r="H37" s="3"/>
      <c r="I37" s="3"/>
      <c r="J37" s="2"/>
      <c r="K37" s="2186"/>
      <c r="L37" s="2186"/>
      <c r="M37" s="2186"/>
      <c r="N37" s="2186"/>
      <c r="P37" s="2102" t="str">
        <f>IF(M21&lt;&gt;0,CONCATENATE(M10," Tax Return - ", J10," Tax Return:"),"")</f>
        <v/>
      </c>
      <c r="Q37" s="2102"/>
      <c r="R37" s="2102"/>
      <c r="S37" s="2102"/>
      <c r="T37" s="2102"/>
      <c r="U37" s="2051" t="str">
        <f>IF(AND(J21&lt;&gt;0,J21&lt;M21,OR(G29="",G29=12,G29=24)),CONCATENATE(ROUND(((M21-J21)/M21)*100,2),"%"," Decline from '",M10," Tax Returns' to '",J10," Tax Returns'"),
IF(AND(J21&lt;&gt;0,G29&gt;12,G29&lt;24,J21&lt;M21),CONCATENATE(ROUND(((M21-J21)/M21)*100,2),"%"," Decline from '",M10," Tax Returns' to '",J10," Tax Returns'"),
IF(AND(J21&lt;&gt;0,J21&lt;M21),(CONCATENATE("Decline from '",M10," Tax Retunrs' to '",J10," Tax Returns'")),
IF(AND(J21&lt;&gt;0,J21&gt;M21,OR(G29="",G29=12,G29=24)),CONCATENATE(ROUND(((J21-M21)/M21)*100,2),"%"," Increase from '",M10," Tax Returns' to '",J10," Tax Returns'"),
IF(AND(J21&lt;&gt;0,G29&gt;12,G29&lt;24,J21&gt;M21),CONCATENATE(ROUND(((J21-M21)/M21)*100,2),"%"," Increase from '",M10," Tax Returns' to '",J10," Tax Returns'"),IF(AND(J21&lt;&gt;0,M21&lt;&gt;0,M21=J21),"No Change",""))))))</f>
        <v/>
      </c>
      <c r="V37" s="2051"/>
      <c r="W37" s="2051"/>
      <c r="X37" s="2051"/>
      <c r="Y37" s="2051"/>
      <c r="Z37" s="2051"/>
      <c r="AA37" s="2051"/>
      <c r="AB37" s="2051"/>
      <c r="AC37" s="2051"/>
      <c r="AD37" s="2051"/>
      <c r="AE37" s="2051"/>
      <c r="AF37" s="2051"/>
      <c r="AG37" s="2051"/>
      <c r="AH37" s="2051"/>
      <c r="AI37" s="2051"/>
      <c r="AJ37" s="2051"/>
    </row>
    <row r="38" spans="1:37" ht="11.4" customHeight="1" x14ac:dyDescent="0.3">
      <c r="A38" s="4"/>
      <c r="B38" s="3"/>
      <c r="C38" s="3"/>
      <c r="D38" s="2095"/>
      <c r="E38" s="2095"/>
      <c r="F38" s="2095"/>
      <c r="G38" s="2095"/>
      <c r="H38" s="3"/>
      <c r="I38" s="3"/>
      <c r="J38" s="2"/>
      <c r="K38" s="2186"/>
      <c r="L38" s="2186"/>
      <c r="M38" s="2186"/>
      <c r="N38" s="2186"/>
      <c r="P38" s="2102"/>
      <c r="Q38" s="2102"/>
      <c r="R38" s="2102"/>
      <c r="S38" s="2102"/>
      <c r="T38" s="2102"/>
      <c r="U38" s="2051"/>
      <c r="V38" s="2051"/>
      <c r="W38" s="2051"/>
      <c r="X38" s="2051"/>
      <c r="Y38" s="2051"/>
      <c r="Z38" s="2051"/>
      <c r="AA38" s="2051"/>
      <c r="AB38" s="2051"/>
      <c r="AC38" s="2051"/>
      <c r="AD38" s="2051"/>
      <c r="AE38" s="2051"/>
      <c r="AF38" s="2051"/>
      <c r="AG38" s="2051"/>
      <c r="AH38" s="2051"/>
      <c r="AI38" s="2051"/>
      <c r="AJ38" s="2051"/>
    </row>
    <row r="39" spans="1:37" ht="12" customHeight="1" x14ac:dyDescent="0.3">
      <c r="A39" s="4"/>
      <c r="B39" s="3"/>
      <c r="C39" s="3"/>
      <c r="D39" s="2095"/>
      <c r="E39" s="2095"/>
      <c r="F39" s="2095"/>
      <c r="G39" s="2095"/>
      <c r="H39" s="3"/>
      <c r="I39" s="3"/>
      <c r="J39" s="2"/>
      <c r="K39" s="5"/>
      <c r="L39" s="14"/>
      <c r="M39" s="14"/>
      <c r="N39" s="2"/>
      <c r="P39" s="2040" t="str">
        <f>IF(N1="FHA2",CONCATENATE("Effective Income vs. ",Z9," ",AC9,":"),
IF(AND(AF28=0,N1&lt;&gt;"FHA2"),CONCATENATE(J10," Tax Return - ",Z9," ",AC9,":"),CONCATENATE(J10," Tax Return - ",AF9," ",AI9,":")))</f>
        <v>2025 Tax Return - 2026 P&amp;L:</v>
      </c>
      <c r="Q39" s="2040"/>
      <c r="R39" s="2040"/>
      <c r="S39" s="2040"/>
      <c r="T39" s="2040"/>
      <c r="U39" s="1524" t="str">
        <f>IF(AND(N1="FHA2",L31=0),"",
IF(AND(N1="FHA2",Y35&lt;&gt;0,Z28&lt;&gt;0,Z28&lt;Y35),CONCATENATE(ROUND(((Y35-Z28)/Y35)*100,2),"%"," Decline from 'Effective income' to '",Z9,"'"),
IF(AND(N1="FHA2",Y35&lt;&gt;0,Z28&lt;&gt;0,Z28&gt;Y35),CONCATENATE(ROUND(((Z28-Y35)/Y35)*100,2),"%"," Increase from 'Effective income' to '",Z9,"'"),
IF(AND(N1="FHA2",Y35&lt;&gt;0,Z28&lt;&gt;0,Z28=Y35),"No Change",
IF(AND(J21&lt;&gt;0,Z28&lt;&gt;0,AF28=0,Z28&lt;J21),CONCATENATE(ROUND(((J21-Z28)/J21)*100,2),"%"," Decline from '",J10," Tax Returns' to '",Z9,"'"),
IF(AND(J21&lt;&gt;0,Z28&lt;&gt;0,AF28=0,Z28&gt;J21),CONCATENATE(ROUND(((Z28-J21)/J21)*100,2),"%"," Increase from '",J10," Tax Returns' to '",Z9,"'"),
IF(AND(J21&lt;&gt;0,Z28&lt;&gt;0,AF28=0,Z28=J21),"No Change",
IF(AND(J21&lt;&gt;0,AF28&lt;&gt;0,AF28&gt;J21),CONCATENATE(ROUND(((AF28-J21)/J21)*100,2),"%"," Increase from '",J10," Tax Returns' to '",AF9," ",AI9,"'"),
IF(AND(J21&lt;&gt;0,AF28&lt;&gt;0,AF28&lt;J21),CONCATENATE(ROUND(((J21-AF28)/J21)*100,2),"%"," Decline from '",J10," Tax Returns' to '",AF9," ",AI9,"'"),
IF(AND(J21&lt;&gt;0,AF28&lt;&gt;0,AF28=J21),"No Change",
""))))))))))</f>
        <v/>
      </c>
      <c r="V39" s="1524"/>
      <c r="W39" s="1524"/>
      <c r="X39" s="1524"/>
      <c r="Y39" s="1524"/>
      <c r="Z39" s="1524"/>
      <c r="AA39" s="1524"/>
      <c r="AB39" s="1524"/>
      <c r="AC39" s="1524"/>
      <c r="AD39" s="1524"/>
      <c r="AE39" s="1524"/>
      <c r="AF39" s="1524"/>
      <c r="AG39" s="1524"/>
      <c r="AH39" s="1524"/>
      <c r="AI39" s="1524"/>
      <c r="AJ39" s="1524"/>
      <c r="AK39" s="1525"/>
    </row>
    <row r="40" spans="1:37" ht="15" customHeight="1" x14ac:dyDescent="0.3">
      <c r="A40" s="1475" t="s">
        <v>1074</v>
      </c>
      <c r="B40" s="1475"/>
      <c r="C40" s="1475"/>
      <c r="D40" s="1475"/>
      <c r="E40" s="1475"/>
      <c r="F40" s="19"/>
      <c r="G40" s="19"/>
      <c r="H40" s="19"/>
      <c r="I40" s="19"/>
      <c r="J40" s="19"/>
      <c r="K40" s="19"/>
      <c r="L40" s="19"/>
      <c r="M40" s="19"/>
      <c r="N40" s="19"/>
      <c r="P40" s="2040"/>
      <c r="Q40" s="2040"/>
      <c r="R40" s="2040"/>
      <c r="S40" s="2040"/>
      <c r="T40" s="2040"/>
      <c r="U40" s="1524"/>
      <c r="V40" s="1524"/>
      <c r="W40" s="1524"/>
      <c r="X40" s="1524"/>
      <c r="Y40" s="1524"/>
      <c r="Z40" s="1524"/>
      <c r="AA40" s="1524"/>
      <c r="AB40" s="1524"/>
      <c r="AC40" s="1524"/>
      <c r="AD40" s="1524"/>
      <c r="AE40" s="1524"/>
      <c r="AF40" s="1524"/>
      <c r="AG40" s="1524"/>
      <c r="AH40" s="1524"/>
      <c r="AI40" s="1524"/>
      <c r="AJ40" s="1524"/>
      <c r="AK40" s="1525"/>
    </row>
    <row r="41" spans="1:37" ht="15" customHeight="1" x14ac:dyDescent="0.35">
      <c r="A41" s="1325"/>
      <c r="B41" s="1325"/>
      <c r="C41" s="1325"/>
      <c r="D41" s="1325"/>
      <c r="E41" s="1325"/>
      <c r="F41" s="1325"/>
      <c r="G41" s="1325"/>
      <c r="H41" s="1325"/>
      <c r="I41" s="1325"/>
      <c r="J41" s="1325"/>
      <c r="K41" s="1325"/>
      <c r="L41" s="1325"/>
      <c r="M41" s="1325"/>
      <c r="N41" s="1325"/>
      <c r="O41" s="1325"/>
      <c r="P41" s="2102" t="str">
        <f>IF(AF28=0,"",
IF(N1="FHA2",CONCATENATE("Effective Income vs. ",AF9," ",AI9,":"),
CONCATENATE(AF9," ",AI9," vs. ",Z9," ",AC9,":")))</f>
        <v/>
      </c>
      <c r="Q41" s="2102"/>
      <c r="R41" s="2102"/>
      <c r="S41" s="2102"/>
      <c r="T41" s="2102"/>
      <c r="U41" s="2178" t="str">
        <f>IF(AND(N1="FHA2",L31=0),"",
IF(AND(N1="FHA2",Y35&lt;&gt;0,AF28&lt;&gt;0,AF28&lt;Y35),CONCATENATE(ROUND(((Y35-AF28)/Y35)*100,2),"%"," Decline from 'Effective' income to '",AF9,"'"),
IF(AND(N1="FHA2",Y35&lt;&gt;0,AF28&lt;&gt;0,AF28&gt;Y35),CONCATENATE(ROUND(((AF28-Y35)/Y35)*100,2),"%"," Increase from 'Effective' income to '",AF9,"'"),
IF(AND(N1="FHA2",Y35&lt;&gt;0,AF28&lt;&gt;0,AF28=Y35),"No Change",
IF(AND(Z28&lt;&gt;0,AF28&lt;&gt;0,AF28&gt;Z28),CONCATENATE(ROUND(((AF28-Z28)/AF28)*100,2),"%"," Decline from '",AF9," ",AI9,"' to '",Z9," ",AC9,"'"),
IF(AND(Z28&lt;&gt;0,AF28&lt;&gt;0,AF28&lt;Z28),CONCATENATE(ROUND(((Z28-AF28)/AF28)*100,2),"%"," Increase from '",AF9," ",AI9,"' to '",Z9," ",AC9,"'"),
IF(AND(Z28&lt;&gt;0,AF28&lt;&gt;0,AF28=Z28),"No Change",
"")))))))</f>
        <v/>
      </c>
      <c r="V41" s="2178"/>
      <c r="W41" s="2178"/>
      <c r="X41" s="2178"/>
      <c r="Y41" s="2178"/>
      <c r="Z41" s="2178"/>
      <c r="AA41" s="2178"/>
      <c r="AB41" s="2178"/>
      <c r="AC41" s="2178"/>
      <c r="AD41" s="2178"/>
      <c r="AE41" s="2178"/>
      <c r="AF41" s="2178"/>
      <c r="AG41" s="2178"/>
      <c r="AH41" s="2178"/>
      <c r="AI41" s="2178"/>
      <c r="AJ41" s="2178"/>
      <c r="AK41" s="1140"/>
    </row>
    <row r="42" spans="1:37" ht="15" customHeight="1" x14ac:dyDescent="0.3">
      <c r="A42" s="1325"/>
      <c r="B42" s="1325"/>
      <c r="C42" s="1325"/>
      <c r="D42" s="1325"/>
      <c r="E42" s="1325"/>
      <c r="F42" s="1325"/>
      <c r="G42" s="1325"/>
      <c r="H42" s="1325"/>
      <c r="I42" s="1325"/>
      <c r="J42" s="1325"/>
      <c r="K42" s="1325"/>
      <c r="L42" s="1325"/>
      <c r="M42" s="1325"/>
      <c r="N42" s="1325"/>
      <c r="O42" s="1325"/>
      <c r="P42" s="2177" t="str">
        <f>IF(AND(AF28&lt;&gt;0,N1="FHA2"),CONCATENATE("Effective Inc. + ",AF9," ",AI9," vs. ",Z9," ",AC9,":"),"")</f>
        <v/>
      </c>
      <c r="Q42" s="2177"/>
      <c r="R42" s="2177"/>
      <c r="S42" s="2177"/>
      <c r="T42" s="2177"/>
      <c r="U42" s="2133" t="str">
        <f>IF(AND(N1="FHA2",L31=0),"",
IF(AND(N1="FHA2",Y35&lt;&gt;0,Z28&lt;&gt;0,AF28&lt;&gt;0,Z28&lt;AD35),CONCATENATE(ROUND(((AD35-Z28)/AD35)*100,2),"%"," Decline from 'Effective income + ",AF9,"' to '",Z9,"'"),
IF(AND(N1="FHA2",Y35&lt;&gt;0,Z28&lt;&gt;0,AF28&lt;&gt;0,Z28&gt;AD35),CONCATENATE(ROUND(((Z28-AD35)/AD35)*100,2),"%"," Increase from 'Effective income + ",AF9,"' to '",Z9,"'"),
IF(AND(N1="FHA2",Y35&lt;&gt;0,Z28&lt;&gt;0,AF28&lt;&gt;0,Z28=AD35),"No Change",""))))</f>
        <v/>
      </c>
      <c r="V42" s="2133"/>
      <c r="W42" s="2133"/>
      <c r="X42" s="2133"/>
      <c r="Y42" s="2133"/>
      <c r="Z42" s="2133"/>
      <c r="AA42" s="2133"/>
      <c r="AB42" s="2133"/>
      <c r="AC42" s="2133"/>
      <c r="AD42" s="2133"/>
      <c r="AE42" s="2133"/>
      <c r="AF42" s="2133"/>
      <c r="AG42" s="2133"/>
      <c r="AH42" s="2133"/>
      <c r="AI42" s="2133"/>
      <c r="AJ42" s="2133"/>
      <c r="AK42" s="1140"/>
    </row>
    <row r="43" spans="1:37" ht="15" customHeight="1" x14ac:dyDescent="0.3">
      <c r="A43" s="1325"/>
      <c r="B43" s="1325"/>
      <c r="C43" s="1325"/>
      <c r="D43" s="1325"/>
      <c r="E43" s="1325"/>
      <c r="F43" s="1325"/>
      <c r="G43" s="1325"/>
      <c r="H43" s="1325"/>
      <c r="I43" s="1325"/>
      <c r="J43" s="1325"/>
      <c r="K43" s="1325"/>
      <c r="L43" s="1325"/>
      <c r="M43" s="1325"/>
      <c r="N43" s="1325"/>
      <c r="O43" s="1325"/>
      <c r="P43" s="2177"/>
      <c r="Q43" s="2177"/>
      <c r="R43" s="2177"/>
      <c r="S43" s="2177"/>
      <c r="T43" s="2177"/>
      <c r="U43" s="2133"/>
      <c r="V43" s="2133"/>
      <c r="W43" s="2133"/>
      <c r="X43" s="2133"/>
      <c r="Y43" s="2133"/>
      <c r="Z43" s="2133"/>
      <c r="AA43" s="2133"/>
      <c r="AB43" s="2133"/>
      <c r="AC43" s="2133"/>
      <c r="AD43" s="2133"/>
      <c r="AE43" s="2133"/>
      <c r="AF43" s="2133"/>
      <c r="AG43" s="2133"/>
      <c r="AH43" s="2133"/>
      <c r="AI43" s="2133"/>
      <c r="AJ43" s="2133"/>
    </row>
    <row r="44" spans="1:37" ht="15" customHeight="1" x14ac:dyDescent="0.3">
      <c r="A44" s="1325"/>
      <c r="B44" s="1325"/>
      <c r="C44" s="1325"/>
      <c r="D44" s="1325"/>
      <c r="E44" s="1325"/>
      <c r="F44" s="1325"/>
      <c r="G44" s="1325"/>
      <c r="H44" s="1325"/>
      <c r="I44" s="1325"/>
      <c r="J44" s="1325"/>
      <c r="K44" s="1325"/>
      <c r="L44" s="1325"/>
      <c r="M44" s="1325"/>
      <c r="N44" s="1325"/>
      <c r="O44" s="1325"/>
      <c r="P44" s="1526" t="s">
        <v>1019</v>
      </c>
      <c r="Q44" s="1526"/>
      <c r="R44" s="1526"/>
      <c r="S44" s="1526"/>
      <c r="T44" s="1526"/>
      <c r="U44" s="1526"/>
      <c r="V44" s="1526"/>
      <c r="W44" s="1526"/>
      <c r="X44" s="1526"/>
      <c r="Y44" s="1526"/>
      <c r="Z44" s="1526"/>
      <c r="AA44" s="1526"/>
      <c r="AB44" s="1526"/>
      <c r="AC44" s="1526"/>
      <c r="AD44" s="1526"/>
      <c r="AE44" s="1526"/>
      <c r="AF44" s="1526"/>
      <c r="AG44" s="1526"/>
      <c r="AH44" s="1526"/>
      <c r="AI44" s="1526"/>
      <c r="AJ44" s="1526"/>
      <c r="AK44" s="435"/>
    </row>
    <row r="45" spans="1:37" ht="15" customHeight="1" x14ac:dyDescent="0.3">
      <c r="A45" s="1325"/>
      <c r="B45" s="1325"/>
      <c r="C45" s="1325"/>
      <c r="D45" s="1325"/>
      <c r="E45" s="1325"/>
      <c r="F45" s="1325"/>
      <c r="G45" s="1325"/>
      <c r="H45" s="1325"/>
      <c r="I45" s="1325"/>
      <c r="J45" s="1325"/>
      <c r="K45" s="1325"/>
      <c r="L45" s="1325"/>
      <c r="M45" s="1325"/>
      <c r="N45" s="1325"/>
      <c r="O45" s="1325"/>
      <c r="P45" s="2132" t="str">
        <f>IF(AND(AF28&lt;&gt;0,J21&lt;&gt;0,AF28&lt;J21,Z28&gt;=AF28),CONCATENATE("Underwriting and Approval Requirement:                                                                                                                                                   The '",AF9,"' for an extended or not yet filed tax return shows a decline of income from ",J10,". Convention loans: Refer to Fannie/Freddie Covid Guidelines.  Gov loans: Even though the income has stabilized now based on the '",Z9,"' they would need to file the returns with the IRS in order to use income from this business. (recalculated using the newly filed returns and ",J10,")"),"")</f>
        <v/>
      </c>
      <c r="Q45" s="2132"/>
      <c r="R45" s="2132"/>
      <c r="S45" s="2132"/>
      <c r="T45" s="2132"/>
      <c r="U45" s="2132"/>
      <c r="V45" s="2132"/>
      <c r="W45" s="2132"/>
      <c r="X45" s="2132"/>
      <c r="Y45" s="2132"/>
      <c r="Z45" s="2132"/>
      <c r="AA45" s="2132"/>
      <c r="AB45" s="2132"/>
      <c r="AC45" s="2132"/>
      <c r="AD45" s="2132"/>
      <c r="AE45" s="2132"/>
      <c r="AF45" s="2132"/>
      <c r="AG45" s="2132"/>
      <c r="AH45" s="2132"/>
      <c r="AI45" s="2132"/>
      <c r="AJ45" s="2132"/>
      <c r="AK45" s="435"/>
    </row>
    <row r="46" spans="1:37" ht="15" customHeight="1" x14ac:dyDescent="0.3">
      <c r="A46" s="1325"/>
      <c r="B46" s="1325"/>
      <c r="C46" s="1325"/>
      <c r="D46" s="1325"/>
      <c r="E46" s="1325"/>
      <c r="F46" s="1325"/>
      <c r="G46" s="1325"/>
      <c r="H46" s="1325"/>
      <c r="I46" s="1325"/>
      <c r="J46" s="1325"/>
      <c r="K46" s="1325"/>
      <c r="L46" s="1325"/>
      <c r="M46" s="1325"/>
      <c r="N46" s="1325"/>
      <c r="O46" s="1325"/>
      <c r="P46" s="2132"/>
      <c r="Q46" s="2132"/>
      <c r="R46" s="2132"/>
      <c r="S46" s="2132"/>
      <c r="T46" s="2132"/>
      <c r="U46" s="2132"/>
      <c r="V46" s="2132"/>
      <c r="W46" s="2132"/>
      <c r="X46" s="2132"/>
      <c r="Y46" s="2132"/>
      <c r="Z46" s="2132"/>
      <c r="AA46" s="2132"/>
      <c r="AB46" s="2132"/>
      <c r="AC46" s="2132"/>
      <c r="AD46" s="2132"/>
      <c r="AE46" s="2132"/>
      <c r="AF46" s="2132"/>
      <c r="AG46" s="2132"/>
      <c r="AH46" s="2132"/>
      <c r="AI46" s="2132"/>
      <c r="AJ46" s="2132"/>
      <c r="AK46" s="435"/>
    </row>
    <row r="47" spans="1:37" ht="14.4" customHeight="1" x14ac:dyDescent="0.3">
      <c r="A47" s="1072"/>
      <c r="B47" s="19"/>
      <c r="C47" s="19"/>
      <c r="D47" s="19"/>
      <c r="E47" s="19"/>
      <c r="F47" s="19"/>
      <c r="G47" s="19"/>
      <c r="H47" s="19"/>
      <c r="I47" s="19"/>
      <c r="J47" s="19"/>
      <c r="K47" s="19"/>
      <c r="L47" s="19"/>
      <c r="M47" s="19"/>
      <c r="N47" s="19"/>
      <c r="P47" s="2132"/>
      <c r="Q47" s="2132"/>
      <c r="R47" s="2132"/>
      <c r="S47" s="2132"/>
      <c r="T47" s="2132"/>
      <c r="U47" s="2132"/>
      <c r="V47" s="2132"/>
      <c r="W47" s="2132"/>
      <c r="X47" s="2132"/>
      <c r="Y47" s="2132"/>
      <c r="Z47" s="2132"/>
      <c r="AA47" s="2132"/>
      <c r="AB47" s="2132"/>
      <c r="AC47" s="2132"/>
      <c r="AD47" s="2132"/>
      <c r="AE47" s="2132"/>
      <c r="AF47" s="2132"/>
      <c r="AG47" s="2132"/>
      <c r="AH47" s="2132"/>
      <c r="AI47" s="2132"/>
      <c r="AJ47" s="2132"/>
      <c r="AK47" s="435"/>
    </row>
    <row r="48" spans="1:37" ht="15" customHeight="1" x14ac:dyDescent="0.3">
      <c r="A48" s="1475" t="s">
        <v>223</v>
      </c>
      <c r="B48" s="1475"/>
      <c r="C48" s="1475"/>
      <c r="D48" s="1475"/>
      <c r="E48" s="19"/>
      <c r="F48" s="19"/>
      <c r="G48" s="19"/>
      <c r="H48" s="19"/>
      <c r="I48" s="19"/>
      <c r="J48" s="19"/>
      <c r="K48" s="19"/>
      <c r="L48" s="19"/>
      <c r="M48" s="19"/>
      <c r="N48" s="19"/>
      <c r="P48" s="2132"/>
      <c r="Q48" s="2132"/>
      <c r="R48" s="2132"/>
      <c r="S48" s="2132"/>
      <c r="T48" s="2132"/>
      <c r="U48" s="2132"/>
      <c r="V48" s="2132"/>
      <c r="W48" s="2132"/>
      <c r="X48" s="2132"/>
      <c r="Y48" s="2132"/>
      <c r="Z48" s="2132"/>
      <c r="AA48" s="2132"/>
      <c r="AB48" s="2132"/>
      <c r="AC48" s="2132"/>
      <c r="AD48" s="2132"/>
      <c r="AE48" s="2132"/>
      <c r="AF48" s="2132"/>
      <c r="AG48" s="2132"/>
      <c r="AH48" s="2132"/>
      <c r="AI48" s="2132"/>
      <c r="AJ48" s="2132"/>
      <c r="AK48" s="435"/>
    </row>
    <row r="49" spans="1:37" ht="14.4" customHeight="1" x14ac:dyDescent="0.3">
      <c r="A49" s="2077" t="s">
        <v>59</v>
      </c>
      <c r="B49" s="2077"/>
      <c r="C49" s="2077"/>
      <c r="D49" s="2077"/>
      <c r="E49" s="2077"/>
      <c r="F49" s="2077"/>
      <c r="G49" s="2077"/>
      <c r="H49" s="2077"/>
      <c r="I49" s="2077"/>
      <c r="J49" s="2077"/>
      <c r="K49" s="2077"/>
      <c r="L49" s="2077"/>
      <c r="M49" s="2077"/>
      <c r="N49" s="2077"/>
      <c r="P49" s="2132"/>
      <c r="Q49" s="2132"/>
      <c r="R49" s="2132"/>
      <c r="S49" s="2132"/>
      <c r="T49" s="2132"/>
      <c r="U49" s="2132"/>
      <c r="V49" s="2132"/>
      <c r="W49" s="2132"/>
      <c r="X49" s="2132"/>
      <c r="Y49" s="2132"/>
      <c r="Z49" s="2132"/>
      <c r="AA49" s="2132"/>
      <c r="AB49" s="2132"/>
      <c r="AC49" s="2132"/>
      <c r="AD49" s="2132"/>
      <c r="AE49" s="2132"/>
      <c r="AF49" s="2132"/>
      <c r="AG49" s="2132"/>
      <c r="AH49" s="2132"/>
      <c r="AI49" s="2132"/>
      <c r="AJ49" s="2132"/>
      <c r="AK49" s="435"/>
    </row>
    <row r="50" spans="1:37" ht="15.6" x14ac:dyDescent="0.3">
      <c r="A50" s="1903" t="s">
        <v>294</v>
      </c>
      <c r="B50" s="1903"/>
      <c r="C50" s="1903"/>
      <c r="D50" s="1903"/>
      <c r="E50" s="1903"/>
      <c r="F50" s="1903"/>
      <c r="G50" s="1903"/>
      <c r="H50" s="1903"/>
      <c r="I50" s="1903"/>
      <c r="J50" s="1903"/>
      <c r="K50" s="1903"/>
      <c r="L50" s="1903"/>
      <c r="M50" s="1903"/>
      <c r="N50" s="1903"/>
      <c r="P50" s="2132"/>
      <c r="Q50" s="2132"/>
      <c r="R50" s="2132"/>
      <c r="S50" s="2132"/>
      <c r="T50" s="2132"/>
      <c r="U50" s="2132"/>
      <c r="V50" s="2132"/>
      <c r="W50" s="2132"/>
      <c r="X50" s="2132"/>
      <c r="Y50" s="2132"/>
      <c r="Z50" s="2132"/>
      <c r="AA50" s="2132"/>
      <c r="AB50" s="2132"/>
      <c r="AC50" s="2132"/>
      <c r="AD50" s="2132"/>
      <c r="AE50" s="2132"/>
      <c r="AF50" s="2132"/>
      <c r="AG50" s="2132"/>
      <c r="AH50" s="2132"/>
      <c r="AI50" s="2132"/>
      <c r="AJ50" s="2132"/>
      <c r="AK50" s="435"/>
    </row>
    <row r="51" spans="1:37" ht="15.6" customHeight="1" x14ac:dyDescent="0.3">
      <c r="A51" s="29"/>
      <c r="B51" s="29"/>
      <c r="C51" s="29"/>
      <c r="D51" s="29"/>
      <c r="E51" s="29"/>
      <c r="F51" s="29"/>
      <c r="G51" s="29"/>
      <c r="H51" s="29"/>
      <c r="I51" s="29"/>
      <c r="J51" s="29"/>
      <c r="K51" s="29"/>
      <c r="L51" s="29"/>
      <c r="M51" s="29"/>
      <c r="N51" s="29"/>
      <c r="P51" s="435"/>
      <c r="Q51" s="435"/>
      <c r="R51" s="2095" t="str">
        <f>IF(D36&lt;&gt;"","*Self Employed with 20% or greater decline in business income, FHA loans require Manual Downgrade AND Further Analysis if using income.","")</f>
        <v/>
      </c>
      <c r="S51" s="2095"/>
      <c r="T51" s="2095"/>
      <c r="U51" s="2095"/>
      <c r="V51" s="435"/>
      <c r="W51" s="435"/>
      <c r="X51" s="435"/>
      <c r="Y51" s="435"/>
      <c r="Z51" s="435"/>
      <c r="AA51" s="435"/>
      <c r="AB51" s="435"/>
      <c r="AC51" s="435"/>
      <c r="AD51" s="435"/>
      <c r="AE51" s="435"/>
      <c r="AF51" s="435"/>
      <c r="AG51" s="435"/>
      <c r="AH51" s="435"/>
      <c r="AI51" s="435"/>
      <c r="AJ51" s="435"/>
      <c r="AK51" s="435"/>
    </row>
    <row r="52" spans="1:37" ht="15" customHeight="1" x14ac:dyDescent="0.3">
      <c r="A52" s="1903" t="s">
        <v>60</v>
      </c>
      <c r="B52" s="1903"/>
      <c r="C52" s="1903"/>
      <c r="D52" s="1903"/>
      <c r="E52" s="1903"/>
      <c r="F52" s="1903"/>
      <c r="G52" s="1903"/>
      <c r="H52" s="1903"/>
      <c r="I52" s="1903"/>
      <c r="J52" s="1903"/>
      <c r="K52" s="1903"/>
      <c r="L52" s="1903"/>
      <c r="M52" s="1903"/>
      <c r="N52" s="1903"/>
      <c r="O52" s="1903"/>
      <c r="P52" s="435"/>
      <c r="Q52" s="435"/>
      <c r="R52" s="2095"/>
      <c r="S52" s="2095"/>
      <c r="T52" s="2095"/>
      <c r="U52" s="2095"/>
      <c r="V52" s="435"/>
      <c r="W52" s="435"/>
      <c r="X52" s="435"/>
      <c r="Y52" s="435"/>
      <c r="Z52" s="435"/>
      <c r="AA52" s="435"/>
      <c r="AB52" s="435"/>
      <c r="AC52" s="435"/>
      <c r="AD52" s="435"/>
      <c r="AE52" s="435"/>
      <c r="AF52" s="435"/>
      <c r="AG52" s="435"/>
      <c r="AH52" s="435"/>
      <c r="AI52" s="435"/>
      <c r="AJ52" s="435"/>
      <c r="AK52" s="435"/>
    </row>
    <row r="53" spans="1:37" ht="15" customHeight="1" x14ac:dyDescent="0.3">
      <c r="A53" s="2077" t="s">
        <v>291</v>
      </c>
      <c r="B53" s="2077"/>
      <c r="C53" s="2077"/>
      <c r="D53" s="2077"/>
      <c r="E53" s="2077"/>
      <c r="F53" s="2077"/>
      <c r="G53" s="2077"/>
      <c r="H53" s="2077"/>
      <c r="I53" s="2077"/>
      <c r="J53" s="2077"/>
      <c r="K53" s="2077"/>
      <c r="L53" s="2077"/>
      <c r="M53" s="2077"/>
      <c r="N53" s="2077"/>
      <c r="O53" s="2077"/>
      <c r="P53" s="435"/>
      <c r="Q53" s="435"/>
      <c r="R53" s="2095"/>
      <c r="S53" s="2095"/>
      <c r="T53" s="2095"/>
      <c r="U53" s="2095"/>
      <c r="V53" s="435"/>
      <c r="W53" s="435"/>
      <c r="X53" s="435"/>
      <c r="Y53" s="435"/>
      <c r="Z53" s="435"/>
      <c r="AA53" s="435"/>
      <c r="AB53" s="435"/>
      <c r="AC53" s="435"/>
      <c r="AD53" s="435"/>
      <c r="AE53" s="435"/>
      <c r="AF53" s="435"/>
      <c r="AG53" s="435"/>
      <c r="AH53" s="435"/>
      <c r="AI53" s="435"/>
      <c r="AJ53" s="435"/>
      <c r="AK53" s="435"/>
    </row>
    <row r="54" spans="1:37" ht="15" customHeight="1" x14ac:dyDescent="0.3">
      <c r="A54" s="2077" t="s">
        <v>779</v>
      </c>
      <c r="B54" s="2077"/>
      <c r="C54" s="2077"/>
      <c r="D54" s="2077"/>
      <c r="E54" s="2077"/>
      <c r="F54" s="2077"/>
      <c r="G54" s="2077"/>
      <c r="H54" s="2077"/>
      <c r="I54" s="2077"/>
      <c r="J54" s="2077"/>
      <c r="K54" s="2077"/>
      <c r="L54" s="2077"/>
      <c r="M54" s="2077"/>
      <c r="N54" s="2077"/>
      <c r="O54" s="2077"/>
      <c r="AK54" s="397"/>
    </row>
    <row r="55" spans="1:37" ht="15" customHeight="1" x14ac:dyDescent="0.3">
      <c r="A55" s="2077" t="s">
        <v>780</v>
      </c>
      <c r="B55" s="2077"/>
      <c r="C55" s="2077"/>
      <c r="D55" s="2077"/>
      <c r="E55" s="2077"/>
      <c r="F55" s="2077"/>
      <c r="G55" s="2077"/>
      <c r="H55" s="2077"/>
      <c r="I55" s="2077"/>
      <c r="J55" s="2077"/>
      <c r="K55" s="2077"/>
      <c r="L55" s="2077"/>
      <c r="M55" s="2077"/>
      <c r="N55" s="2077"/>
      <c r="O55" s="2077"/>
      <c r="P55" s="1475"/>
      <c r="Q55" s="1475"/>
      <c r="R55" s="423"/>
      <c r="S55" s="423"/>
      <c r="T55" s="423"/>
      <c r="U55" s="423"/>
      <c r="V55" s="423"/>
      <c r="W55" s="423"/>
      <c r="X55" s="423"/>
      <c r="Y55" s="423"/>
      <c r="Z55" s="423"/>
      <c r="AA55" s="423"/>
      <c r="AB55" s="423"/>
      <c r="AC55" s="433"/>
      <c r="AD55" s="433"/>
      <c r="AE55" s="432"/>
      <c r="AF55" s="432"/>
      <c r="AG55" s="432"/>
      <c r="AH55" s="432"/>
      <c r="AI55" s="432"/>
      <c r="AJ55" s="432"/>
    </row>
    <row r="56" spans="1:37" ht="15" customHeight="1" x14ac:dyDescent="0.3">
      <c r="A56" s="32"/>
      <c r="B56" s="32"/>
      <c r="C56" s="32"/>
      <c r="D56" s="32"/>
      <c r="E56" s="32"/>
      <c r="F56" s="32"/>
      <c r="G56" s="32"/>
      <c r="H56" s="32"/>
      <c r="I56" s="32"/>
      <c r="J56" s="32"/>
      <c r="K56" s="32"/>
      <c r="L56" s="32"/>
      <c r="M56" s="32"/>
      <c r="N56" s="32"/>
      <c r="O56" s="32"/>
      <c r="P56" s="200"/>
      <c r="Q56" s="200"/>
      <c r="R56" s="423"/>
      <c r="S56" s="423"/>
      <c r="T56" s="423"/>
      <c r="U56" s="423"/>
      <c r="V56" s="423"/>
      <c r="W56" s="423"/>
      <c r="X56" s="423"/>
      <c r="Y56" s="423"/>
      <c r="Z56" s="423"/>
      <c r="AA56" s="423"/>
      <c r="AB56" s="423"/>
      <c r="AC56" s="433"/>
      <c r="AD56" s="433"/>
      <c r="AE56" s="432"/>
      <c r="AF56" s="432"/>
      <c r="AG56" s="432"/>
      <c r="AH56" s="432"/>
      <c r="AI56" s="432"/>
      <c r="AJ56" s="432"/>
    </row>
    <row r="57" spans="1:37" ht="15" customHeight="1" x14ac:dyDescent="0.3">
      <c r="A57" s="2077" t="s">
        <v>844</v>
      </c>
      <c r="B57" s="2077"/>
      <c r="C57" s="2077"/>
      <c r="D57" s="2077"/>
      <c r="E57" s="2077"/>
      <c r="F57" s="2077"/>
      <c r="G57" s="2077"/>
      <c r="H57" s="2077"/>
      <c r="I57" s="2077"/>
      <c r="J57" s="2077"/>
      <c r="K57" s="2077"/>
      <c r="L57" s="2077"/>
      <c r="M57" s="2077"/>
      <c r="N57" s="2077"/>
      <c r="O57" s="2077"/>
      <c r="P57" s="200"/>
      <c r="Q57" s="200"/>
      <c r="R57" s="423"/>
      <c r="S57" s="423"/>
      <c r="T57" s="423"/>
      <c r="U57" s="423"/>
      <c r="V57" s="423"/>
      <c r="W57" s="423"/>
      <c r="X57" s="423"/>
      <c r="Y57" s="423"/>
      <c r="Z57" s="423"/>
      <c r="AA57" s="423"/>
      <c r="AB57" s="423"/>
      <c r="AC57" s="433"/>
      <c r="AD57" s="433"/>
      <c r="AE57" s="432"/>
      <c r="AF57" s="432"/>
      <c r="AG57" s="432"/>
      <c r="AH57" s="432"/>
      <c r="AI57" s="432"/>
      <c r="AJ57" s="432"/>
    </row>
    <row r="58" spans="1:37" ht="15" customHeight="1" x14ac:dyDescent="0.3">
      <c r="A58" s="2077" t="s">
        <v>1020</v>
      </c>
      <c r="B58" s="2077"/>
      <c r="C58" s="2077"/>
      <c r="D58" s="2077"/>
      <c r="E58" s="2077"/>
      <c r="F58" s="2077"/>
      <c r="G58" s="2077"/>
      <c r="H58" s="2077"/>
      <c r="I58" s="2077"/>
      <c r="J58" s="2077"/>
      <c r="K58" s="2077"/>
      <c r="L58" s="2077"/>
      <c r="M58" s="2077"/>
      <c r="N58" s="2077"/>
      <c r="O58" s="2077"/>
      <c r="P58" s="1475" t="s">
        <v>1074</v>
      </c>
      <c r="Q58" s="1475"/>
      <c r="R58" s="1475"/>
      <c r="S58" s="1475"/>
      <c r="T58" s="1475"/>
      <c r="U58" s="423"/>
      <c r="V58" s="423"/>
      <c r="W58" s="423"/>
      <c r="X58" s="423"/>
      <c r="Y58" s="423"/>
      <c r="Z58" s="423"/>
      <c r="AA58" s="423"/>
      <c r="AB58" s="423"/>
      <c r="AC58" s="433"/>
      <c r="AD58" s="433"/>
      <c r="AE58" s="432"/>
      <c r="AF58" s="432"/>
      <c r="AG58" s="432"/>
      <c r="AH58" s="432"/>
      <c r="AI58" s="432"/>
      <c r="AJ58" s="432"/>
    </row>
    <row r="59" spans="1:37" ht="15" customHeight="1" x14ac:dyDescent="0.3">
      <c r="A59" s="32"/>
      <c r="B59" s="32"/>
      <c r="C59" s="32"/>
      <c r="D59" s="32"/>
      <c r="E59" s="32"/>
      <c r="F59" s="32"/>
      <c r="G59" s="32"/>
      <c r="H59" s="32"/>
      <c r="I59" s="32"/>
      <c r="J59" s="32"/>
      <c r="K59" s="32"/>
      <c r="L59" s="32"/>
      <c r="M59" s="32"/>
      <c r="N59" s="32"/>
      <c r="O59" s="32"/>
      <c r="P59" s="1325"/>
      <c r="Q59" s="1325"/>
      <c r="R59" s="1325"/>
      <c r="S59" s="1325"/>
      <c r="T59" s="1325"/>
      <c r="U59" s="1325"/>
      <c r="V59" s="1325"/>
      <c r="W59" s="1325"/>
      <c r="X59" s="1325"/>
      <c r="Y59" s="1325"/>
      <c r="Z59" s="1325"/>
      <c r="AA59" s="1325"/>
      <c r="AB59" s="1325"/>
      <c r="AC59" s="1325"/>
      <c r="AD59" s="1325"/>
      <c r="AE59" s="1325"/>
      <c r="AF59" s="1325"/>
      <c r="AG59" s="1325"/>
      <c r="AH59" s="1325"/>
      <c r="AI59" s="1325"/>
      <c r="AJ59" s="1325"/>
      <c r="AK59" s="431"/>
    </row>
    <row r="60" spans="1:37" x14ac:dyDescent="0.3">
      <c r="A60" s="1903" t="s">
        <v>845</v>
      </c>
      <c r="B60" s="1903"/>
      <c r="C60" s="1903"/>
      <c r="D60" s="1903"/>
      <c r="E60" s="1903"/>
      <c r="F60" s="1903"/>
      <c r="G60" s="1903"/>
      <c r="H60" s="1903"/>
      <c r="I60" s="1903"/>
      <c r="J60" s="1903"/>
      <c r="K60" s="1903"/>
      <c r="L60" s="1903"/>
      <c r="M60" s="1903"/>
      <c r="N60" s="1903"/>
      <c r="O60" s="1903"/>
      <c r="P60" s="1325"/>
      <c r="Q60" s="1325"/>
      <c r="R60" s="1325"/>
      <c r="S60" s="1325"/>
      <c r="T60" s="1325"/>
      <c r="U60" s="1325"/>
      <c r="V60" s="1325"/>
      <c r="W60" s="1325"/>
      <c r="X60" s="1325"/>
      <c r="Y60" s="1325"/>
      <c r="Z60" s="1325"/>
      <c r="AA60" s="1325"/>
      <c r="AB60" s="1325"/>
      <c r="AC60" s="1325"/>
      <c r="AD60" s="1325"/>
      <c r="AE60" s="1325"/>
      <c r="AF60" s="1325"/>
      <c r="AG60" s="1325"/>
      <c r="AH60" s="1325"/>
      <c r="AI60" s="1325"/>
      <c r="AJ60" s="1325"/>
      <c r="AK60" s="431"/>
    </row>
    <row r="61" spans="1:37" x14ac:dyDescent="0.3">
      <c r="A61" s="1903" t="s">
        <v>290</v>
      </c>
      <c r="B61" s="1903"/>
      <c r="C61" s="1903"/>
      <c r="D61" s="1903"/>
      <c r="E61" s="1903"/>
      <c r="F61" s="1903"/>
      <c r="G61" s="1903"/>
      <c r="H61" s="1903"/>
      <c r="I61" s="1903"/>
      <c r="J61" s="1903"/>
      <c r="K61" s="1903"/>
      <c r="L61" s="1903"/>
      <c r="M61" s="1903"/>
      <c r="N61" s="1903"/>
      <c r="O61" s="1903"/>
      <c r="P61" s="1325"/>
      <c r="Q61" s="1325"/>
      <c r="R61" s="1325"/>
      <c r="S61" s="1325"/>
      <c r="T61" s="1325"/>
      <c r="U61" s="1325"/>
      <c r="V61" s="1325"/>
      <c r="W61" s="1325"/>
      <c r="X61" s="1325"/>
      <c r="Y61" s="1325"/>
      <c r="Z61" s="1325"/>
      <c r="AA61" s="1325"/>
      <c r="AB61" s="1325"/>
      <c r="AC61" s="1325"/>
      <c r="AD61" s="1325"/>
      <c r="AE61" s="1325"/>
      <c r="AF61" s="1325"/>
      <c r="AG61" s="1325"/>
      <c r="AH61" s="1325"/>
      <c r="AI61" s="1325"/>
      <c r="AJ61" s="1325"/>
      <c r="AK61" s="431"/>
    </row>
    <row r="62" spans="1:37" x14ac:dyDescent="0.3">
      <c r="A62" s="1903" t="s">
        <v>264</v>
      </c>
      <c r="B62" s="1903"/>
      <c r="C62" s="1903"/>
      <c r="D62" s="1903"/>
      <c r="E62" s="1903"/>
      <c r="F62" s="1903"/>
      <c r="G62" s="1903"/>
      <c r="H62" s="1903"/>
      <c r="I62" s="1903"/>
      <c r="J62" s="1903"/>
      <c r="K62" s="1903"/>
      <c r="L62" s="1903"/>
      <c r="M62" s="1903"/>
      <c r="N62" s="1903"/>
      <c r="O62" s="1903" t="b">
        <v>0</v>
      </c>
      <c r="P62" s="1325"/>
      <c r="Q62" s="1325"/>
      <c r="R62" s="1325"/>
      <c r="S62" s="1325"/>
      <c r="T62" s="1325"/>
      <c r="U62" s="1325"/>
      <c r="V62" s="1325"/>
      <c r="W62" s="1325"/>
      <c r="X62" s="1325"/>
      <c r="Y62" s="1325"/>
      <c r="Z62" s="1325"/>
      <c r="AA62" s="1325"/>
      <c r="AB62" s="1325"/>
      <c r="AC62" s="1325"/>
      <c r="AD62" s="1325"/>
      <c r="AE62" s="1325"/>
      <c r="AF62" s="1325"/>
      <c r="AG62" s="1325"/>
      <c r="AH62" s="1325"/>
      <c r="AI62" s="1325"/>
      <c r="AJ62" s="1325"/>
      <c r="AK62" s="431"/>
    </row>
    <row r="63" spans="1:37" hidden="1" x14ac:dyDescent="0.3">
      <c r="A63" s="29"/>
      <c r="B63" s="29"/>
      <c r="C63" s="29"/>
      <c r="D63" s="29" t="s">
        <v>28</v>
      </c>
      <c r="E63" s="29"/>
      <c r="F63" s="29"/>
      <c r="G63" s="29"/>
      <c r="H63" s="29"/>
      <c r="I63" s="29"/>
      <c r="J63" s="29"/>
      <c r="K63" s="29"/>
      <c r="L63" s="1193" t="b">
        <v>0</v>
      </c>
      <c r="M63" s="1168" t="b">
        <v>0</v>
      </c>
      <c r="N63" s="29"/>
      <c r="O63" s="1161" t="b">
        <f>IF(AND(M63=TRUE,OR(N1="Conventional",N1="Other")),TRUE,FALSE)</f>
        <v>0</v>
      </c>
      <c r="P63" s="47"/>
    </row>
    <row r="64" spans="1:37" hidden="1" x14ac:dyDescent="0.3">
      <c r="M64" s="1164" t="b">
        <v>0</v>
      </c>
      <c r="N64" s="1046" t="b">
        <v>0</v>
      </c>
      <c r="O64" s="1165" t="b">
        <f>IF(AND(M64=TRUE,OR(N1="Conventional",N1="Other"),N2="Yes, 1 yr returns confirmed"),TRUE,FALSE)</f>
        <v>0</v>
      </c>
    </row>
    <row r="65" spans="1:37" hidden="1" x14ac:dyDescent="0.3">
      <c r="N65" s="1046" t="b">
        <v>0</v>
      </c>
    </row>
    <row r="66" spans="1:37" ht="15" customHeight="1" x14ac:dyDescent="0.3">
      <c r="A66" s="1482" t="str">
        <f ca="1">REPLACE(CELL("filename",A66),1,FIND("]",CELL("filename",A66)),"")</f>
        <v>Sch F</v>
      </c>
      <c r="B66" s="1482"/>
      <c r="C66" s="1482"/>
      <c r="D66" s="1482"/>
      <c r="P66" s="19"/>
      <c r="Q66" s="19"/>
      <c r="R66" s="19"/>
      <c r="S66" s="19"/>
      <c r="T66" s="19"/>
      <c r="U66" s="19"/>
      <c r="V66" s="19"/>
      <c r="W66" s="19"/>
      <c r="X66" s="19"/>
      <c r="Y66" s="19"/>
      <c r="Z66" s="19"/>
      <c r="AA66" s="19"/>
      <c r="AB66" s="19"/>
      <c r="AK66" s="19"/>
    </row>
    <row r="69" spans="1:37" x14ac:dyDescent="0.3">
      <c r="M69" s="1419" t="str">
        <f>Version</f>
        <v>Version 2026.1</v>
      </c>
      <c r="N69" s="1419"/>
      <c r="O69" s="1419"/>
      <c r="AB69" s="1419" t="str">
        <f>Version</f>
        <v>Version 2026.1</v>
      </c>
      <c r="AC69" s="1419"/>
      <c r="AD69" s="1419"/>
      <c r="AE69" s="1419"/>
      <c r="AF69" s="1419"/>
      <c r="AG69" s="1419"/>
      <c r="AH69" s="1419"/>
      <c r="AI69" s="1419"/>
    </row>
    <row r="70" spans="1:37" ht="94.8" customHeight="1" x14ac:dyDescent="0.3"/>
  </sheetData>
  <sheetProtection algorithmName="SHA-512" hashValue="ZEYMBcaTHyAM7hl07IK1sZIKKnpPhriHlV9QB6BYA0phfHDaAAhONyhxQWIIPuvYudwNlx0sAUc+m11w9/j0GA==" saltValue="MlNYdgQHANbzHNNx7REoUg==" spinCount="100000" sheet="1" objects="1" scenarios="1" selectLockedCells="1"/>
  <mergeCells count="142">
    <mergeCell ref="Q1:S1"/>
    <mergeCell ref="Z16:AD16"/>
    <mergeCell ref="AF16:AJ16"/>
    <mergeCell ref="Z17:AD17"/>
    <mergeCell ref="AF17:AJ17"/>
    <mergeCell ref="Z18:AD18"/>
    <mergeCell ref="AF18:AJ18"/>
    <mergeCell ref="B16:G16"/>
    <mergeCell ref="M16:N16"/>
    <mergeCell ref="B13:H13"/>
    <mergeCell ref="B14:H14"/>
    <mergeCell ref="Q13:U14"/>
    <mergeCell ref="AA13:AC13"/>
    <mergeCell ref="AG13:AI13"/>
    <mergeCell ref="P15:S15"/>
    <mergeCell ref="Z15:AD15"/>
    <mergeCell ref="AF15:AJ15"/>
    <mergeCell ref="A10:I11"/>
    <mergeCell ref="P2:AK3"/>
    <mergeCell ref="P6:R6"/>
    <mergeCell ref="S6:W6"/>
    <mergeCell ref="AA12:AC12"/>
    <mergeCell ref="AI10:AJ11"/>
    <mergeCell ref="Z10:AA11"/>
    <mergeCell ref="M69:O69"/>
    <mergeCell ref="A41:O46"/>
    <mergeCell ref="P59:AJ62"/>
    <mergeCell ref="P58:T58"/>
    <mergeCell ref="A40:E40"/>
    <mergeCell ref="B30:C30"/>
    <mergeCell ref="H26:K32"/>
    <mergeCell ref="B12:G12"/>
    <mergeCell ref="J12:K12"/>
    <mergeCell ref="M12:N12"/>
    <mergeCell ref="J16:K16"/>
    <mergeCell ref="J13:K14"/>
    <mergeCell ref="M13:N14"/>
    <mergeCell ref="J15:K15"/>
    <mergeCell ref="M19:N19"/>
    <mergeCell ref="C19:G19"/>
    <mergeCell ref="J19:K19"/>
    <mergeCell ref="J18:K18"/>
    <mergeCell ref="A48:D48"/>
    <mergeCell ref="B24:G24"/>
    <mergeCell ref="L24:M24"/>
    <mergeCell ref="B25:E25"/>
    <mergeCell ref="L25:M25"/>
    <mergeCell ref="D22:I22"/>
    <mergeCell ref="A66:D66"/>
    <mergeCell ref="M17:N17"/>
    <mergeCell ref="B18:G18"/>
    <mergeCell ref="A60:O60"/>
    <mergeCell ref="B17:I17"/>
    <mergeCell ref="L31:M31"/>
    <mergeCell ref="B20:G20"/>
    <mergeCell ref="J20:K20"/>
    <mergeCell ref="M20:N20"/>
    <mergeCell ref="M18:N18"/>
    <mergeCell ref="C34:M34"/>
    <mergeCell ref="J17:K17"/>
    <mergeCell ref="A61:O61"/>
    <mergeCell ref="A62:O62"/>
    <mergeCell ref="A55:O55"/>
    <mergeCell ref="A49:N49"/>
    <mergeCell ref="A50:N50"/>
    <mergeCell ref="A52:O52"/>
    <mergeCell ref="A54:O54"/>
    <mergeCell ref="A57:O57"/>
    <mergeCell ref="A58:O58"/>
    <mergeCell ref="J21:K21"/>
    <mergeCell ref="A53:O53"/>
    <mergeCell ref="M21:N21"/>
    <mergeCell ref="D36:G39"/>
    <mergeCell ref="K36:N38"/>
    <mergeCell ref="K22:M22"/>
    <mergeCell ref="B31:F31"/>
    <mergeCell ref="B27:G27"/>
    <mergeCell ref="B28:C28"/>
    <mergeCell ref="B29:C29"/>
    <mergeCell ref="A33:B36"/>
    <mergeCell ref="K4:N4"/>
    <mergeCell ref="B15:H15"/>
    <mergeCell ref="D8:H8"/>
    <mergeCell ref="A6:C6"/>
    <mergeCell ref="A8:C8"/>
    <mergeCell ref="J10:K11"/>
    <mergeCell ref="M10:N11"/>
    <mergeCell ref="J5:O7"/>
    <mergeCell ref="J8:O9"/>
    <mergeCell ref="G21:I21"/>
    <mergeCell ref="F3:J4"/>
    <mergeCell ref="N2:N3"/>
    <mergeCell ref="K2:M2"/>
    <mergeCell ref="F2:J2"/>
    <mergeCell ref="D6:H6"/>
    <mergeCell ref="M15:N15"/>
    <mergeCell ref="AC10:AD11"/>
    <mergeCell ref="AF10:AG11"/>
    <mergeCell ref="AG12:AI12"/>
    <mergeCell ref="AF9:AH9"/>
    <mergeCell ref="Z9:AB9"/>
    <mergeCell ref="R10:R12"/>
    <mergeCell ref="S12:V12"/>
    <mergeCell ref="S10:U11"/>
    <mergeCell ref="V10:X11"/>
    <mergeCell ref="AB69:AI69"/>
    <mergeCell ref="R51:U53"/>
    <mergeCell ref="P55:Q55"/>
    <mergeCell ref="AF28:AJ29"/>
    <mergeCell ref="V34:W34"/>
    <mergeCell ref="Z19:AD19"/>
    <mergeCell ref="AF19:AJ19"/>
    <mergeCell ref="R20:V20"/>
    <mergeCell ref="Z20:AD20"/>
    <mergeCell ref="AF20:AJ20"/>
    <mergeCell ref="Y34:AC34"/>
    <mergeCell ref="AD34:AI34"/>
    <mergeCell ref="P45:AJ50"/>
    <mergeCell ref="P42:T43"/>
    <mergeCell ref="U42:AJ43"/>
    <mergeCell ref="Y35:AC35"/>
    <mergeCell ref="AD35:AI35"/>
    <mergeCell ref="P41:T41"/>
    <mergeCell ref="U41:AJ41"/>
    <mergeCell ref="P21:P22"/>
    <mergeCell ref="Q21:V22"/>
    <mergeCell ref="Z21:AD22"/>
    <mergeCell ref="AF21:AJ22"/>
    <mergeCell ref="R19:V19"/>
    <mergeCell ref="AK39:AK40"/>
    <mergeCell ref="P44:AJ44"/>
    <mergeCell ref="P39:T40"/>
    <mergeCell ref="U39:AJ40"/>
    <mergeCell ref="Z23:AD27"/>
    <mergeCell ref="AF23:AJ27"/>
    <mergeCell ref="P35:R35"/>
    <mergeCell ref="V35:W35"/>
    <mergeCell ref="P37:T38"/>
    <mergeCell ref="U37:AJ38"/>
    <mergeCell ref="P28:P29"/>
    <mergeCell ref="Q28:W29"/>
    <mergeCell ref="Z28:AD29"/>
  </mergeCells>
  <conditionalFormatting sqref="J15:K15">
    <cfRule type="expression" dxfId="351" priority="97">
      <formula>$J$15&lt;&gt;0</formula>
    </cfRule>
  </conditionalFormatting>
  <conditionalFormatting sqref="M15:N15">
    <cfRule type="expression" dxfId="350" priority="96">
      <formula>$M$15&lt;&gt;0</formula>
    </cfRule>
  </conditionalFormatting>
  <conditionalFormatting sqref="J17:K17">
    <cfRule type="expression" dxfId="349" priority="93">
      <formula>$J$17&lt;&gt;0</formula>
    </cfRule>
  </conditionalFormatting>
  <conditionalFormatting sqref="M17:N17">
    <cfRule type="expression" dxfId="348" priority="92">
      <formula>$M$17&gt;0</formula>
    </cfRule>
  </conditionalFormatting>
  <conditionalFormatting sqref="L17">
    <cfRule type="expression" dxfId="347" priority="91">
      <formula>$J$17&lt;&gt;0</formula>
    </cfRule>
  </conditionalFormatting>
  <conditionalFormatting sqref="O17">
    <cfRule type="expression" dxfId="346" priority="90">
      <formula>$M$17&lt;&gt;0</formula>
    </cfRule>
  </conditionalFormatting>
  <conditionalFormatting sqref="A60:O62">
    <cfRule type="expression" dxfId="345" priority="86">
      <formula>OR($J$17&lt;&gt;0,$M$17&lt;&gt;0)</formula>
    </cfRule>
  </conditionalFormatting>
  <conditionalFormatting sqref="A52:O56">
    <cfRule type="expression" dxfId="344" priority="85">
      <formula>OR($J$15&lt;&gt;0,$M$15&lt;&gt;0)</formula>
    </cfRule>
  </conditionalFormatting>
  <conditionalFormatting sqref="L31:M31">
    <cfRule type="expression" dxfId="343" priority="80">
      <formula>$N$64=TRUE</formula>
    </cfRule>
  </conditionalFormatting>
  <conditionalFormatting sqref="B29:C29">
    <cfRule type="expression" dxfId="342" priority="77">
      <formula>AND($B$29="",$D$29&lt;&gt;"")</formula>
    </cfRule>
  </conditionalFormatting>
  <conditionalFormatting sqref="D29">
    <cfRule type="expression" dxfId="341" priority="76">
      <formula>AND($D$29="",$B$29&lt;&gt;"")</formula>
    </cfRule>
  </conditionalFormatting>
  <conditionalFormatting sqref="E29">
    <cfRule type="expression" dxfId="340" priority="75">
      <formula>AND($E$29="",$F$29&lt;&gt;"")</formula>
    </cfRule>
  </conditionalFormatting>
  <conditionalFormatting sqref="F29">
    <cfRule type="expression" dxfId="339" priority="74">
      <formula>AND($F$29="",$E$29&lt;&gt;"")</formula>
    </cfRule>
  </conditionalFormatting>
  <conditionalFormatting sqref="G21:I21">
    <cfRule type="expression" dxfId="338" priority="73">
      <formula>OR($G$29="",$G$29=12,$G$29=24)</formula>
    </cfRule>
  </conditionalFormatting>
  <conditionalFormatting sqref="J21:K21">
    <cfRule type="expression" dxfId="337" priority="72">
      <formula>AND($F$30&lt;12,$F$30&lt;&gt;"")</formula>
    </cfRule>
  </conditionalFormatting>
  <conditionalFormatting sqref="M21:N21">
    <cfRule type="expression" dxfId="336" priority="71">
      <formula>AND($D$30&lt;12,$D$30&lt;&gt;"")</formula>
    </cfRule>
  </conditionalFormatting>
  <conditionalFormatting sqref="K22">
    <cfRule type="expression" dxfId="335" priority="67">
      <formula>$M$21=0</formula>
    </cfRule>
    <cfRule type="expression" dxfId="334" priority="68">
      <formula>AND($J$21&lt;&gt;0,$M$21&lt;&gt;0,$J$21&lt;$M$21)</formula>
    </cfRule>
    <cfRule type="expression" dxfId="333" priority="69">
      <formula>AND(OR($F$25=12,$F$25=24,$F$25=0),$J$21&lt;&gt;0,$M$21&lt;&gt;0,$J$21&lt;$M$21)</formula>
    </cfRule>
  </conditionalFormatting>
  <conditionalFormatting sqref="K22:M22">
    <cfRule type="expression" dxfId="332" priority="70">
      <formula>OR(AND($J$21&lt;&gt;0,$M$21&lt;&gt;0,$J$21&lt;$M$21,$N$65=FALSE,$F$25&gt;0), AND($J$21&lt;&gt;0,$M$21&lt;&gt;0,$J$21&lt;$M$21,$N$65=TRUE,$F$25&gt;12))</formula>
    </cfRule>
  </conditionalFormatting>
  <conditionalFormatting sqref="C22">
    <cfRule type="expression" dxfId="331" priority="25" stopIfTrue="1">
      <formula>$O$64=TRUE</formula>
    </cfRule>
    <cfRule type="expression" dxfId="330" priority="26">
      <formula>$O$63=TRUE</formula>
    </cfRule>
    <cfRule type="expression" dxfId="329" priority="64">
      <formula>AND($J$21&lt;&gt;0,$M$21&lt;&gt;0,$J$21=$M$21,$F$25=$G$29,$F$25&lt;&gt;"",$F$25&lt;&gt;12,$N$65=TRUE)</formula>
    </cfRule>
    <cfRule type="expression" dxfId="328" priority="65">
      <formula>OR(AND($J$21&lt;&gt;0,$M$21&lt;&gt;0,$J$21&gt;$M$21,$N$65=TRUE),AND($J$21&lt;&gt;0,$M$21&lt;&gt;$J$21&lt;$M$21,$F$25&lt;&gt;"",$N$65=FALSE),AND($J$21&lt;&gt;0,$M$21&lt;&gt;0,$J$21=$M$21,$F$25=12,$F$25&lt;&gt;"",$N$65=FALSE),AND($J$21&lt;&gt;0,$M$21&lt;&gt;0,$J$21&lt;$M$21,$F$25&lt;&gt;"",$N$65&lt;&gt;TRUE))</formula>
    </cfRule>
    <cfRule type="expression" dxfId="327" priority="66">
      <formula>AND($J$21&lt;&gt;0,$M$21&lt;&gt;0,$J$21&lt;$M$21)</formula>
    </cfRule>
  </conditionalFormatting>
  <conditionalFormatting sqref="F25">
    <cfRule type="expression" dxfId="326" priority="24">
      <formula>AND($O$64=TRUE,$F$25&gt;12)</formula>
    </cfRule>
    <cfRule type="expression" dxfId="325" priority="63">
      <formula>OR(AND($J$21&lt;&gt;0,$M$21&lt;&gt;0,$J$21&lt;$M$21,$F$25&gt;12),AND($J$21&lt;&gt;0,$M$21&lt;&gt;0,$J$21&gt;$M$21,$F$25&lt;&gt;$G$29,$F$25&lt;&gt;""),AND($J$21&lt;&gt;0,$M$21&lt;&gt;0,$M$21=$J$21,$F$25&gt;12,$F$25&lt;&gt;"",$N$65=TRUE),AND($J$21&lt;&gt;0,$M$21&lt;&gt;0,$M$21=$J$21,$F$25&lt;&gt;$G$29,$F$25&lt;&gt;"",$N$65=FALSE))</formula>
    </cfRule>
  </conditionalFormatting>
  <conditionalFormatting sqref="C34:M34">
    <cfRule type="expression" dxfId="324" priority="62">
      <formula>OR(AND($J$21&lt;&gt;0,$M$21&lt;&gt;0,$J$21&lt;$M$21,$N$65=FALSE,$F$25&gt;0), AND($J$21&lt;&gt;0,$M$21&lt;&gt;0,$J$21&lt;$M$21,$N$65=TRUE,$F$25&gt;12),AND($J$21&lt;&gt;0,$M$21&lt;&gt;0,$J$21&lt;$M$21,$F$25&gt;12),AND($J$21&lt;&gt;0,$M$21&lt;&gt;0,$J$21&gt;$M$21,$F$25&lt;&gt;$G$29,$F$25&lt;&gt;""),AND($J$21&lt;&gt;0,$M$21&lt;&gt;0,$M$21=$J$21,$F$25&gt;12,$F$25&lt;&gt;"",$N$65=TRUE),AND($J$21&lt;&gt;0,$M$21&lt;&gt;0,$M$21=$J$21,$F$25&lt;&gt;$G$29,$F$25&lt;&gt;"",$N$65=FALSE),AND($J$21&lt;&gt;0,$M$21&lt;&gt;0,$J$21&gt;$M$21,$N$65=TRUE),AND($J$21&lt;&gt;0,$M$21&lt;&gt;$J$21&lt;$M$21,$F$25&lt;&gt;"",$N$65=FALSE),AND($J$21&lt;&gt;0,$M$21&lt;&gt;0,$J$21=$M$21,$F$25=12,$F$25&lt;&gt;"",$N$65=FALSE),AND($J$21&lt;&gt;0,$M$21&lt;&gt;0,$J$21=$M$21,$F$25=$G$29,$F$25&lt;&gt;"",$F$25&lt;&gt;12,$N$65=TRUE),AND($J$21&lt;&gt;0,$M$21&lt;&gt;0,$J$21&lt;$M$21,$F$25&lt;&gt;"",$N$65&lt;&gt;TRUE))</formula>
    </cfRule>
  </conditionalFormatting>
  <conditionalFormatting sqref="K36:N38">
    <cfRule type="expression" dxfId="323" priority="60">
      <formula>AND(A66&lt;&gt;"Sch F",A66&lt;&gt;"Sch F (2)")</formula>
    </cfRule>
  </conditionalFormatting>
  <conditionalFormatting sqref="AK30">
    <cfRule type="expression" dxfId="322" priority="57">
      <formula>$M$30&lt;&gt;0</formula>
    </cfRule>
  </conditionalFormatting>
  <conditionalFormatting sqref="U37">
    <cfRule type="expression" dxfId="321" priority="53">
      <formula>AND($M$21&lt;&gt;0,$J$21&lt;$M$21)</formula>
    </cfRule>
    <cfRule type="expression" dxfId="320" priority="53">
      <formula>$M$21=0</formula>
    </cfRule>
  </conditionalFormatting>
  <conditionalFormatting sqref="Z23">
    <cfRule type="expression" dxfId="319" priority="52">
      <formula>$Z$23="Error, Correct Dates"</formula>
    </cfRule>
  </conditionalFormatting>
  <conditionalFormatting sqref="AF23">
    <cfRule type="expression" dxfId="318" priority="51">
      <formula>OR($AF$23="Error, Correct Dates",$AF$23="Error, Move Most Recent Filed Returns To Left Column on the 1065 Worksheet")</formula>
    </cfRule>
  </conditionalFormatting>
  <conditionalFormatting sqref="AA13:AC13">
    <cfRule type="expression" dxfId="317" priority="32">
      <formula>AND($AC$10&lt;&gt;"",$AC$10&lt;$Z$10)</formula>
    </cfRule>
    <cfRule type="expression" dxfId="316" priority="796">
      <formula>AND($AB$14&gt;12,$AC$10&lt;&gt;"")</formula>
    </cfRule>
  </conditionalFormatting>
  <conditionalFormatting sqref="AG13:AI13">
    <cfRule type="expression" dxfId="315" priority="797">
      <formula>AND($AH$14&gt;12,$AI$10&lt;&gt;"")</formula>
    </cfRule>
  </conditionalFormatting>
  <conditionalFormatting sqref="AK54">
    <cfRule type="expression" dxfId="314" priority="803">
      <formula>AND($AF$28&lt;&gt;0,$AF$28&lt;$J$42)</formula>
    </cfRule>
  </conditionalFormatting>
  <conditionalFormatting sqref="U39">
    <cfRule type="expression" dxfId="313" priority="806">
      <formula>OR(AND($AF$28=0,$Z$28&lt;$J$21),AND($AF$28&lt;&gt;0,$AF$28&lt;$J$21))</formula>
    </cfRule>
  </conditionalFormatting>
  <conditionalFormatting sqref="U41">
    <cfRule type="expression" dxfId="312" priority="807">
      <formula>AND($AF$28&lt;&gt;0,$Z$28&lt;$AF$28)</formula>
    </cfRule>
  </conditionalFormatting>
  <conditionalFormatting sqref="Q13:U14">
    <cfRule type="expression" dxfId="311" priority="41">
      <formula>OR($Q$13="Most recent Filed returns must be entered in the left column on the 1065 Worksheet and year updated at top.",$Q$13="Error, Tax Years and P&amp;L years are not entered correctly; see the Instructions tab under P&amp;L's")</formula>
    </cfRule>
  </conditionalFormatting>
  <conditionalFormatting sqref="A57:O58">
    <cfRule type="expression" dxfId="310" priority="39">
      <formula>$M$13&lt;&gt;0</formula>
    </cfRule>
    <cfRule type="expression" dxfId="309" priority="40">
      <formula>$J$13&lt;&gt;0</formula>
    </cfRule>
  </conditionalFormatting>
  <conditionalFormatting sqref="A33:B36">
    <cfRule type="expression" dxfId="308" priority="37">
      <formula>AND(OR($F$25=12,$F$25=24,$F$25=0),$J$21&lt;&gt;0,$M$21&lt;&gt;0,$J$21&lt;$M$21)</formula>
    </cfRule>
    <cfRule type="expression" dxfId="307" priority="38">
      <formula>AND($J$21&lt;&gt;0,$M$21&lt;&gt;0,$J$21&lt;$M$21)</formula>
    </cfRule>
  </conditionalFormatting>
  <conditionalFormatting sqref="J5:O9">
    <cfRule type="expression" dxfId="306" priority="36">
      <formula>$O$63=TRUE</formula>
    </cfRule>
  </conditionalFormatting>
  <conditionalFormatting sqref="J13:K19 C19:G19 M13:N19">
    <cfRule type="expression" dxfId="305" priority="35">
      <formula>$O$63=TRUE</formula>
    </cfRule>
  </conditionalFormatting>
  <conditionalFormatting sqref="J12:K12 M12:N12 F25 B29:F29 A33:B36 J8:O9">
    <cfRule type="expression" dxfId="304" priority="34">
      <formula>$O$63=TRUE</formula>
    </cfRule>
  </conditionalFormatting>
  <conditionalFormatting sqref="A12:H12 A13:N19">
    <cfRule type="expression" dxfId="303" priority="33">
      <formula>$O$63=TRUE</formula>
    </cfRule>
  </conditionalFormatting>
  <conditionalFormatting sqref="Z10:AA11 Z9">
    <cfRule type="expression" dxfId="302" priority="31">
      <formula>$Z$9&lt;&gt;$W$12</formula>
    </cfRule>
  </conditionalFormatting>
  <conditionalFormatting sqref="Z15:AD15">
    <cfRule type="expression" dxfId="301" priority="30">
      <formula>$Z$15&lt;&gt;""</formula>
    </cfRule>
  </conditionalFormatting>
  <conditionalFormatting sqref="M12:N19 B29:D29">
    <cfRule type="expression" dxfId="300" priority="29" stopIfTrue="1">
      <formula>$O$64=TRUE</formula>
    </cfRule>
  </conditionalFormatting>
  <conditionalFormatting sqref="M10:N11">
    <cfRule type="expression" dxfId="299" priority="28">
      <formula>$O$64=TRUE</formula>
    </cfRule>
  </conditionalFormatting>
  <conditionalFormatting sqref="O15">
    <cfRule type="expression" dxfId="298" priority="23">
      <formula>$O$63=TRUE</formula>
    </cfRule>
  </conditionalFormatting>
  <conditionalFormatting sqref="AD35:AI35">
    <cfRule type="expression" dxfId="297" priority="22">
      <formula>$AD$34=""</formula>
    </cfRule>
  </conditionalFormatting>
  <conditionalFormatting sqref="R51:U53">
    <cfRule type="expression" dxfId="296" priority="21">
      <formula>$R$51&lt;&gt;""</formula>
    </cfRule>
  </conditionalFormatting>
  <conditionalFormatting sqref="D36:G39">
    <cfRule type="expression" dxfId="295" priority="20">
      <formula>$D$36&lt;&gt;""</formula>
    </cfRule>
  </conditionalFormatting>
  <conditionalFormatting sqref="U39:AJ40">
    <cfRule type="expression" dxfId="294" priority="15">
      <formula>$U$39="No Change"</formula>
    </cfRule>
    <cfRule type="expression" dxfId="293" priority="16">
      <formula>AND(N1="FHA",Y35&lt;&gt;0,Z28&lt;&gt;0,Z28&lt;Y35)</formula>
    </cfRule>
    <cfRule type="expression" dxfId="292" priority="19">
      <formula>AND(N1="FHA",Y35&lt;&gt;0,Z28&lt;&gt;0,Z28&gt;Y35)</formula>
    </cfRule>
  </conditionalFormatting>
  <conditionalFormatting sqref="U41:AJ41">
    <cfRule type="expression" dxfId="291" priority="13">
      <formula>$U$41="No Change"</formula>
    </cfRule>
    <cfRule type="expression" dxfId="290" priority="14">
      <formula>AND(N1="FHA",Y35&lt;&gt;0,AF28&lt;&gt;0,AF28&lt;Y35)</formula>
    </cfRule>
    <cfRule type="expression" dxfId="289" priority="18">
      <formula>AND(N1="FHA",Y35&lt;&gt;0,AF28&lt;&gt;0,AF28&gt;Y35)</formula>
    </cfRule>
  </conditionalFormatting>
  <conditionalFormatting sqref="U42:AJ43">
    <cfRule type="expression" dxfId="288" priority="11">
      <formula>$U$42="No Change"</formula>
    </cfRule>
    <cfRule type="expression" dxfId="287" priority="12">
      <formula>AND(N1="FHA",Y35&lt;&gt;0,Z28&lt;&gt;0,AF28&lt;&gt;0,Z28&lt;AD35)</formula>
    </cfRule>
    <cfRule type="expression" dxfId="286" priority="17">
      <formula>AND(N1="FHA",Y35&lt;&gt;0,Z28&lt;&gt;0,AF28&lt;&gt;0,Z28&gt;AD35)</formula>
    </cfRule>
  </conditionalFormatting>
  <conditionalFormatting sqref="V35:W35">
    <cfRule type="expression" dxfId="285" priority="10">
      <formula>$V$34=""</formula>
    </cfRule>
  </conditionalFormatting>
  <conditionalFormatting sqref="N2:N3">
    <cfRule type="expression" dxfId="284" priority="9">
      <formula>$M$64=TRUE</formula>
    </cfRule>
  </conditionalFormatting>
  <conditionalFormatting sqref="K4:N4">
    <cfRule type="expression" dxfId="283" priority="8">
      <formula>AND($N$1&lt;&gt;"Conventional",$N$1&lt;&gt;"Other")</formula>
    </cfRule>
  </conditionalFormatting>
  <conditionalFormatting sqref="K2:M2">
    <cfRule type="expression" dxfId="282" priority="6">
      <formula>AND($M$64=TRUE,$N$2&lt;&gt;"")</formula>
    </cfRule>
    <cfRule type="expression" dxfId="281" priority="7">
      <formula>AND($M$64=TRUE,$N$2="")</formula>
    </cfRule>
  </conditionalFormatting>
  <conditionalFormatting sqref="K3">
    <cfRule type="expression" dxfId="280" priority="3">
      <formula>AND($M$64=TRUE,$N$2&lt;&gt;"")</formula>
    </cfRule>
    <cfRule type="expression" dxfId="279" priority="5">
      <formula>AND($M$64=TRUE,$N$2="")</formula>
    </cfRule>
  </conditionalFormatting>
  <conditionalFormatting sqref="L3:M3">
    <cfRule type="expression" dxfId="278" priority="2">
      <formula>AND($M$64=TRUE,$N$2&lt;&gt;"")</formula>
    </cfRule>
    <cfRule type="expression" dxfId="277" priority="4">
      <formula>AND($M$64=TRUE,$N$2="")</formula>
    </cfRule>
  </conditionalFormatting>
  <conditionalFormatting sqref="K2:N3">
    <cfRule type="expression" dxfId="276" priority="1">
      <formula>AND($N$1&lt;&gt;"Conventional",$N$1&lt;&gt;"Other")</formula>
    </cfRule>
  </conditionalFormatting>
  <dataValidations disablePrompts="1" count="2">
    <dataValidation type="decimal" operator="greaterThanOrEqual" allowBlank="1" showInputMessage="1" showErrorMessage="1" errorTitle="Invalid Entry" error="A negative figure cannot be entered in this field.  The worksheet subtracts any amount entered in this field as it is for nonrecurring income that should be backed out of the cash flow. Please see worksheet instruction **" sqref="J15:K15 M15:N15" xr:uid="{00000000-0002-0000-1400-000000000000}">
      <formula1>0</formula1>
    </dataValidation>
    <dataValidation type="list" allowBlank="1" showInputMessage="1" showErrorMessage="1" sqref="N2:N3" xr:uid="{2005748E-2993-4D3D-AEBE-0367BAE213E0}">
      <formula1>$AL$1:$AL$3</formula1>
    </dataValidation>
  </dataValidations>
  <hyperlinks>
    <hyperlink ref="L3" r:id="rId1" location="P2131" xr:uid="{6E7D22A5-2A1B-4253-BD11-768F5CD9772F}"/>
    <hyperlink ref="M3" r:id="rId2" location="N" xr:uid="{53A16D3F-5933-40DF-8B5D-B5D4E039EE3D}"/>
  </hyperlinks>
  <printOptions horizontalCentered="1"/>
  <pageMargins left="0.25" right="0.25" top="0.25" bottom="0.25" header="0.3" footer="0.3"/>
  <pageSetup paperSize="5" scale="97" fitToWidth="0" fitToHeight="0"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6145" r:id="rId6" name="Check Box 1">
              <controlPr defaultSize="0" autoFill="0" autoLine="0" autoPict="0">
                <anchor moveWithCells="1">
                  <from>
                    <xdr:col>2</xdr:col>
                    <xdr:colOff>45720</xdr:colOff>
                    <xdr:row>20</xdr:row>
                    <xdr:rowOff>53340</xdr:rowOff>
                  </from>
                  <to>
                    <xdr:col>7</xdr:col>
                    <xdr:colOff>76200</xdr:colOff>
                    <xdr:row>22</xdr:row>
                    <xdr:rowOff>76200</xdr:rowOff>
                  </to>
                </anchor>
              </controlPr>
            </control>
          </mc:Choice>
        </mc:AlternateContent>
        <mc:AlternateContent xmlns:mc="http://schemas.openxmlformats.org/markup-compatibility/2006">
          <mc:Choice Requires="x14">
            <control shapeId="6146" r:id="rId7" name="Check Box 2">
              <controlPr defaultSize="0" autoFill="0" autoLine="0" autoPict="0">
                <anchor moveWithCells="1">
                  <from>
                    <xdr:col>11</xdr:col>
                    <xdr:colOff>38100</xdr:colOff>
                    <xdr:row>31</xdr:row>
                    <xdr:rowOff>22860</xdr:rowOff>
                  </from>
                  <to>
                    <xdr:col>13</xdr:col>
                    <xdr:colOff>0</xdr:colOff>
                    <xdr:row>32</xdr:row>
                    <xdr:rowOff>22860</xdr:rowOff>
                  </to>
                </anchor>
              </controlPr>
            </control>
          </mc:Choice>
        </mc:AlternateContent>
        <mc:AlternateContent xmlns:mc="http://schemas.openxmlformats.org/markup-compatibility/2006">
          <mc:Choice Requires="x14">
            <control shapeId="6157" r:id="rId8" name="Check Box 13">
              <controlPr defaultSize="0" autoFill="0" autoLine="0" autoPict="0">
                <anchor moveWithCells="1">
                  <from>
                    <xdr:col>10</xdr:col>
                    <xdr:colOff>60960</xdr:colOff>
                    <xdr:row>3</xdr:row>
                    <xdr:rowOff>205740</xdr:rowOff>
                  </from>
                  <to>
                    <xdr:col>10</xdr:col>
                    <xdr:colOff>274320</xdr:colOff>
                    <xdr:row>3</xdr:row>
                    <xdr:rowOff>396240</xdr:rowOff>
                  </to>
                </anchor>
              </controlPr>
            </control>
          </mc:Choice>
        </mc:AlternateContent>
        <mc:AlternateContent xmlns:mc="http://schemas.openxmlformats.org/markup-compatibility/2006">
          <mc:Choice Requires="x14">
            <control shapeId="6159" r:id="rId9" name="Check Box 15">
              <controlPr defaultSize="0" autoFill="0" autoLine="0" autoPict="0">
                <anchor moveWithCells="1">
                  <from>
                    <xdr:col>10</xdr:col>
                    <xdr:colOff>60960</xdr:colOff>
                    <xdr:row>3</xdr:row>
                    <xdr:rowOff>7620</xdr:rowOff>
                  </from>
                  <to>
                    <xdr:col>10</xdr:col>
                    <xdr:colOff>274320</xdr:colOff>
                    <xdr:row>3</xdr:row>
                    <xdr:rowOff>205740</xdr:rowOff>
                  </to>
                </anchor>
              </controlPr>
            </control>
          </mc:Choice>
        </mc:AlternateContent>
        <mc:AlternateContent xmlns:mc="http://schemas.openxmlformats.org/markup-compatibility/2006">
          <mc:Choice Requires="x14">
            <control shapeId="6160" r:id="rId10" name="Button 16">
              <controlPr defaultSize="0" print="0" autoFill="0" autoPict="0" macro="[0]!IW_Copy">
                <anchor moveWithCells="1" sizeWithCells="1">
                  <from>
                    <xdr:col>1</xdr:col>
                    <xdr:colOff>53340</xdr:colOff>
                    <xdr:row>0</xdr:row>
                    <xdr:rowOff>7620</xdr:rowOff>
                  </from>
                  <to>
                    <xdr:col>2</xdr:col>
                    <xdr:colOff>53340</xdr:colOff>
                    <xdr:row>1</xdr:row>
                    <xdr:rowOff>114300</xdr:rowOff>
                  </to>
                </anchor>
              </controlPr>
            </control>
          </mc:Choice>
        </mc:AlternateContent>
        <mc:AlternateContent xmlns:mc="http://schemas.openxmlformats.org/markup-compatibility/2006">
          <mc:Choice Requires="x14">
            <control shapeId="6161" r:id="rId11" name="Button 17">
              <controlPr defaultSize="0" print="0" autoFill="0" autoPict="0" macro="[0]!IW_Home">
                <anchor moveWithCells="1" sizeWithCells="1">
                  <from>
                    <xdr:col>0</xdr:col>
                    <xdr:colOff>0</xdr:colOff>
                    <xdr:row>0</xdr:row>
                    <xdr:rowOff>7620</xdr:rowOff>
                  </from>
                  <to>
                    <xdr:col>0</xdr:col>
                    <xdr:colOff>434340</xdr:colOff>
                    <xdr:row>1</xdr:row>
                    <xdr:rowOff>114300</xdr:rowOff>
                  </to>
                </anchor>
              </controlPr>
            </control>
          </mc:Choice>
        </mc:AlternateContent>
        <mc:AlternateContent xmlns:mc="http://schemas.openxmlformats.org/markup-compatibility/2006">
          <mc:Choice Requires="x14">
            <control shapeId="6162" r:id="rId12" name="Button 18">
              <controlPr defaultSize="0" print="0" autoFill="0" autoPict="0" macro="[0]!SchF_Clear">
                <anchor moveWithCells="1" sizeWithCells="1">
                  <from>
                    <xdr:col>2</xdr:col>
                    <xdr:colOff>106680</xdr:colOff>
                    <xdr:row>0</xdr:row>
                    <xdr:rowOff>7620</xdr:rowOff>
                  </from>
                  <to>
                    <xdr:col>3</xdr:col>
                    <xdr:colOff>243840</xdr:colOff>
                    <xdr:row>1</xdr:row>
                    <xdr:rowOff>114300</xdr:rowOff>
                  </to>
                </anchor>
              </controlPr>
            </control>
          </mc:Choice>
        </mc:AlternateContent>
        <mc:AlternateContent xmlns:mc="http://schemas.openxmlformats.org/markup-compatibility/2006">
          <mc:Choice Requires="x14">
            <control shapeId="6163" r:id="rId13" name="Button 19">
              <controlPr defaultSize="0" print="0" autoFill="0" autoPict="0" macro="[0]!SchF_OmitHide">
                <anchor moveWithCells="1" sizeWithCells="1">
                  <from>
                    <xdr:col>0</xdr:col>
                    <xdr:colOff>7620</xdr:colOff>
                    <xdr:row>1</xdr:row>
                    <xdr:rowOff>160020</xdr:rowOff>
                  </from>
                  <to>
                    <xdr:col>1</xdr:col>
                    <xdr:colOff>396240</xdr:colOff>
                    <xdr:row>1</xdr:row>
                    <xdr:rowOff>457200</xdr:rowOff>
                  </to>
                </anchor>
              </controlPr>
            </control>
          </mc:Choice>
        </mc:AlternateContent>
        <mc:AlternateContent xmlns:mc="http://schemas.openxmlformats.org/markup-compatibility/2006">
          <mc:Choice Requires="x14">
            <control shapeId="6164" r:id="rId14" name="Check Box 20">
              <controlPr defaultSize="0" autoFill="0" autoLine="0" autoPict="0" macro="[0]!SchF_ShowHidePL">
                <anchor moveWithCells="1">
                  <from>
                    <xdr:col>0</xdr:col>
                    <xdr:colOff>0</xdr:colOff>
                    <xdr:row>32</xdr:row>
                    <xdr:rowOff>22860</xdr:rowOff>
                  </from>
                  <to>
                    <xdr:col>0</xdr:col>
                    <xdr:colOff>152400</xdr:colOff>
                    <xdr:row>33</xdr:row>
                    <xdr:rowOff>15240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23ED3-44A8-4400-B139-E588D05BBB9F}">
  <sheetPr codeName="Sheet39">
    <tabColor rgb="FFFFFF00"/>
    <pageSetUpPr fitToPage="1"/>
  </sheetPr>
  <dimension ref="A1:S103"/>
  <sheetViews>
    <sheetView showGridLines="0" showRowColHeaders="0" showRuler="0" view="pageLayout" zoomScale="90" zoomScaleNormal="100" zoomScalePageLayoutView="90" workbookViewId="0">
      <selection activeCell="D7" sqref="D7:H7"/>
      <extLst>
        <ext xmlns:xlsdti="http://schemas.microsoft.com/office/spreadsheetml/2023/showDataTypeIcons" uri="{77bfe23e-c014-4d31-8a63-9c772dbf06b6}">
          <xlsdti:showDataTypeIcons visible="0"/>
        </ext>
      </extLst>
    </sheetView>
  </sheetViews>
  <sheetFormatPr defaultColWidth="9.109375" defaultRowHeight="14.4" x14ac:dyDescent="0.3"/>
  <cols>
    <col min="1" max="1" width="7.33203125" customWidth="1"/>
    <col min="2" max="2" width="3" customWidth="1"/>
    <col min="3" max="3" width="6.6640625" customWidth="1"/>
    <col min="4" max="4" width="10.6640625" customWidth="1"/>
    <col min="5" max="5" width="9.5546875" customWidth="1"/>
    <col min="6" max="6" width="9.109375" customWidth="1"/>
    <col min="7" max="7" width="4.109375" customWidth="1"/>
    <col min="8" max="8" width="7.5546875" customWidth="1"/>
    <col min="9" max="9" width="8" customWidth="1"/>
    <col min="10" max="10" width="10.109375" customWidth="1"/>
    <col min="11" max="11" width="8" customWidth="1"/>
    <col min="12" max="12" width="5.6640625" customWidth="1"/>
    <col min="13" max="13" width="2.6640625" customWidth="1"/>
    <col min="14" max="14" width="8.5546875" customWidth="1"/>
    <col min="15" max="15" width="5.44140625" customWidth="1"/>
    <col min="16" max="16" width="0.77734375" customWidth="1"/>
    <col min="17" max="17" width="5" customWidth="1"/>
    <col min="18" max="18" width="1.6640625" customWidth="1"/>
    <col min="19" max="19" width="1" hidden="1" customWidth="1"/>
  </cols>
  <sheetData>
    <row r="1" spans="1:19" x14ac:dyDescent="0.3">
      <c r="E1" s="2157" t="str">
        <f>IF(OR('I&amp;D Worksheet'!J8="FHA",'I&amp;D Worksheet'!J8="VA",'I&amp;D Worksheet'!J8="USDA"),CONCATENATE("This worksheet is not applicable for the selected Loan Type (",'I&amp;D Worksheet'!J8,")"),"")</f>
        <v/>
      </c>
      <c r="F1" s="2157"/>
      <c r="G1" s="2157"/>
      <c r="H1" s="2157"/>
      <c r="I1" s="2157"/>
      <c r="J1" s="2157"/>
      <c r="K1" s="2157"/>
      <c r="L1" s="2157"/>
    </row>
    <row r="2" spans="1:19" ht="36.75" customHeight="1" x14ac:dyDescent="0.5">
      <c r="A2" s="1321" t="s">
        <v>1046</v>
      </c>
      <c r="B2" s="1321"/>
      <c r="C2" s="1321"/>
      <c r="D2" s="1321"/>
      <c r="E2" s="1321"/>
      <c r="F2" s="1321"/>
      <c r="G2" s="1321"/>
      <c r="H2" s="1321"/>
      <c r="I2" s="1321"/>
      <c r="J2" s="1321"/>
      <c r="K2" s="1321"/>
      <c r="L2" s="1321"/>
      <c r="M2" s="1321"/>
      <c r="N2" s="1321"/>
      <c r="O2" s="1321"/>
      <c r="P2" s="1321"/>
      <c r="Q2" s="1321"/>
      <c r="R2" s="1321"/>
    </row>
    <row r="3" spans="1:19" ht="3.6" customHeight="1" x14ac:dyDescent="0.45">
      <c r="A3" s="1409"/>
      <c r="B3" s="1409"/>
      <c r="C3" s="1409"/>
      <c r="D3" s="1409"/>
      <c r="E3" s="1409"/>
      <c r="F3" s="1409"/>
      <c r="G3" s="1409"/>
      <c r="H3" s="1409"/>
      <c r="I3" s="1409"/>
      <c r="J3" s="1409"/>
      <c r="K3" s="1409"/>
      <c r="L3" s="1409"/>
      <c r="M3" s="1409"/>
      <c r="N3" s="1409"/>
      <c r="O3" s="1409"/>
      <c r="P3" s="1409"/>
      <c r="Q3" s="1409"/>
    </row>
    <row r="4" spans="1:19" ht="20.399999999999999" customHeight="1" x14ac:dyDescent="0.3">
      <c r="J4" s="2199" t="s">
        <v>1127</v>
      </c>
      <c r="K4" s="2199"/>
      <c r="L4" s="2199"/>
      <c r="M4" s="2199"/>
      <c r="N4" s="2199"/>
      <c r="O4" s="2199"/>
      <c r="P4" s="2199"/>
      <c r="Q4" s="2199"/>
    </row>
    <row r="5" spans="1:19" ht="21" customHeight="1" x14ac:dyDescent="0.3">
      <c r="A5" s="2"/>
      <c r="B5" s="2"/>
      <c r="C5" s="2"/>
      <c r="D5" s="2"/>
      <c r="E5" s="2"/>
      <c r="F5" s="2"/>
      <c r="G5" s="2"/>
      <c r="H5" s="2"/>
      <c r="I5" s="2"/>
      <c r="J5" s="2186" t="s">
        <v>1209</v>
      </c>
      <c r="K5" s="2186"/>
      <c r="L5" s="2186"/>
      <c r="M5" s="2186"/>
      <c r="N5" s="2186"/>
      <c r="O5" s="2186"/>
      <c r="P5" s="2186"/>
      <c r="Q5" s="2186"/>
    </row>
    <row r="6" spans="1:19" ht="13.8" customHeight="1" x14ac:dyDescent="0.3">
      <c r="A6" s="2"/>
      <c r="B6" s="2"/>
      <c r="C6" s="2"/>
      <c r="D6" s="2"/>
      <c r="H6" s="2"/>
      <c r="J6" s="2186"/>
      <c r="K6" s="2186"/>
      <c r="L6" s="2186"/>
      <c r="M6" s="2186"/>
      <c r="N6" s="2186"/>
      <c r="O6" s="2186"/>
      <c r="P6" s="2186"/>
      <c r="Q6" s="2186"/>
    </row>
    <row r="7" spans="1:19" ht="15.75" customHeight="1" x14ac:dyDescent="0.3">
      <c r="A7" s="2160" t="s">
        <v>575</v>
      </c>
      <c r="B7" s="2160"/>
      <c r="C7" s="2160"/>
      <c r="D7" s="1979"/>
      <c r="E7" s="1979"/>
      <c r="F7" s="1979"/>
      <c r="G7" s="1979"/>
      <c r="H7" s="1979"/>
      <c r="I7" s="208"/>
      <c r="J7" s="2200" t="s">
        <v>582</v>
      </c>
      <c r="K7" s="2200"/>
      <c r="L7" s="720"/>
      <c r="M7" s="2"/>
      <c r="N7" s="1809" t="s">
        <v>583</v>
      </c>
      <c r="O7" s="1809"/>
      <c r="P7" s="1809"/>
      <c r="Q7" s="1809"/>
      <c r="R7" s="8"/>
    </row>
    <row r="8" spans="1:19" ht="10.199999999999999" customHeight="1" x14ac:dyDescent="0.3">
      <c r="A8" s="2"/>
      <c r="B8" s="2"/>
      <c r="C8" s="2"/>
      <c r="D8" s="2"/>
      <c r="E8" s="2"/>
      <c r="F8" s="2"/>
      <c r="G8" s="2"/>
      <c r="I8" s="46" t="s">
        <v>582</v>
      </c>
      <c r="J8" s="1728" t="str">
        <f>IF(AND(E1&lt;&gt;"",M9&lt;&gt;""),"Loan Type does not match I&amp;D worksheet",IF(AND(M75="",OR(C21&lt;&gt;"",J28&lt;&gt;"",N28&lt;&gt;"",Q75&lt;&gt;"")),"Selection Needed to complete wkst",
IF(AND(M75=2,'I&amp;D Worksheet'!N70&lt;&gt;2),"Selection above does not match I&amp;D worksheet",
IF(AND(M75=1,'I&amp;D Worksheet'!N70&lt;&gt;1),"Selection above does not match I&amp;D worksheet",
IF(OR(AND(M75&gt;=1,'I&amp;D Worksheet'!M70&lt;&gt;5)),"Occupancy Type on I&amp;D Worksheet is not set to Investment","")))))</f>
        <v/>
      </c>
      <c r="K8" s="1728"/>
      <c r="L8" s="1728"/>
      <c r="M8" s="1728"/>
      <c r="N8" s="1728"/>
      <c r="O8" s="1728"/>
      <c r="P8" s="1728"/>
      <c r="Q8" s="1728"/>
    </row>
    <row r="9" spans="1:19" ht="13.8" customHeight="1" x14ac:dyDescent="0.3">
      <c r="A9" s="2"/>
      <c r="B9" s="2"/>
      <c r="C9" s="2"/>
      <c r="D9" s="2"/>
      <c r="E9" s="2"/>
      <c r="F9" s="2"/>
      <c r="G9" s="2"/>
      <c r="H9" s="2"/>
      <c r="I9" s="46" t="s">
        <v>583</v>
      </c>
      <c r="J9" s="2177" t="str">
        <f>IF(OR(M75=1,M75=2),"Enter/Select Loan Type:","")</f>
        <v/>
      </c>
      <c r="K9" s="2177"/>
      <c r="L9" s="2177"/>
      <c r="M9" s="2207"/>
      <c r="N9" s="2207"/>
      <c r="O9" s="2207"/>
      <c r="P9" s="850" t="s">
        <v>941</v>
      </c>
      <c r="Q9" s="1042"/>
    </row>
    <row r="10" spans="1:19" ht="4.2" customHeight="1" x14ac:dyDescent="0.3">
      <c r="A10" s="2"/>
      <c r="B10" s="2"/>
      <c r="C10" s="2"/>
      <c r="D10" s="2"/>
      <c r="E10" s="2"/>
      <c r="F10" s="2"/>
      <c r="G10" s="2"/>
      <c r="H10" s="2"/>
      <c r="I10" s="46"/>
      <c r="J10" s="709"/>
      <c r="K10" s="709"/>
      <c r="L10" s="709"/>
      <c r="M10" s="709"/>
      <c r="N10" s="2205" t="s">
        <v>1128</v>
      </c>
      <c r="O10" s="2205"/>
      <c r="P10" s="837"/>
      <c r="Q10" s="423"/>
    </row>
    <row r="11" spans="1:19" ht="13.8" customHeight="1" x14ac:dyDescent="0.3">
      <c r="A11" s="1298" t="str">
        <f>IF(OR(AND(M9="Fannie",OR(M75=1,M75=2)),AND(M9="Freddie",M75=1)),"Required:","")</f>
        <v/>
      </c>
      <c r="B11" s="1298"/>
      <c r="C11" s="1298"/>
      <c r="D11" s="2208" t="str">
        <f>IF(AND(A11="Required:",M9="Fannie"),"1. Borrower Currently owns a principal residence (or has a current housing expense)?",IF(AND(A11="Required:",M9="Freddie"),"1. Borrower Currently owns a principal residence (or has a current housing expense)?",""))</f>
        <v/>
      </c>
      <c r="E11" s="2208"/>
      <c r="F11" s="2208"/>
      <c r="G11" s="2208"/>
      <c r="H11" s="2208"/>
      <c r="I11" s="2208"/>
      <c r="J11" s="2208"/>
      <c r="K11" s="2208"/>
      <c r="L11" s="2238"/>
      <c r="M11" s="2238"/>
      <c r="N11" s="2206"/>
      <c r="O11" s="2206"/>
      <c r="P11" s="837"/>
      <c r="Q11" s="2198"/>
      <c r="R11" s="2198"/>
    </row>
    <row r="12" spans="1:19" ht="4.2" customHeight="1" x14ac:dyDescent="0.3">
      <c r="A12" s="833"/>
      <c r="B12" s="833"/>
      <c r="C12" s="833"/>
      <c r="D12" s="834"/>
      <c r="E12" s="834"/>
      <c r="F12" s="834"/>
      <c r="G12" s="834"/>
      <c r="H12" s="834"/>
      <c r="I12" s="834"/>
      <c r="J12" s="834"/>
      <c r="K12" s="834"/>
      <c r="L12" s="850"/>
      <c r="M12" s="850"/>
      <c r="N12" s="2206"/>
      <c r="O12" s="2206"/>
      <c r="P12" s="837"/>
      <c r="Q12" s="838"/>
      <c r="R12" s="835"/>
    </row>
    <row r="13" spans="1:19" ht="13.8" customHeight="1" x14ac:dyDescent="0.3">
      <c r="A13" s="2203" t="str">
        <f>IF(A11="Required:","-See Agency
Guidelines","")</f>
        <v/>
      </c>
      <c r="B13" s="2203"/>
      <c r="C13" s="2203"/>
      <c r="D13" s="1229" t="str">
        <f>IF(AND(A11="Required:",M9="Fannie"),"2. Has either:  a. Documented one year minimum history receiving rent income,    or
                             b. Documented one year minimum experience of managing rental properties?",IF(AND(A11="Required:",M9="Freddie"),"2. Has a documented one year minimum experience of managing rental properties?",""))</f>
        <v/>
      </c>
      <c r="E13" s="1229"/>
      <c r="F13" s="1229"/>
      <c r="G13" s="1229"/>
      <c r="H13" s="1229"/>
      <c r="I13" s="1229"/>
      <c r="J13" s="1229"/>
      <c r="K13" s="1229"/>
      <c r="L13" s="2239"/>
      <c r="M13" s="2239"/>
      <c r="N13" s="836"/>
      <c r="O13" s="836"/>
      <c r="P13" s="836"/>
      <c r="Q13" s="710"/>
      <c r="S13" s="242" t="s">
        <v>1417</v>
      </c>
    </row>
    <row r="14" spans="1:19" ht="11.4" customHeight="1" x14ac:dyDescent="0.3">
      <c r="A14" s="2203"/>
      <c r="B14" s="2203"/>
      <c r="C14" s="2203"/>
      <c r="D14" s="1229"/>
      <c r="E14" s="1229"/>
      <c r="F14" s="1229"/>
      <c r="G14" s="1229"/>
      <c r="H14" s="1229"/>
      <c r="I14" s="1229"/>
      <c r="J14" s="1229"/>
      <c r="K14" s="1229"/>
      <c r="L14" s="711"/>
      <c r="N14" s="423"/>
      <c r="O14" s="423"/>
      <c r="P14" s="423"/>
      <c r="S14" s="242" t="s">
        <v>1418</v>
      </c>
    </row>
    <row r="15" spans="1:19" ht="15.6" customHeight="1" x14ac:dyDescent="0.3">
      <c r="A15" s="1196"/>
      <c r="B15" s="2204" t="str">
        <f>IF(AND(J9&lt;&gt;"",M9=""),"Enter/Select Loan Type above to determine if any rent income limitations exist.",
IF(AND(J9&lt;&gt;"",M9="Other (Jumbo…)"),"No Limits applied, proceed as product guidelines dictate",
IF(AND(M75=2,J9&lt;&gt;"",M9="Freddie"),"There is no restriction on the amount of rental income that can be used. Proceed below",
IF(AND(A11="Required:",OR(L11="",L13="",AND(L11="Rents",Q11=""))),"Answer 'Required' questions above to determine if any rent income limitations exist.",
IF(AND(A11="Required:",M9="Fannie",L11="Owns",L13="Yes"),"There is no restriction on the amount of rental income that can be used. Proceed below",
IF(AND(A11="Required:",M9="Fannie",L11="Rents",Q11&gt;0,L13="Yes"),"There is no restriction on the amount of rental income that can be used. Proceed below",
IF(AND(A11="Required:",M9="Fannie",L11="Owns",L13="No"),"Rental income in an amount up to but not exceeding the PITIA of this property can be added to the borrowers gross income. Proceed below",
IF(AND(A11="Required:",M9="Fannie",L11="Rents",Q11&gt;0,L13="No"),"Rental income in an amount up to but not exceeding the PITIA of this property can be added to the borrowers gross income. Proceed below",
IF(AND(A11="Required:",M9="Fannie",L11="Rents",Q11=0,L13&lt;&gt;""),"Rental income from this property cannot be used in any amount, Must own a principal residence or have a current housing expense. Proceed below",
IF(AND(A11="Required:",M9="Fannie",L11="Rent Free",L13&lt;&gt;""),"Rental income from this property cannot be used in any amount, Must own a principal residence or have a current housing expense. Proceed below",
IF(AND(A11="Required:",M9="Freddie",L11="Owns",L13="Yes"),"There is no restriction on the amount of rental income that can be used. Proceed below",
IF(AND(A11="Required:",M9="Freddie",L11="Rents",Q11&gt;0,L13="Yes"),"There is no restriction on the amount of rental income that can be used. Proceed below",
IF(AND(A11="Required:",M9="Freddie",L11="Owns",L13="No"),"Rental income in an amount up to but not exceeding the PITIA of this property can be added to the borrowers gross income. Proceed below",
IF(AND(A11="Required:",M9="Freddie",L11="Rents",Q11&gt;0,L13="No"),"Rental income in an amount up to but not exceeding the PITIA of this property can be added to the borrowers gross income. Proceed below",
IF(AND(A11="Required:",M9="Freddie",L11="Rents",Q11=0,L13&lt;&gt;""),"Rental income from this property cannot be used in any amount, Must own a principal residence or have a current housing expense. Proceed below",
IF(AND(A11="Required:",M9="Freddie",L11="Rent Free",L13&lt;&gt;""),"Rental income from this property cannot be used in any amount, Must own a principal residence or have a current housing expense. Proceed below",""))))))))))))))))</f>
        <v/>
      </c>
      <c r="C15" s="2204"/>
      <c r="D15" s="2204"/>
      <c r="E15" s="2204"/>
      <c r="F15" s="2204"/>
      <c r="G15" s="2204"/>
      <c r="H15" s="2204"/>
      <c r="I15" s="2204"/>
      <c r="J15" s="2204"/>
      <c r="K15" s="2204"/>
      <c r="L15" s="2204"/>
      <c r="M15" s="2204"/>
      <c r="N15" s="2204"/>
      <c r="O15" s="2204"/>
      <c r="P15" s="2204"/>
      <c r="Q15" s="2204"/>
      <c r="R15" s="716" t="str">
        <f>IF(AND(A11="Required:",OR(L11="",L13="",AND(L11="Rents",Q11=""))),"",
IF(AND(A11="Required:",M9="Fannie",L11="Owns",L13="Yes"),1,
IF(AND(A11="Required:",M9="Fannie",L11="Rents",Q11&gt;0,L13="Yes"),1,
IF(AND(A11="Required:",M9="Fannie",L11="Owns",L13="No"),2,
IF(AND(A11="Required:",M9="Fannie",L11="Rents",Q11&gt;0,L13="No"),2,
IF(AND(A11="Required:",M9="Fannie",L11="Rents",Q11=0,L13&lt;&gt;""),3,
IF(AND(A11="Required:",M9="Fannie",L11="Rent Free",L13&lt;&gt;""),3,
IF(AND(A11="Required:",M9="Freddie",L11="Owns",L13="Yes"),1,
IF(AND(A11="Required:",M9="Freddie",L11="Rents",Q11&gt;0,L13="Yes"),1,
IF(AND(A11="Required:",M9="Freddie",L11="Owns",L13="No"),2,
IF(AND(A11="Required:",M9="Freddie",L11="Rents",Q11&gt;0,L13="No"),2,
IF(AND(A11="Required:",M9="Freddie",L11="Rents",Q11=0,L13&lt;&gt;""),3,
IF(AND(A11="Required:",M9="Freddie",L11="Rent Free",L13&lt;&gt;""),3,"")))))))))))))</f>
        <v/>
      </c>
      <c r="S15" s="242" t="s">
        <v>1419</v>
      </c>
    </row>
    <row r="16" spans="1:19" ht="16.2" customHeight="1" x14ac:dyDescent="0.3">
      <c r="A16" s="1364" t="s">
        <v>1047</v>
      </c>
      <c r="B16" s="1364"/>
      <c r="C16" s="1364"/>
      <c r="D16" s="1364"/>
      <c r="E16" s="1364"/>
      <c r="F16" s="1364"/>
      <c r="G16" s="1364"/>
      <c r="H16" s="1364"/>
      <c r="I16" s="1364"/>
      <c r="J16" s="1364"/>
      <c r="K16" s="1364"/>
      <c r="L16" s="1364"/>
      <c r="M16" s="1364"/>
      <c r="N16" s="710"/>
      <c r="O16" s="710"/>
      <c r="P16" s="710"/>
      <c r="Q16" s="710"/>
    </row>
    <row r="17" spans="1:18" ht="21.75" customHeight="1" x14ac:dyDescent="0.3">
      <c r="A17" s="2201" t="s">
        <v>1049</v>
      </c>
      <c r="B17" s="1416"/>
      <c r="C17" s="1416"/>
      <c r="D17" s="1416"/>
      <c r="E17" s="1416"/>
      <c r="F17" s="1416"/>
      <c r="G17" s="1416"/>
      <c r="H17" s="1416"/>
      <c r="I17" s="1416"/>
      <c r="J17" s="1416"/>
      <c r="K17" s="1416"/>
      <c r="L17" s="1416"/>
      <c r="M17" s="1416"/>
      <c r="N17" s="1416"/>
      <c r="O17" s="1416"/>
      <c r="P17" s="1416"/>
      <c r="Q17" s="1416"/>
      <c r="R17" s="1416"/>
    </row>
    <row r="18" spans="1:18" ht="7.2" customHeight="1" x14ac:dyDescent="0.3">
      <c r="A18" s="498"/>
      <c r="B18" s="499"/>
      <c r="C18" s="499"/>
      <c r="D18" s="499"/>
      <c r="E18" s="499"/>
      <c r="F18" s="499"/>
      <c r="G18" s="499"/>
      <c r="H18" s="499"/>
      <c r="I18" s="499"/>
      <c r="J18" s="499"/>
      <c r="K18" s="499"/>
      <c r="L18" s="499"/>
      <c r="M18" s="499"/>
      <c r="N18" s="499"/>
      <c r="O18" s="499"/>
      <c r="P18" s="499"/>
      <c r="Q18" s="499"/>
      <c r="R18" s="499"/>
    </row>
    <row r="19" spans="1:18" ht="6.6" customHeight="1" x14ac:dyDescent="0.3">
      <c r="A19" s="498"/>
      <c r="B19" s="501" t="s">
        <v>456</v>
      </c>
      <c r="C19" s="2229"/>
      <c r="D19" s="2229"/>
      <c r="E19" s="2202" t="s">
        <v>883</v>
      </c>
      <c r="F19" s="2202"/>
      <c r="G19" s="2202"/>
      <c r="H19" s="2202"/>
      <c r="I19" s="2202"/>
      <c r="J19" s="2202"/>
      <c r="K19" s="2202"/>
      <c r="L19" s="2202"/>
      <c r="M19" s="2202"/>
      <c r="N19" s="2202"/>
      <c r="O19" s="722"/>
      <c r="P19" s="722"/>
      <c r="Q19" s="499"/>
      <c r="R19" s="499"/>
    </row>
    <row r="20" spans="1:18" ht="6.6" customHeight="1" x14ac:dyDescent="0.3">
      <c r="A20" s="2"/>
      <c r="B20" s="208"/>
      <c r="E20" s="2"/>
      <c r="F20" s="2"/>
      <c r="G20" s="2"/>
      <c r="H20" s="2230">
        <f>IF(C21&gt;0,C21*F21,0)</f>
        <v>0</v>
      </c>
      <c r="I20" s="2230"/>
      <c r="J20" s="2"/>
      <c r="K20" s="2"/>
      <c r="L20" s="2"/>
      <c r="M20" s="2"/>
      <c r="N20" s="2"/>
      <c r="O20" s="2"/>
      <c r="P20" s="2"/>
      <c r="Q20" s="2"/>
    </row>
    <row r="21" spans="1:18" ht="15.75" customHeight="1" thickBot="1" x14ac:dyDescent="0.35">
      <c r="A21" s="2"/>
      <c r="B21" s="501" t="s">
        <v>457</v>
      </c>
      <c r="C21" s="1957"/>
      <c r="D21" s="1957"/>
      <c r="E21" s="358" t="s">
        <v>576</v>
      </c>
      <c r="F21" s="920">
        <v>0.75</v>
      </c>
      <c r="G21" s="357"/>
      <c r="H21" s="2232" t="str">
        <f>IF(M76=2,CONCATENATE("=    $ ",H20),"=")</f>
        <v>=</v>
      </c>
      <c r="I21" s="2232"/>
      <c r="J21" s="2233">
        <f>IF(OR(M75="",AND(J9="Enter/Select Loan Type:",M9="")),0,IF(AND(M76&lt;2,C21&gt;0),C21*F21,IF(AND(M76=2,C19&gt;0,C21&gt;0,C19&lt;=H20),C19,IF(AND(M76=2,C19&gt;0,C21&gt;0,C19&gt;H20),H20,0))))</f>
        <v>0</v>
      </c>
      <c r="K21" s="2233"/>
      <c r="L21" s="723"/>
      <c r="M21" s="2234" t="s">
        <v>1050</v>
      </c>
      <c r="N21" s="2235"/>
      <c r="O21" s="2231" t="str">
        <f>IF(OR(AND(M75="",OR(C21&lt;&gt;"",J28&lt;&gt;"",N28&lt;&gt;"",Q75&lt;&gt;"")),AND(A11="Required:",R15="",Q75&gt;=1),AND(C21&lt;&gt;"",J8&lt;&gt;"")),"Top Section Required",
IF(AND(J9="Enter/Select Loan Type:",M9="",Q75&gt;=1),"Fannie or Freddie Required",
IF(AND(A11="Required:",R15=2,M75=1),CONCATENATE("Limited to PITIA ($",L57,")"),
IF(AND(A11="Required:",R15=2,M75=2),CONCATENATE("Limited to PITIA ($",K57,")"),
IF(AND(A11="Required:",R15=3),"Rent income Not Eligible, $0 will be added","")))))</f>
        <v/>
      </c>
      <c r="P21" s="2231"/>
      <c r="Q21" s="2231"/>
      <c r="R21" s="2231"/>
    </row>
    <row r="22" spans="1:18" ht="14.25" customHeight="1" thickTop="1" x14ac:dyDescent="0.3">
      <c r="A22" s="2"/>
      <c r="B22" s="2"/>
      <c r="C22" s="2249" t="s">
        <v>1048</v>
      </c>
      <c r="D22" s="2249"/>
      <c r="E22" s="2"/>
      <c r="F22" s="1508" t="s">
        <v>1446</v>
      </c>
      <c r="G22" s="504"/>
      <c r="H22" s="1508" t="str">
        <f>IF(M76=2,"Adjusted Monthly
Rental Income","")</f>
        <v/>
      </c>
      <c r="I22" s="2246"/>
      <c r="J22" s="2247"/>
      <c r="K22" s="2247"/>
      <c r="L22" s="199"/>
      <c r="M22" s="2235"/>
      <c r="N22" s="2235"/>
      <c r="O22" s="2231"/>
      <c r="P22" s="2231"/>
      <c r="Q22" s="2231"/>
      <c r="R22" s="2231"/>
    </row>
    <row r="23" spans="1:18" ht="14.25" customHeight="1" x14ac:dyDescent="0.3">
      <c r="A23" s="2"/>
      <c r="B23" s="2"/>
      <c r="C23" s="2250"/>
      <c r="D23" s="2250"/>
      <c r="E23" s="2"/>
      <c r="F23" s="1508"/>
      <c r="G23" s="504"/>
      <c r="H23" s="2246"/>
      <c r="I23" s="2246"/>
      <c r="J23" s="2247"/>
      <c r="K23" s="2247"/>
      <c r="L23" s="199"/>
      <c r="M23" s="2235"/>
      <c r="N23" s="2235"/>
      <c r="O23" s="2231"/>
      <c r="P23" s="2231"/>
      <c r="Q23" s="2231"/>
      <c r="R23" s="2231"/>
    </row>
    <row r="24" spans="1:18" ht="34.799999999999997" customHeight="1" x14ac:dyDescent="0.3">
      <c r="C24" s="2250"/>
      <c r="D24" s="2250"/>
      <c r="E24" s="2248" t="str">
        <f>IF(AND(Q75=1,M75=2,K48&lt;J21),"Caution: Non-Conservative Selection.  Schedule E calculation is recommended
or an explanation/justification is required for using this amount.","")</f>
        <v/>
      </c>
      <c r="F24" s="2248"/>
      <c r="G24" s="2248"/>
      <c r="H24" s="2248"/>
      <c r="I24" s="2248"/>
      <c r="J24" s="2248"/>
      <c r="K24" s="2248"/>
      <c r="L24" s="2248"/>
      <c r="M24" s="2248"/>
      <c r="N24" s="2248"/>
      <c r="O24" s="2248"/>
      <c r="P24" s="2248"/>
      <c r="Q24" s="2248"/>
      <c r="R24" s="706"/>
    </row>
    <row r="25" spans="1:18" ht="7.2" customHeight="1" x14ac:dyDescent="0.3">
      <c r="A25" s="58" t="str">
        <f>IF(A11="Required","1.","")</f>
        <v/>
      </c>
      <c r="J25" s="706"/>
      <c r="K25" s="706"/>
      <c r="L25" s="706"/>
      <c r="M25" s="706"/>
      <c r="N25" s="706"/>
      <c r="O25" s="706"/>
      <c r="P25" s="706"/>
      <c r="Q25" s="706"/>
      <c r="R25" s="706"/>
    </row>
    <row r="26" spans="1:18" ht="7.2" customHeight="1" x14ac:dyDescent="0.3">
      <c r="A26" s="708" t="str">
        <f>IF(A11="Required","2.","")</f>
        <v/>
      </c>
      <c r="J26" s="706"/>
      <c r="K26" s="706"/>
      <c r="L26" s="706"/>
      <c r="M26" s="706"/>
      <c r="N26" s="706"/>
      <c r="O26" s="706"/>
      <c r="P26" s="706"/>
      <c r="Q26" s="706"/>
    </row>
    <row r="27" spans="1:18" ht="15.75" customHeight="1" x14ac:dyDescent="0.3">
      <c r="A27" s="1812" t="s">
        <v>580</v>
      </c>
      <c r="B27" s="1812"/>
      <c r="C27" s="1812"/>
      <c r="D27" s="1812"/>
      <c r="E27" s="2259" t="str">
        <f>IF(M75=1,"- Not Applicable on Purchases","")</f>
        <v/>
      </c>
      <c r="F27" s="2259"/>
      <c r="G27" s="2259"/>
      <c r="H27" s="2259"/>
      <c r="I27" s="2259"/>
      <c r="J27" s="1988">
        <v>2025</v>
      </c>
      <c r="K27" s="1988"/>
      <c r="L27" s="551"/>
      <c r="M27" s="2"/>
      <c r="N27" s="1987">
        <f>J27-1</f>
        <v>2024</v>
      </c>
      <c r="O27" s="1987"/>
      <c r="P27" s="1987"/>
      <c r="Q27" s="1987"/>
    </row>
    <row r="28" spans="1:18" ht="15.75" customHeight="1" x14ac:dyDescent="0.3">
      <c r="A28" s="4" t="s">
        <v>1</v>
      </c>
      <c r="B28" s="1701" t="s">
        <v>1436</v>
      </c>
      <c r="C28" s="1701"/>
      <c r="D28" s="1701"/>
      <c r="E28" s="1701"/>
      <c r="F28" s="1701"/>
      <c r="G28" s="1701"/>
      <c r="H28" s="1701"/>
      <c r="I28" s="2"/>
      <c r="J28" s="1957"/>
      <c r="K28" s="1957"/>
      <c r="L28" s="725"/>
      <c r="M28" s="2"/>
      <c r="N28" s="1957"/>
      <c r="O28" s="1957"/>
      <c r="P28" s="1957"/>
      <c r="Q28" s="1957"/>
    </row>
    <row r="29" spans="1:18" ht="15.75" customHeight="1" x14ac:dyDescent="0.3">
      <c r="A29" s="4" t="s">
        <v>2</v>
      </c>
      <c r="B29" s="1701" t="s">
        <v>1429</v>
      </c>
      <c r="C29" s="1701"/>
      <c r="D29" s="1701"/>
      <c r="E29" s="1701"/>
      <c r="F29" s="1701"/>
      <c r="G29" s="1701"/>
      <c r="H29" s="1701"/>
      <c r="I29" s="58" t="s">
        <v>14</v>
      </c>
      <c r="J29" s="1957"/>
      <c r="K29" s="1957"/>
      <c r="L29" s="1197" t="s">
        <v>1435</v>
      </c>
      <c r="M29" s="2"/>
      <c r="N29" s="1957"/>
      <c r="O29" s="1957"/>
      <c r="P29" s="1957"/>
      <c r="Q29" s="1957"/>
      <c r="R29" s="56" t="s">
        <v>13</v>
      </c>
    </row>
    <row r="30" spans="1:18" ht="15.75" customHeight="1" x14ac:dyDescent="0.3">
      <c r="A30" s="4" t="s">
        <v>3</v>
      </c>
      <c r="B30" s="1701" t="s">
        <v>1431</v>
      </c>
      <c r="C30" s="1701"/>
      <c r="D30" s="1701"/>
      <c r="E30" s="1701"/>
      <c r="F30" s="1701"/>
      <c r="G30" s="1701"/>
      <c r="H30" s="1701"/>
      <c r="I30" s="2"/>
      <c r="J30" s="1985"/>
      <c r="K30" s="1985"/>
      <c r="L30" s="725"/>
      <c r="M30" s="212" t="s">
        <v>255</v>
      </c>
      <c r="N30" s="1985"/>
      <c r="O30" s="1985"/>
      <c r="P30" s="1985"/>
      <c r="Q30" s="1985"/>
      <c r="R30" s="213" t="s">
        <v>255</v>
      </c>
    </row>
    <row r="31" spans="1:18" ht="15.75" customHeight="1" x14ac:dyDescent="0.3">
      <c r="A31" s="4" t="s">
        <v>4</v>
      </c>
      <c r="B31" s="1701" t="s">
        <v>1437</v>
      </c>
      <c r="C31" s="1701"/>
      <c r="D31" s="1701"/>
      <c r="E31" s="1701"/>
      <c r="F31" s="1701"/>
      <c r="G31" s="1701"/>
      <c r="H31" s="1701"/>
      <c r="I31" s="2"/>
      <c r="J31" s="1957"/>
      <c r="K31" s="1957"/>
      <c r="L31" s="725"/>
      <c r="M31" s="2"/>
      <c r="N31" s="1957"/>
      <c r="O31" s="1957"/>
      <c r="P31" s="1957"/>
      <c r="Q31" s="1957"/>
    </row>
    <row r="32" spans="1:18" ht="15.75" customHeight="1" x14ac:dyDescent="0.3">
      <c r="A32" s="4" t="s">
        <v>5</v>
      </c>
      <c r="B32" s="1701" t="s">
        <v>1438</v>
      </c>
      <c r="C32" s="1701"/>
      <c r="D32" s="1701"/>
      <c r="E32" s="1701"/>
      <c r="F32" s="1701"/>
      <c r="G32" s="1701"/>
      <c r="H32" s="1701"/>
      <c r="I32" s="2"/>
      <c r="J32" s="1957"/>
      <c r="K32" s="1957"/>
      <c r="L32" s="725"/>
      <c r="M32" s="2"/>
      <c r="N32" s="1957"/>
      <c r="O32" s="1957"/>
      <c r="P32" s="1957"/>
      <c r="Q32" s="1957"/>
    </row>
    <row r="33" spans="1:18" ht="15.75" customHeight="1" x14ac:dyDescent="0.3">
      <c r="A33" s="4" t="s">
        <v>6</v>
      </c>
      <c r="B33" s="1701" t="s">
        <v>1439</v>
      </c>
      <c r="C33" s="1701"/>
      <c r="D33" s="1701"/>
      <c r="E33" s="1701"/>
      <c r="F33" s="1701"/>
      <c r="G33" s="1701"/>
      <c r="H33" s="1701"/>
      <c r="I33" s="2"/>
      <c r="J33" s="1957"/>
      <c r="K33" s="1957"/>
      <c r="L33" s="725"/>
      <c r="M33" s="2"/>
      <c r="N33" s="1957"/>
      <c r="O33" s="1957"/>
      <c r="P33" s="1957"/>
      <c r="Q33" s="1957"/>
    </row>
    <row r="34" spans="1:18" ht="15.75" customHeight="1" x14ac:dyDescent="0.3">
      <c r="A34" s="4" t="s">
        <v>7</v>
      </c>
      <c r="B34" s="1701" t="s">
        <v>1440</v>
      </c>
      <c r="C34" s="1701"/>
      <c r="D34" s="1701"/>
      <c r="E34" s="1701"/>
      <c r="F34" s="1701"/>
      <c r="G34" s="1701"/>
      <c r="H34" s="1701"/>
      <c r="I34" s="2"/>
      <c r="J34" s="1957"/>
      <c r="K34" s="1957"/>
      <c r="L34" s="725"/>
      <c r="M34" s="2"/>
      <c r="N34" s="1957"/>
      <c r="O34" s="1957"/>
      <c r="P34" s="1957"/>
      <c r="Q34" s="1957"/>
    </row>
    <row r="35" spans="1:18" ht="15.75" customHeight="1" x14ac:dyDescent="0.3">
      <c r="A35" s="4" t="s">
        <v>8</v>
      </c>
      <c r="B35" s="1701" t="s">
        <v>1433</v>
      </c>
      <c r="C35" s="1701"/>
      <c r="D35" s="1701"/>
      <c r="E35" s="2251"/>
      <c r="F35" s="2251"/>
      <c r="G35" s="2251"/>
      <c r="H35" s="2251"/>
      <c r="I35" s="2"/>
      <c r="J35" s="1957"/>
      <c r="K35" s="1957"/>
      <c r="L35" s="725"/>
      <c r="M35" s="2"/>
      <c r="N35" s="1957"/>
      <c r="O35" s="1957"/>
      <c r="P35" s="1957"/>
      <c r="Q35" s="1957"/>
    </row>
    <row r="36" spans="1:18" ht="15.75" customHeight="1" thickBot="1" x14ac:dyDescent="0.35">
      <c r="A36" s="4" t="s">
        <v>9</v>
      </c>
      <c r="B36" s="1427" t="s">
        <v>209</v>
      </c>
      <c r="C36" s="1427"/>
      <c r="D36" s="1427"/>
      <c r="E36" s="1427"/>
      <c r="F36" s="1427"/>
      <c r="G36" s="1427"/>
      <c r="H36" s="1427"/>
      <c r="I36" s="2"/>
      <c r="J36" s="1959">
        <f>J28-J29+J30+J31+J32+J33+J34+J35</f>
        <v>0</v>
      </c>
      <c r="K36" s="1959"/>
      <c r="L36" s="727"/>
      <c r="M36" s="2"/>
      <c r="N36" s="1959" cm="1">
        <f t="array" ref="N36">IF(R73=TRUE,0,IF(OR($M$9="Fannie",$M$9="Freddie",'I&amp;D Worksheet'!$J$8:$N$8="Conventional"),0,N28-N29+N30+N31+N32+N33+N34+N35))</f>
        <v>0</v>
      </c>
      <c r="O36" s="1959"/>
      <c r="P36" s="1959"/>
      <c r="Q36" s="1959"/>
    </row>
    <row r="37" spans="1:18" ht="9" customHeight="1" thickTop="1" x14ac:dyDescent="0.3">
      <c r="A37" s="4"/>
      <c r="B37" s="3"/>
      <c r="C37" s="3"/>
      <c r="D37" s="3"/>
      <c r="E37" s="3"/>
      <c r="F37" s="3"/>
      <c r="G37" s="1958" t="s">
        <v>814</v>
      </c>
      <c r="H37" s="1958"/>
      <c r="I37" s="1958"/>
      <c r="J37" s="1989">
        <f>IF(AND(F47&lt;12,F47&lt;&gt;""),(J36/F47)*12,J36)</f>
        <v>0</v>
      </c>
      <c r="K37" s="1989"/>
      <c r="L37" s="724"/>
      <c r="M37" s="8"/>
      <c r="N37" s="1989">
        <f>IF(AND(D47&lt;12,D47&lt;&gt;""),(N36/D47)*12,N36)</f>
        <v>0</v>
      </c>
      <c r="O37" s="1989"/>
      <c r="P37" s="1989"/>
      <c r="Q37" s="1989"/>
    </row>
    <row r="38" spans="1:18" ht="16.8" customHeight="1" x14ac:dyDescent="0.3">
      <c r="A38" s="4"/>
      <c r="B38" s="30"/>
      <c r="C38" s="2209" t="str">
        <f>CONCATENATE("Exclude ", N27, " from Total Adjusted Net Rental Income Below")</f>
        <v>Exclude 2024 from Total Adjusted Net Rental Income Below</v>
      </c>
      <c r="D38" s="2209"/>
      <c r="E38" s="2209"/>
      <c r="F38" s="2209"/>
      <c r="G38" s="2209"/>
      <c r="H38" s="2209"/>
      <c r="I38" s="2209"/>
      <c r="J38" s="2209"/>
      <c r="K38" s="1991" t="str">
        <f>IF(AND(J37&lt;N37,OR(G46="",G46=12,G46=24)),CONCATENATE(ROUND(((N37-J37)/N37)*100,2),"%"," Decline from ",N27," to ",J27,),
IF(AND(G46&gt;12,G46&lt;24,J37&lt;N37),CONCATENATE(ROUND(((N37-J37)/N37)*100,2),"%"," Decline from ",N27," to ",J27,),
IF(J37&lt;N37,(CONCATENATE("Decline from ",N27," to ",J27,)),
IF(AND(J37&gt;N37,OR(G46="",G46=12,G46=24)),CONCATENATE(ROUND(((J37-N37)/N37)*100,2),"%"," Increase from ",N27," to ",J27,),
IF(AND(G46&gt;12,G46&lt;24,J37&gt;N37),CONCATENATE(ROUND(((J37-N37)/N37)*100,2),"%"," Increase from ",N27," to ",J27,),"")))))</f>
        <v/>
      </c>
      <c r="L38" s="1991"/>
      <c r="M38" s="1991"/>
      <c r="N38" s="1991"/>
      <c r="O38" s="721"/>
      <c r="P38" s="721"/>
      <c r="Q38" s="25"/>
    </row>
    <row r="39" spans="1:18" ht="7.8" customHeight="1" x14ac:dyDescent="0.3">
      <c r="A39" s="4"/>
      <c r="B39" s="2"/>
      <c r="C39" s="2"/>
      <c r="D39" s="2"/>
      <c r="E39" s="2"/>
      <c r="F39" s="2"/>
      <c r="G39" s="2"/>
      <c r="H39" s="2"/>
      <c r="I39" s="2"/>
      <c r="J39" s="2"/>
      <c r="K39" s="2"/>
      <c r="L39" s="2"/>
      <c r="M39" s="2"/>
      <c r="N39" s="2"/>
      <c r="O39" s="2"/>
      <c r="P39" s="2"/>
      <c r="Q39" s="2"/>
    </row>
    <row r="40" spans="1:18" ht="15.75" customHeight="1" x14ac:dyDescent="0.3">
      <c r="A40" s="4" t="s">
        <v>10</v>
      </c>
      <c r="B40" s="1701" t="s">
        <v>208</v>
      </c>
      <c r="C40" s="1701"/>
      <c r="D40" s="1701"/>
      <c r="E40" s="1701"/>
      <c r="F40" s="1701"/>
      <c r="G40" s="1701"/>
      <c r="H40" s="1701"/>
      <c r="I40" s="3"/>
      <c r="J40" s="2"/>
      <c r="K40" s="2210">
        <f>IF(Q74=TRUE,J36,J36+N36)</f>
        <v>0</v>
      </c>
      <c r="L40" s="2210"/>
      <c r="M40" s="2210"/>
      <c r="N40" s="5"/>
      <c r="O40" s="5"/>
      <c r="P40" s="5"/>
    </row>
    <row r="41" spans="1:18" ht="4.8" customHeight="1" x14ac:dyDescent="0.3">
      <c r="A41" s="4"/>
      <c r="B41" s="2"/>
      <c r="C41" s="2"/>
      <c r="D41" s="2"/>
      <c r="E41" s="2"/>
      <c r="F41" s="2"/>
      <c r="G41" s="2"/>
      <c r="H41" s="2"/>
      <c r="I41" s="3"/>
      <c r="J41" s="2"/>
      <c r="K41" s="733">
        <f>IF(AND(E1&lt;&gt;"",OR(J21&gt;0,K48&gt;0)),0,IF(AND(M75=1,Q75=1),J21,IF(AND(M75=1,Q75=2),0,IF(AND(M75=2,Q75=1),J21,IF(AND(M75=2,Q75=2),K48,0)))))</f>
        <v>0</v>
      </c>
      <c r="L41" s="717"/>
      <c r="M41" s="717"/>
      <c r="N41" s="133"/>
      <c r="O41" s="133"/>
      <c r="P41" s="133"/>
    </row>
    <row r="42" spans="1:18" ht="15.75" customHeight="1" x14ac:dyDescent="0.3">
      <c r="A42" s="4" t="s">
        <v>11</v>
      </c>
      <c r="B42" s="1701" t="s">
        <v>12</v>
      </c>
      <c r="C42" s="1701"/>
      <c r="D42" s="1701"/>
      <c r="E42" s="1701"/>
      <c r="F42" s="420"/>
      <c r="I42" s="2"/>
      <c r="J42" s="45"/>
      <c r="K42" s="734">
        <f>IF(AND(M9="Fannie",M75=1,R15=2,K41&gt;L57,A11="Required:"),L57,
IF(AND(M9="Fannie",M75=1,R15=3,A11="Required:"),0,
IF(AND(M9="Fannie",M75=1,R15="",A11="Required:"),0,
IF(AND(M9="Fannie",M75=2,R15=2,K41&gt;L57,A11="Required:"),L57,
IF(AND(M9="Fannie",M75=2,R15=3,A11="Required:"),0,
IF(AND(M9="Fannie",M75=2,R15="",A11="Required:"),0,
IF(AND(M9="Freddie",M75=1,R15=2,K41&gt;L57,A11="Required:"),L57,
IF(AND(M9="Freddie",M75=1,R15=3,A11="Required:"),0,
IF(AND(M9="Freddie",M75=1,R15="",A11="Required:"),0,K41)))))))))</f>
        <v>0</v>
      </c>
      <c r="L42" s="718"/>
      <c r="M42" s="719"/>
      <c r="N42" s="714"/>
      <c r="O42" s="714"/>
      <c r="P42" s="714"/>
    </row>
    <row r="43" spans="1:18" ht="4.2" customHeight="1" thickBot="1" x14ac:dyDescent="0.35">
      <c r="A43" s="4"/>
      <c r="B43" s="2"/>
      <c r="C43" s="2"/>
      <c r="D43" s="2"/>
      <c r="E43" s="2"/>
      <c r="H43" s="12"/>
      <c r="I43" s="2255" t="str">
        <f>IF(OR(AND(R73=TRUE,F42&gt;12),AND(D47&lt;&gt;"",D47&gt;12),AND(F47&lt;&gt;"",F47&gt;12)),"Error: Greater than 12 months           in one year entered","")</f>
        <v/>
      </c>
      <c r="J43" s="2255"/>
      <c r="K43" s="2255"/>
      <c r="L43" s="2255"/>
      <c r="M43" s="2255"/>
      <c r="N43" s="1855" t="str">
        <f>IF(OR(AND(M75="",OR(C21&lt;&gt;"",J28&lt;&gt;"",N28&lt;&gt;"",Q75&lt;&gt;"")),AND(A11="Required:",R15="",Q75&gt;=1),AND(K40&lt;&gt;0,J8&lt;&gt;"")),"Top Section Required",
IF(AND(J9="Enter/Select Loan Type:",M9="",Q75&gt;=1),"Fannie or Freddie Required",
IF(AND(A11="Required:",R15=2,M75=1),CONCATENATE("Limited to PITIA ($",L57,")"),
IF(AND(A11="Required:",R15=2,M75=2),CONCATENATE("Limited to PITIA ($",K57,")"),
IF(AND(A11="Required:",R15=3),"Rent income Not Eligible, $0 will be added","")))))</f>
        <v/>
      </c>
      <c r="O43" s="1855"/>
      <c r="P43" s="1855"/>
      <c r="Q43" s="1855"/>
      <c r="R43" s="1855"/>
    </row>
    <row r="44" spans="1:18" ht="10.199999999999999" customHeight="1" thickBot="1" x14ac:dyDescent="0.35">
      <c r="A44" s="4"/>
      <c r="B44" s="2256" t="s">
        <v>299</v>
      </c>
      <c r="C44" s="2257"/>
      <c r="D44" s="2257"/>
      <c r="E44" s="2257"/>
      <c r="F44" s="2257"/>
      <c r="G44" s="2257"/>
      <c r="H44" s="2258"/>
      <c r="I44" s="2255"/>
      <c r="J44" s="2255"/>
      <c r="K44" s="2255"/>
      <c r="L44" s="2255"/>
      <c r="M44" s="2255"/>
      <c r="N44" s="1855"/>
      <c r="O44" s="1855"/>
      <c r="P44" s="1855"/>
      <c r="Q44" s="1855"/>
      <c r="R44" s="1855"/>
    </row>
    <row r="45" spans="1:18" ht="10.8" customHeight="1" x14ac:dyDescent="0.3">
      <c r="A45" s="4"/>
      <c r="B45" s="1996" t="str">
        <f>CONCATENATE(N27," Start:")</f>
        <v>2024 Start:</v>
      </c>
      <c r="C45" s="1997"/>
      <c r="D45" s="405" t="str">
        <f>CONCATENATE(N27," End:")</f>
        <v>2024 End:</v>
      </c>
      <c r="E45" s="406" t="str">
        <f>CONCATENATE(J27," Start:")</f>
        <v>2025 Start:</v>
      </c>
      <c r="F45" s="506" t="str">
        <f>CONCATENATE(J27," End:")</f>
        <v>2025 End:</v>
      </c>
      <c r="G45" s="2225" t="s">
        <v>178</v>
      </c>
      <c r="H45" s="2226"/>
      <c r="I45" s="2255"/>
      <c r="J45" s="2255"/>
      <c r="K45" s="2255"/>
      <c r="L45" s="2255"/>
      <c r="M45" s="2255"/>
      <c r="N45" s="1855"/>
      <c r="O45" s="1855"/>
      <c r="P45" s="1855"/>
      <c r="Q45" s="1855"/>
      <c r="R45" s="1855"/>
    </row>
    <row r="46" spans="1:18" ht="11.4" customHeight="1" thickBot="1" x14ac:dyDescent="0.35">
      <c r="A46" s="4"/>
      <c r="B46" s="1998"/>
      <c r="C46" s="1999"/>
      <c r="D46" s="408"/>
      <c r="E46" s="409"/>
      <c r="F46" s="507"/>
      <c r="G46" s="2227" t="str">
        <f>G47</f>
        <v/>
      </c>
      <c r="H46" s="2228"/>
      <c r="I46" s="2255"/>
      <c r="J46" s="2255"/>
      <c r="K46" s="2255"/>
      <c r="L46" s="2255"/>
      <c r="M46" s="2255"/>
      <c r="N46" s="1855"/>
      <c r="O46" s="1855"/>
      <c r="P46" s="1855"/>
      <c r="Q46" s="1855"/>
      <c r="R46" s="1855"/>
    </row>
    <row r="47" spans="1:18" ht="3" customHeight="1" x14ac:dyDescent="0.3">
      <c r="A47" s="4"/>
      <c r="B47" s="1981" t="str">
        <f>IF(AND(B46="",D46="",N36&lt;&gt;0),1,IF(AND(B46="",D46="",N36=0),"",IF(AND(B46="",D46&lt;&gt;""),"",IF(AND(B46&lt;&gt;"",D46=""),"",YEARFRAC(B46,D46+1,4)))))</f>
        <v/>
      </c>
      <c r="C47" s="1981"/>
      <c r="D47" s="412" t="str">
        <f>IF(R73=TRUE,"",IF(B47="","",ROUND(B47*12,2)))</f>
        <v/>
      </c>
      <c r="E47" s="413" t="str">
        <f>IF(AND(E46="",F46="",J36&lt;&gt;0),1,IF(AND(E46="",F46="",J36=0),"",IF(AND(E46="",F46&lt;&gt;""),"",IF(AND(E46&lt;&gt;"",F46=""),"",YEARFRAC(E46,F46+1,4)))))</f>
        <v/>
      </c>
      <c r="F47" s="412" t="str">
        <f>IF(E47="","",ROUND(E47*12,2))</f>
        <v/>
      </c>
      <c r="G47" s="2224" t="str">
        <f>IF(AND(D47&lt;&gt;"",F47&lt;&gt;""),F47+D47,IF(AND(D47&lt;&gt;"",F47=""),D47,IF(AND(D47="",F47&lt;&gt;""),F47,"")))</f>
        <v/>
      </c>
      <c r="H47" s="2224"/>
      <c r="I47" s="2255"/>
      <c r="J47" s="2255"/>
      <c r="K47" s="2255"/>
      <c r="L47" s="2255"/>
      <c r="M47" s="2255"/>
      <c r="N47" s="1855"/>
      <c r="O47" s="1855"/>
      <c r="P47" s="1855"/>
      <c r="Q47" s="1855"/>
      <c r="R47" s="1855"/>
    </row>
    <row r="48" spans="1:18" ht="15.75" customHeight="1" thickBot="1" x14ac:dyDescent="0.35">
      <c r="A48" s="4" t="s">
        <v>39</v>
      </c>
      <c r="B48" s="1427" t="s">
        <v>213</v>
      </c>
      <c r="C48" s="1427"/>
      <c r="D48" s="1427"/>
      <c r="E48" s="1427"/>
      <c r="F48" s="1427"/>
      <c r="G48" s="1427"/>
      <c r="H48" s="1427"/>
      <c r="I48" s="1427"/>
      <c r="J48" s="3"/>
      <c r="K48" s="2252">
        <f>IF(OR(M75="",AND(J9="Enter/Select Loan Type:",M9="")),0,IF(F42&gt;0,K40/F42,))</f>
        <v>0</v>
      </c>
      <c r="L48" s="2252"/>
      <c r="M48" s="2252"/>
      <c r="N48" s="2253" t="str">
        <f>IF(AND(M75=1,Q75=2),"               - Can't select
                on purchases","               -  Select to 
                    use this 
                rent amount")</f>
        <v xml:space="preserve">               -  Select to 
                    use this 
                rent amount</v>
      </c>
      <c r="O48" s="2253"/>
      <c r="P48" s="2253"/>
      <c r="Q48" s="2254"/>
      <c r="R48" s="2254"/>
    </row>
    <row r="49" spans="1:18" ht="15.75" customHeight="1" thickTop="1" x14ac:dyDescent="0.3">
      <c r="A49" s="9"/>
      <c r="B49" s="2"/>
      <c r="C49" s="2164" t="s">
        <v>586</v>
      </c>
      <c r="D49" s="2164"/>
      <c r="E49" s="2164"/>
      <c r="F49" s="2164"/>
      <c r="G49" s="2164"/>
      <c r="H49" s="2164"/>
      <c r="I49" s="2164"/>
      <c r="J49" s="2164"/>
      <c r="K49" s="2164"/>
      <c r="L49" s="2164"/>
      <c r="M49" s="2164"/>
      <c r="N49" s="2254"/>
      <c r="O49" s="2254"/>
      <c r="P49" s="2254"/>
      <c r="Q49" s="2254"/>
      <c r="R49" s="2254"/>
    </row>
    <row r="50" spans="1:18" ht="15" customHeight="1" x14ac:dyDescent="0.3">
      <c r="A50" s="9"/>
      <c r="B50" s="2"/>
      <c r="C50" s="2164"/>
      <c r="D50" s="2164"/>
      <c r="E50" s="2164"/>
      <c r="F50" s="2164"/>
      <c r="G50" s="2164"/>
      <c r="H50" s="2164"/>
      <c r="I50" s="2164"/>
      <c r="J50" s="2164"/>
      <c r="K50" s="2164"/>
      <c r="L50" s="2164"/>
      <c r="M50" s="2164"/>
      <c r="N50" s="2254"/>
      <c r="O50" s="2254"/>
      <c r="P50" s="2254"/>
      <c r="Q50" s="2254"/>
      <c r="R50" s="2254"/>
    </row>
    <row r="51" spans="1:18" ht="24" customHeight="1" x14ac:dyDescent="0.3">
      <c r="A51" s="2240" t="s">
        <v>1051</v>
      </c>
      <c r="B51" s="2240"/>
      <c r="C51" s="2240"/>
      <c r="D51" s="2240"/>
      <c r="E51" s="2240"/>
      <c r="F51" s="2240"/>
      <c r="G51" s="2240"/>
      <c r="H51" s="2240"/>
      <c r="I51" s="2240"/>
      <c r="J51" s="2240"/>
      <c r="K51" s="2240"/>
      <c r="L51" s="2240"/>
      <c r="M51" s="2240"/>
      <c r="N51" s="2240"/>
      <c r="O51" s="2240"/>
      <c r="P51" s="2240"/>
      <c r="Q51" s="2240"/>
      <c r="R51" s="712"/>
    </row>
    <row r="52" spans="1:18" ht="15.75" customHeight="1" x14ac:dyDescent="0.3">
      <c r="A52" s="1812" t="s">
        <v>581</v>
      </c>
      <c r="B52" s="1812"/>
      <c r="C52" s="1812"/>
      <c r="D52" s="1812"/>
      <c r="E52" s="1812"/>
      <c r="F52" s="2106" t="s">
        <v>1052</v>
      </c>
      <c r="G52" s="2106"/>
      <c r="H52" s="2106"/>
      <c r="I52" s="2106"/>
      <c r="J52" s="2106"/>
      <c r="K52" s="2106"/>
      <c r="L52" s="2106"/>
      <c r="M52" s="2106"/>
      <c r="N52" s="2106"/>
      <c r="O52" s="2106"/>
      <c r="P52" s="2106"/>
      <c r="Q52" s="2106"/>
      <c r="R52" s="2106"/>
    </row>
    <row r="53" spans="1:18" ht="15.75" customHeight="1" x14ac:dyDescent="0.3">
      <c r="A53" s="4" t="s">
        <v>142</v>
      </c>
      <c r="B53" s="1961" t="str">
        <f>IF(M75=2,"Minus current mortgage payment (from credit or mtg stmt)","Subject P &amp; I")</f>
        <v>Subject P &amp; I</v>
      </c>
      <c r="C53" s="1961"/>
      <c r="D53" s="1961"/>
      <c r="E53" s="1961"/>
      <c r="F53" s="1961"/>
      <c r="G53" s="1961"/>
      <c r="H53" s="1961"/>
      <c r="I53" s="1961"/>
      <c r="J53" s="1961"/>
      <c r="K53" s="5"/>
      <c r="L53" s="2241">
        <f>'I&amp;D Worksheet'!E21</f>
        <v>0</v>
      </c>
      <c r="M53" s="2241"/>
      <c r="N53" s="2241"/>
      <c r="O53" s="69"/>
      <c r="P53" s="69"/>
      <c r="Q53" s="69"/>
    </row>
    <row r="54" spans="1:18" ht="15.75" customHeight="1" x14ac:dyDescent="0.3">
      <c r="A54" s="4"/>
      <c r="B54" s="9" t="s">
        <v>240</v>
      </c>
      <c r="C54" s="1701" t="s">
        <v>113</v>
      </c>
      <c r="D54" s="1701"/>
      <c r="E54" s="1701"/>
      <c r="F54" s="1701"/>
      <c r="G54" s="1701"/>
      <c r="H54" s="1701"/>
      <c r="I54" s="1701"/>
      <c r="J54" s="1701"/>
      <c r="K54" s="5"/>
      <c r="L54" s="2245">
        <f>'I&amp;D Worksheet'!E26</f>
        <v>0</v>
      </c>
      <c r="M54" s="2245"/>
      <c r="N54" s="2245"/>
      <c r="O54" s="69"/>
      <c r="P54" s="69"/>
      <c r="Q54" s="69"/>
    </row>
    <row r="55" spans="1:18" ht="15.75" customHeight="1" x14ac:dyDescent="0.3">
      <c r="A55" s="4"/>
      <c r="B55" s="9" t="s">
        <v>240</v>
      </c>
      <c r="C55" s="1701" t="s">
        <v>216</v>
      </c>
      <c r="D55" s="1701"/>
      <c r="E55" s="1701"/>
      <c r="F55" s="1701"/>
      <c r="G55" s="1701"/>
      <c r="H55" s="1701"/>
      <c r="I55" s="1701"/>
      <c r="J55" s="1701"/>
      <c r="L55" s="2245">
        <f>'I&amp;D Worksheet'!E24</f>
        <v>0</v>
      </c>
      <c r="M55" s="2245"/>
      <c r="N55" s="2245"/>
      <c r="O55" s="69"/>
      <c r="P55" s="69"/>
      <c r="Q55" s="69"/>
    </row>
    <row r="56" spans="1:18" ht="15.75" customHeight="1" x14ac:dyDescent="0.3">
      <c r="A56" s="4"/>
      <c r="B56" s="9" t="s">
        <v>240</v>
      </c>
      <c r="C56" s="1701" t="s">
        <v>1053</v>
      </c>
      <c r="D56" s="1701"/>
      <c r="E56" s="1701"/>
      <c r="F56" s="1701"/>
      <c r="G56" s="1701"/>
      <c r="H56" s="1701"/>
      <c r="I56" s="1701"/>
      <c r="J56" s="1701"/>
      <c r="K56" s="5"/>
      <c r="L56" s="2245">
        <f>'I&amp;D Worksheet'!E22+'I&amp;D Worksheet'!E23+'I&amp;D Worksheet'!E25+'I&amp;D Worksheet'!E27+'I&amp;D Worksheet'!E28</f>
        <v>0</v>
      </c>
      <c r="M56" s="2245"/>
      <c r="N56" s="2245"/>
      <c r="O56" s="69"/>
      <c r="P56" s="69"/>
      <c r="Q56" s="69"/>
    </row>
    <row r="57" spans="1:18" ht="16.5" customHeight="1" thickBot="1" x14ac:dyDescent="0.35">
      <c r="A57" s="4" t="s">
        <v>143</v>
      </c>
      <c r="B57" s="1427" t="s">
        <v>1054</v>
      </c>
      <c r="C57" s="1427"/>
      <c r="D57" s="1427"/>
      <c r="E57" s="1427"/>
      <c r="F57" s="1427"/>
      <c r="G57" s="1427"/>
      <c r="H57" s="1427"/>
      <c r="I57" s="1427"/>
      <c r="J57" s="1427"/>
      <c r="K57" s="7"/>
      <c r="L57" s="1854">
        <f>'I&amp;D Worksheet'!E29</f>
        <v>0</v>
      </c>
      <c r="M57" s="1854"/>
      <c r="N57" s="1854"/>
      <c r="O57" s="7"/>
      <c r="P57" s="7"/>
      <c r="Q57" s="7"/>
    </row>
    <row r="58" spans="1:18" ht="12" customHeight="1" thickTop="1" x14ac:dyDescent="0.3">
      <c r="A58" s="4"/>
      <c r="B58" s="3"/>
      <c r="C58" s="2237" t="s">
        <v>1445</v>
      </c>
      <c r="D58" s="2237"/>
      <c r="E58" s="2237"/>
      <c r="F58" s="2237"/>
      <c r="G58" s="2237"/>
      <c r="H58" s="2237"/>
      <c r="I58" s="2237"/>
      <c r="J58" s="2237"/>
      <c r="K58" s="728"/>
      <c r="M58" s="1198"/>
      <c r="N58" s="1198"/>
      <c r="O58" s="7"/>
      <c r="P58" s="7"/>
      <c r="Q58" s="7"/>
    </row>
    <row r="59" spans="1:18" ht="19.2" customHeight="1" x14ac:dyDescent="0.3">
      <c r="A59" s="1809"/>
      <c r="B59" s="1809"/>
      <c r="C59" s="1809"/>
      <c r="D59" s="1809"/>
      <c r="E59" s="1809"/>
      <c r="F59" s="8"/>
      <c r="G59" s="8"/>
      <c r="H59" s="8"/>
      <c r="I59" s="8"/>
      <c r="J59" s="8"/>
      <c r="K59" s="729"/>
      <c r="L59" s="2236"/>
      <c r="M59" s="2236"/>
      <c r="N59" s="2236"/>
      <c r="O59" s="361"/>
      <c r="P59" s="361"/>
      <c r="Q59" s="361"/>
    </row>
    <row r="60" spans="1:18" ht="5.25" customHeight="1" x14ac:dyDescent="0.3">
      <c r="A60" s="9"/>
      <c r="B60" s="217" t="str">
        <f>CONCATENATE("Caution: Declining income is detected and ", N27, " is not being excluded and/or the number of months reviewed is greater than 12.  Generally with declining income ", N27, " should be excluded and the number of months reviewed should be 12.  Review above and correct to clear the alert or explain the justification in your notes below for not excluding ", N27, " and/or using more than 12 months reviewed.")</f>
        <v>Caution: Declining income is detected and 2024 is not being excluded and/or the number of months reviewed is greater than 12.  Generally with declining income 2024 should be excluded and the number of months reviewed should be 12.  Review above and correct to clear the alert or explain the justification in your notes below for not excluding 2024 and/or using more than 12 months reviewed.</v>
      </c>
      <c r="C60" s="217" t="str">
        <f>CONCATENATE("Caution: Rental income increased but ", N27, " is being excluded and/or the number of months reviewed is less than 24.  Generally when income increases ", N27, " should be included and a 24 month average of this income should be used.  Review above and correct to clear the alert or explain the justification in your notes below for not including ", N27, " and/or using less than 24 month reviewed.")</f>
        <v>Caution: Rental income increased but 2024 is being excluded and/or the number of months reviewed is less than 24.  Generally when income increases 2024 should be included and a 24 month average of this income should be used.  Review above and correct to clear the alert or explain the justification in your notes below for not including 2024 and/or using less than 24 month reviewed.</v>
      </c>
      <c r="D60" s="2"/>
      <c r="E60" s="2"/>
      <c r="F60" s="2"/>
      <c r="G60" s="2"/>
      <c r="H60" s="2"/>
      <c r="I60" s="2"/>
      <c r="J60" s="2"/>
      <c r="K60" s="2"/>
      <c r="L60" s="2"/>
      <c r="M60" s="2"/>
      <c r="N60" s="2"/>
      <c r="O60" s="2"/>
      <c r="P60" s="2"/>
      <c r="Q60" s="2"/>
    </row>
    <row r="61" spans="1:18" ht="34.5" customHeight="1" x14ac:dyDescent="0.3">
      <c r="A61" s="9"/>
      <c r="B61" s="2211" t="s">
        <v>1423</v>
      </c>
      <c r="C61" s="2212"/>
      <c r="D61" s="2212"/>
      <c r="E61" s="2212"/>
      <c r="F61" s="2212"/>
      <c r="G61" s="2212"/>
      <c r="H61" s="2212"/>
      <c r="I61" s="2212"/>
      <c r="J61" s="2212"/>
      <c r="K61" s="2212"/>
      <c r="L61" s="2212"/>
      <c r="M61" s="2212"/>
      <c r="N61" s="2212"/>
      <c r="O61" s="2213"/>
      <c r="P61" s="462"/>
      <c r="Q61" s="2"/>
    </row>
    <row r="62" spans="1:18" ht="21" customHeight="1" x14ac:dyDescent="0.3">
      <c r="A62" s="2"/>
      <c r="B62" s="2214" t="str">
        <f>IF(M75=1,"MORE LOS Instructions:   Go to 'REO Information' screen (under the borrowers name)",IF(M75=2,"MORE LOS Instructions:   Go to 'REO Information' screen (under the borrowers name)","MORE LOS Instructions:"))</f>
        <v>MORE LOS Instructions:</v>
      </c>
      <c r="C62" s="2215"/>
      <c r="D62" s="2215"/>
      <c r="E62" s="2215"/>
      <c r="F62" s="2215"/>
      <c r="G62" s="2215"/>
      <c r="H62" s="2215"/>
      <c r="I62" s="2215"/>
      <c r="J62" s="2215"/>
      <c r="K62" s="2215"/>
      <c r="L62" s="2215"/>
      <c r="M62" s="2215"/>
      <c r="N62" s="2215"/>
      <c r="O62" s="2216"/>
      <c r="P62" s="726"/>
      <c r="Q62" s="2"/>
    </row>
    <row r="63" spans="1:18" ht="15.75" customHeight="1" x14ac:dyDescent="0.3">
      <c r="A63" s="8"/>
      <c r="B63" s="2242" t="str">
        <f>IF(Q75=1,CONCATENATE("   - Click on the 'property status' next to the subject property address, select the 'Use Lease Agreement' option,"," then enter/match
      up the 'Gross Monthly Rental income' and 'Use Percentage' in both More LOS and on this worksheet. Check that totals match."),
IF(Q75=2,"   - Click on the 'property status' next to the subject property address, select the 'Use Tax Returns' option, 
      then enter/match up the amounts in both More LOS and on this worksheet. Check that totals match.",""))</f>
        <v/>
      </c>
      <c r="C63" s="2243"/>
      <c r="D63" s="2243"/>
      <c r="E63" s="2243"/>
      <c r="F63" s="2243"/>
      <c r="G63" s="2243"/>
      <c r="H63" s="2243"/>
      <c r="I63" s="2243"/>
      <c r="J63" s="2243"/>
      <c r="K63" s="2243"/>
      <c r="L63" s="2243"/>
      <c r="M63" s="2243"/>
      <c r="N63" s="2243"/>
      <c r="O63" s="2244"/>
      <c r="P63" s="2"/>
      <c r="Q63" s="35"/>
    </row>
    <row r="64" spans="1:18" ht="18" customHeight="1" x14ac:dyDescent="0.3">
      <c r="A64" s="4"/>
      <c r="B64" s="2242"/>
      <c r="C64" s="2243"/>
      <c r="D64" s="2243"/>
      <c r="E64" s="2243"/>
      <c r="F64" s="2243"/>
      <c r="G64" s="2243"/>
      <c r="H64" s="2243"/>
      <c r="I64" s="2243"/>
      <c r="J64" s="2243"/>
      <c r="K64" s="2243"/>
      <c r="L64" s="2243"/>
      <c r="M64" s="2243"/>
      <c r="N64" s="2243"/>
      <c r="O64" s="2244"/>
      <c r="P64" s="68"/>
      <c r="Q64" s="6"/>
    </row>
    <row r="65" spans="1:18" ht="15.6" x14ac:dyDescent="0.3">
      <c r="A65" s="4"/>
      <c r="B65" s="2217" t="str">
        <f>IF(OR(M9="Freddie",M9="Other (Jumbo…)"),"For ADU's, the ADU portion of this income should be entered separately as 'Accessory unit income' under 'Other Income' in MORE LOS","")</f>
        <v/>
      </c>
      <c r="C65" s="2218"/>
      <c r="D65" s="2218"/>
      <c r="E65" s="2218"/>
      <c r="F65" s="2218"/>
      <c r="G65" s="2218"/>
      <c r="H65" s="2218"/>
      <c r="I65" s="2218"/>
      <c r="J65" s="2218"/>
      <c r="K65" s="2218"/>
      <c r="L65" s="2218"/>
      <c r="M65" s="2218"/>
      <c r="N65" s="2218"/>
      <c r="O65" s="2219"/>
      <c r="P65" s="2"/>
      <c r="Q65" s="6"/>
    </row>
    <row r="66" spans="1:18" ht="7.5" customHeight="1" x14ac:dyDescent="0.3">
      <c r="A66" s="4"/>
      <c r="B66" s="2220" t="s">
        <v>212</v>
      </c>
      <c r="C66" s="2221"/>
      <c r="D66" s="2221"/>
      <c r="E66" s="2221"/>
      <c r="F66" s="2221"/>
      <c r="G66" s="2221"/>
      <c r="H66" s="2221"/>
      <c r="I66" s="2221"/>
      <c r="J66" s="2221"/>
      <c r="K66" s="2221"/>
      <c r="L66" s="2221"/>
      <c r="M66" s="2221"/>
      <c r="N66" s="2221"/>
      <c r="O66" s="2222"/>
      <c r="P66" s="2"/>
      <c r="Q66" s="6"/>
    </row>
    <row r="67" spans="1:18" ht="10.5" customHeight="1" x14ac:dyDescent="0.3"/>
    <row r="68" spans="1:18" ht="14.4" customHeight="1" x14ac:dyDescent="0.3">
      <c r="A68" s="1475" t="s">
        <v>1074</v>
      </c>
      <c r="B68" s="1475"/>
      <c r="C68" s="1475"/>
      <c r="D68" s="1475"/>
      <c r="E68" s="1475"/>
      <c r="F68" s="19"/>
      <c r="G68" s="19"/>
      <c r="H68" s="19"/>
      <c r="I68" s="19"/>
      <c r="J68" s="19"/>
      <c r="K68" s="19"/>
      <c r="L68" s="19"/>
      <c r="M68" s="19"/>
      <c r="N68" s="19"/>
      <c r="O68" s="19"/>
      <c r="P68" s="19"/>
      <c r="Q68" s="19"/>
    </row>
    <row r="69" spans="1:18" x14ac:dyDescent="0.3">
      <c r="A69" s="1325"/>
      <c r="B69" s="1325"/>
      <c r="C69" s="1325"/>
      <c r="D69" s="1325"/>
      <c r="E69" s="1325"/>
      <c r="F69" s="1325"/>
      <c r="G69" s="1325"/>
      <c r="H69" s="1325"/>
      <c r="I69" s="1325"/>
      <c r="J69" s="1325"/>
      <c r="K69" s="1325"/>
      <c r="L69" s="1325"/>
      <c r="M69" s="1325"/>
      <c r="N69" s="1325"/>
      <c r="O69" s="1325"/>
      <c r="P69" s="1325"/>
      <c r="Q69" s="1325"/>
      <c r="R69" s="1325"/>
    </row>
    <row r="70" spans="1:18" x14ac:dyDescent="0.3">
      <c r="A70" s="1325"/>
      <c r="B70" s="1325"/>
      <c r="C70" s="1325"/>
      <c r="D70" s="1325"/>
      <c r="E70" s="1325"/>
      <c r="F70" s="1325"/>
      <c r="G70" s="1325"/>
      <c r="H70" s="1325"/>
      <c r="I70" s="1325"/>
      <c r="J70" s="1325"/>
      <c r="K70" s="1325"/>
      <c r="L70" s="1325"/>
      <c r="M70" s="1325"/>
      <c r="N70" s="1325"/>
      <c r="O70" s="1325"/>
      <c r="P70" s="1325"/>
      <c r="Q70" s="1325"/>
      <c r="R70" s="1325"/>
    </row>
    <row r="71" spans="1:18" x14ac:dyDescent="0.3">
      <c r="A71" s="1325"/>
      <c r="B71" s="1325"/>
      <c r="C71" s="1325"/>
      <c r="D71" s="1325"/>
      <c r="E71" s="1325"/>
      <c r="F71" s="1325"/>
      <c r="G71" s="1325"/>
      <c r="H71" s="1325"/>
      <c r="I71" s="1325"/>
      <c r="J71" s="1325"/>
      <c r="K71" s="1325"/>
      <c r="L71" s="1325"/>
      <c r="M71" s="1325"/>
      <c r="N71" s="1325"/>
      <c r="O71" s="1325"/>
      <c r="P71" s="1325"/>
      <c r="Q71" s="1325"/>
      <c r="R71" s="1325"/>
    </row>
    <row r="72" spans="1:18" x14ac:dyDescent="0.3">
      <c r="A72" s="1325"/>
      <c r="B72" s="1325"/>
      <c r="C72" s="1325"/>
      <c r="D72" s="1325"/>
      <c r="E72" s="1325"/>
      <c r="F72" s="1325"/>
      <c r="G72" s="1325"/>
      <c r="H72" s="1325"/>
      <c r="I72" s="1325"/>
      <c r="J72" s="1325"/>
      <c r="K72" s="1325"/>
      <c r="L72" s="1325"/>
      <c r="M72" s="1325"/>
      <c r="N72" s="1325"/>
      <c r="O72" s="1325"/>
      <c r="P72" s="1325"/>
      <c r="Q72" s="1325"/>
      <c r="R72" s="1325"/>
    </row>
    <row r="73" spans="1:18" ht="9" hidden="1" customHeight="1" x14ac:dyDescent="0.3">
      <c r="A73" s="47"/>
      <c r="M73" s="36"/>
      <c r="N73" s="36"/>
      <c r="O73" s="36"/>
      <c r="P73" s="36"/>
      <c r="Q73" s="36"/>
      <c r="R73" s="1046"/>
    </row>
    <row r="74" spans="1:18" hidden="1" x14ac:dyDescent="0.3">
      <c r="K74" s="644"/>
      <c r="L74" s="644"/>
      <c r="M74" s="731"/>
      <c r="N74" s="731"/>
      <c r="O74" s="731"/>
      <c r="P74" s="731"/>
      <c r="Q74" s="1046"/>
      <c r="R74" s="644"/>
    </row>
    <row r="75" spans="1:18" hidden="1" x14ac:dyDescent="0.3">
      <c r="K75" s="644"/>
      <c r="L75" s="644"/>
      <c r="M75" s="1046"/>
      <c r="N75" s="47"/>
      <c r="O75" s="47" t="str">
        <f>IF(AND(J8&lt;&gt;"",Q75&gt;=1),"E","")</f>
        <v/>
      </c>
      <c r="P75" s="47"/>
      <c r="Q75" s="1046"/>
      <c r="R75" s="644"/>
    </row>
    <row r="76" spans="1:18" ht="6.6" customHeight="1" x14ac:dyDescent="0.3">
      <c r="A76" s="1482" t="str">
        <f ca="1">REPLACE(CELL("filename",A76),1,FIND("]",CELL("filename",A76)),"")</f>
        <v>Inv. Purchase or Refi</v>
      </c>
      <c r="B76" s="1482"/>
      <c r="C76" s="1482"/>
      <c r="D76" s="1482"/>
      <c r="K76" s="644"/>
      <c r="L76" s="644"/>
      <c r="M76" s="732"/>
    </row>
    <row r="77" spans="1:18" ht="15.6" x14ac:dyDescent="0.3">
      <c r="A77" s="219"/>
      <c r="B77" s="219"/>
      <c r="C77" s="219"/>
      <c r="D77" s="219"/>
      <c r="K77" s="644"/>
      <c r="L77" s="644"/>
      <c r="M77" s="732"/>
      <c r="N77" s="1075"/>
      <c r="O77" s="1075"/>
      <c r="P77" s="1075"/>
      <c r="Q77" s="1075"/>
      <c r="R77" s="1075"/>
    </row>
    <row r="78" spans="1:18" ht="15.6" x14ac:dyDescent="0.3">
      <c r="A78" s="219"/>
      <c r="B78" s="219"/>
      <c r="C78" s="219"/>
      <c r="D78" s="219"/>
      <c r="K78" s="644"/>
      <c r="L78" s="644"/>
      <c r="M78" s="732"/>
      <c r="N78" s="1075"/>
      <c r="O78" s="1075"/>
      <c r="P78" s="1075"/>
      <c r="Q78" s="1075"/>
      <c r="R78" s="1075"/>
    </row>
    <row r="79" spans="1:18" ht="12" customHeight="1" x14ac:dyDescent="0.3">
      <c r="A79" s="219"/>
      <c r="B79" s="219"/>
      <c r="C79" s="219"/>
      <c r="D79" s="219"/>
      <c r="K79" s="644"/>
      <c r="L79" s="644"/>
      <c r="M79" s="732"/>
      <c r="N79" s="2223" t="str">
        <f>Version</f>
        <v>Version 2026.1</v>
      </c>
      <c r="O79" s="2223"/>
      <c r="P79" s="2223"/>
      <c r="Q79" s="2223"/>
      <c r="R79" s="2223"/>
    </row>
    <row r="80" spans="1:18" ht="20.25" customHeight="1" x14ac:dyDescent="0.3"/>
    <row r="81" spans="1:18" ht="30.75" customHeight="1" x14ac:dyDescent="0.5">
      <c r="A81" s="1321" t="s">
        <v>1046</v>
      </c>
      <c r="B81" s="1321"/>
      <c r="C81" s="1321"/>
      <c r="D81" s="1321"/>
      <c r="E81" s="1321"/>
      <c r="F81" s="1321"/>
      <c r="G81" s="1321"/>
      <c r="H81" s="1321"/>
      <c r="I81" s="1321"/>
      <c r="J81" s="1321"/>
      <c r="K81" s="1321"/>
      <c r="L81" s="1321"/>
      <c r="M81" s="1321"/>
      <c r="N81" s="1321"/>
      <c r="O81" s="1321"/>
      <c r="P81" s="1321"/>
      <c r="Q81" s="1321"/>
      <c r="R81" s="1321"/>
    </row>
    <row r="82" spans="1:18" ht="27.75" customHeight="1" x14ac:dyDescent="0.45">
      <c r="A82" s="1409"/>
      <c r="B82" s="1409"/>
      <c r="C82" s="1409"/>
      <c r="D82" s="1409"/>
      <c r="E82" s="1409"/>
      <c r="F82" s="1409"/>
      <c r="G82" s="1409"/>
      <c r="H82" s="1409"/>
      <c r="I82" s="1409"/>
      <c r="J82" s="1409"/>
      <c r="K82" s="1409"/>
      <c r="L82" s="1409"/>
      <c r="M82" s="1409"/>
      <c r="N82" s="1409"/>
      <c r="O82" s="1409"/>
      <c r="P82" s="1409"/>
      <c r="Q82" s="1409"/>
      <c r="R82" s="1409"/>
    </row>
    <row r="83" spans="1:18" ht="15" customHeight="1" x14ac:dyDescent="0.45">
      <c r="A83" s="132"/>
      <c r="B83" s="132"/>
      <c r="C83" s="132"/>
      <c r="D83" s="132"/>
      <c r="E83" s="132"/>
      <c r="F83" s="132"/>
      <c r="G83" s="132"/>
      <c r="H83" s="132"/>
      <c r="I83" s="132"/>
      <c r="J83" s="132"/>
      <c r="K83" s="132"/>
      <c r="L83" s="132"/>
      <c r="M83" s="132"/>
      <c r="N83" s="132"/>
      <c r="O83" s="132"/>
      <c r="P83" s="132"/>
      <c r="Q83" s="132"/>
      <c r="R83" s="132"/>
    </row>
    <row r="84" spans="1:18" ht="15" customHeight="1" x14ac:dyDescent="0.45">
      <c r="A84" s="132"/>
      <c r="B84" s="132"/>
      <c r="C84" s="132"/>
      <c r="D84" s="132"/>
      <c r="E84" s="132"/>
      <c r="F84" s="132"/>
      <c r="G84" s="132"/>
      <c r="H84" s="132"/>
      <c r="I84" s="132"/>
      <c r="J84" s="132"/>
      <c r="K84" s="132"/>
      <c r="L84" s="132"/>
      <c r="M84" s="132"/>
      <c r="N84" s="132"/>
      <c r="O84" s="132"/>
      <c r="P84" s="132"/>
      <c r="Q84" s="132"/>
      <c r="R84" s="132"/>
    </row>
    <row r="85" spans="1:18" ht="15" customHeight="1" x14ac:dyDescent="0.3">
      <c r="A85" s="1324" t="s">
        <v>223</v>
      </c>
      <c r="B85" s="1324"/>
      <c r="C85" s="1324"/>
      <c r="D85" s="1324"/>
      <c r="E85" s="1324"/>
      <c r="F85" s="1324"/>
      <c r="G85" s="1324"/>
      <c r="H85" s="1324"/>
      <c r="I85" s="1324"/>
      <c r="J85" s="1324"/>
      <c r="K85" s="1324"/>
      <c r="L85" s="1324"/>
      <c r="M85" s="1324"/>
      <c r="N85" s="1324"/>
      <c r="O85" s="1324"/>
      <c r="P85" s="1324"/>
      <c r="Q85" s="1324"/>
      <c r="R85" s="1324"/>
    </row>
    <row r="86" spans="1:18" ht="9" customHeight="1" x14ac:dyDescent="0.3">
      <c r="A86" s="196"/>
      <c r="B86" s="196"/>
      <c r="C86" s="196"/>
      <c r="D86" s="196"/>
      <c r="E86" s="196"/>
      <c r="F86" s="196"/>
      <c r="G86" s="196"/>
      <c r="H86" s="196"/>
      <c r="I86" s="196"/>
      <c r="J86" s="196"/>
      <c r="K86" s="196"/>
      <c r="L86" s="196"/>
      <c r="M86" s="196"/>
      <c r="N86" s="196"/>
      <c r="O86" s="196"/>
      <c r="P86" s="196"/>
      <c r="Q86" s="196"/>
      <c r="R86" s="196"/>
    </row>
    <row r="87" spans="1:18" x14ac:dyDescent="0.3">
      <c r="A87" s="1791" t="s">
        <v>241</v>
      </c>
      <c r="B87" s="1791"/>
      <c r="C87" s="1791"/>
      <c r="D87" s="1791"/>
      <c r="E87" s="1791"/>
      <c r="F87" s="1791"/>
      <c r="G87" s="1791"/>
      <c r="H87" s="1791"/>
      <c r="I87" s="1791"/>
      <c r="J87" s="1791"/>
      <c r="K87" s="1791"/>
      <c r="L87" s="1791"/>
      <c r="M87" s="1791"/>
      <c r="N87" s="1791"/>
      <c r="O87" s="1791"/>
      <c r="P87" s="1791"/>
      <c r="Q87" s="1791"/>
      <c r="R87" s="1791"/>
    </row>
    <row r="88" spans="1:18" x14ac:dyDescent="0.3">
      <c r="A88" s="1791" t="s">
        <v>258</v>
      </c>
      <c r="B88" s="1791"/>
      <c r="C88" s="1791"/>
      <c r="D88" s="1791"/>
      <c r="E88" s="1791"/>
      <c r="F88" s="1791"/>
      <c r="G88" s="1791"/>
      <c r="H88" s="1791"/>
      <c r="I88" s="1791"/>
      <c r="J88" s="1791"/>
      <c r="K88" s="1791"/>
      <c r="L88" s="1791"/>
      <c r="M88" s="1791"/>
      <c r="N88" s="1791"/>
      <c r="O88" s="1791"/>
      <c r="P88" s="1791"/>
      <c r="Q88" s="1791"/>
      <c r="R88" s="1791"/>
    </row>
    <row r="89" spans="1:18" x14ac:dyDescent="0.3">
      <c r="A89" s="1791" t="s">
        <v>249</v>
      </c>
      <c r="B89" s="1791"/>
      <c r="C89" s="1791"/>
      <c r="D89" s="1791"/>
      <c r="E89" s="1791"/>
      <c r="F89" s="1791"/>
      <c r="G89" s="1791"/>
      <c r="H89" s="1791"/>
      <c r="I89" s="1791"/>
      <c r="J89" s="1791"/>
      <c r="K89" s="1791"/>
      <c r="L89" s="1791"/>
      <c r="M89" s="1791"/>
      <c r="N89" s="1791"/>
      <c r="O89" s="1791"/>
      <c r="P89" s="1791"/>
      <c r="Q89" s="1791"/>
      <c r="R89" s="1791"/>
    </row>
    <row r="90" spans="1:18" ht="9" customHeight="1" x14ac:dyDescent="0.3">
      <c r="A90" s="29"/>
      <c r="B90" s="29"/>
      <c r="C90" s="29"/>
      <c r="D90" s="29"/>
      <c r="E90" s="29"/>
      <c r="F90" s="29"/>
      <c r="G90" s="29"/>
      <c r="H90" s="29"/>
      <c r="I90" s="29"/>
      <c r="J90" s="29"/>
      <c r="K90" s="29"/>
      <c r="L90" s="29"/>
      <c r="M90" s="29"/>
      <c r="N90" s="29"/>
      <c r="O90" s="29"/>
      <c r="P90" s="29"/>
    </row>
    <row r="91" spans="1:18" x14ac:dyDescent="0.3">
      <c r="A91" s="1903" t="s">
        <v>292</v>
      </c>
      <c r="B91" s="1903"/>
      <c r="C91" s="1903"/>
      <c r="D91" s="1903"/>
      <c r="E91" s="1903"/>
      <c r="F91" s="1903"/>
      <c r="G91" s="1903"/>
      <c r="H91" s="1903"/>
      <c r="I91" s="1903"/>
      <c r="J91" s="1903"/>
      <c r="K91" s="1903"/>
      <c r="L91" s="1903"/>
      <c r="M91" s="1903"/>
      <c r="N91" s="1903"/>
      <c r="O91" s="1903"/>
      <c r="P91" s="1903"/>
      <c r="Q91" s="1903"/>
    </row>
    <row r="92" spans="1:18" x14ac:dyDescent="0.3">
      <c r="A92" s="1903" t="s">
        <v>293</v>
      </c>
      <c r="B92" s="1903"/>
      <c r="C92" s="1903"/>
      <c r="D92" s="1903"/>
      <c r="E92" s="1903"/>
      <c r="F92" s="1903"/>
      <c r="G92" s="1903"/>
      <c r="H92" s="1903"/>
      <c r="I92" s="1903"/>
      <c r="J92" s="1903"/>
      <c r="K92" s="1903"/>
      <c r="L92" s="1903"/>
      <c r="M92" s="1903"/>
      <c r="N92" s="1903"/>
      <c r="O92" s="1903"/>
      <c r="P92" s="1903"/>
      <c r="Q92" s="1903"/>
      <c r="R92" s="1903"/>
    </row>
    <row r="93" spans="1:18" ht="9.6" customHeight="1" x14ac:dyDescent="0.3">
      <c r="A93" s="29"/>
      <c r="B93" s="29"/>
      <c r="C93" s="29"/>
      <c r="D93" s="29"/>
      <c r="E93" s="29"/>
      <c r="F93" s="29"/>
      <c r="G93" s="29"/>
      <c r="H93" s="29"/>
      <c r="I93" s="29"/>
      <c r="J93" s="29"/>
      <c r="K93" s="29"/>
      <c r="L93" s="29"/>
      <c r="M93" s="29"/>
      <c r="N93" s="29"/>
      <c r="O93" s="29"/>
      <c r="P93" s="29"/>
      <c r="Q93" s="29"/>
      <c r="R93" s="29"/>
    </row>
    <row r="94" spans="1:18" x14ac:dyDescent="0.3">
      <c r="A94" s="29"/>
      <c r="B94" s="29"/>
      <c r="C94" s="29"/>
      <c r="D94" s="29"/>
      <c r="E94" s="29"/>
      <c r="F94" s="29"/>
      <c r="G94" s="29"/>
      <c r="H94" s="29"/>
      <c r="I94" s="29"/>
      <c r="J94" s="29"/>
      <c r="K94" s="29"/>
      <c r="L94" s="29"/>
      <c r="M94" s="29"/>
      <c r="N94" s="29"/>
      <c r="O94" s="29"/>
      <c r="P94" s="29"/>
      <c r="Q94" s="29"/>
      <c r="R94" s="29"/>
    </row>
    <row r="95" spans="1:18" x14ac:dyDescent="0.3">
      <c r="A95" s="29"/>
      <c r="B95" s="29"/>
      <c r="C95" s="29"/>
      <c r="D95" s="29"/>
      <c r="E95" s="29"/>
      <c r="F95" s="29"/>
      <c r="G95" s="29"/>
      <c r="H95" s="29"/>
      <c r="I95" s="29"/>
      <c r="J95" s="29"/>
      <c r="K95" s="29"/>
      <c r="L95" s="29"/>
      <c r="M95" s="29"/>
      <c r="N95" s="29"/>
      <c r="O95" s="29"/>
      <c r="P95" s="29"/>
      <c r="Q95" s="29"/>
      <c r="R95" s="29"/>
    </row>
    <row r="96" spans="1:18" ht="9.6" customHeight="1" x14ac:dyDescent="0.3">
      <c r="A96" s="29"/>
      <c r="B96" s="29"/>
      <c r="C96" s="29"/>
      <c r="D96" s="29"/>
      <c r="E96" s="29"/>
      <c r="F96" s="29"/>
      <c r="G96" s="29"/>
      <c r="H96" s="29"/>
      <c r="I96" s="29"/>
      <c r="J96" s="29"/>
      <c r="K96" s="29"/>
      <c r="L96" s="29"/>
      <c r="M96" s="29"/>
      <c r="N96" s="29"/>
      <c r="O96" s="29"/>
      <c r="P96" s="29"/>
      <c r="Q96" s="29"/>
      <c r="R96" s="29"/>
    </row>
    <row r="97" spans="1:18" x14ac:dyDescent="0.3">
      <c r="A97" s="29"/>
      <c r="B97" s="29"/>
      <c r="C97" s="29"/>
      <c r="D97" s="29"/>
      <c r="E97" s="29"/>
      <c r="F97" s="29"/>
      <c r="G97" s="29"/>
      <c r="H97" s="29"/>
      <c r="I97" s="29"/>
      <c r="J97" s="29"/>
      <c r="K97" s="29"/>
      <c r="L97" s="29"/>
      <c r="M97" s="29"/>
      <c r="N97" s="29"/>
      <c r="O97" s="29"/>
      <c r="P97" s="29"/>
      <c r="Q97" s="29"/>
      <c r="R97" s="29"/>
    </row>
    <row r="100" spans="1:18" ht="56.25" customHeight="1" x14ac:dyDescent="0.3">
      <c r="A100" s="1948" t="str">
        <f>IF(J27&lt;N27,A101,IF(J27=N27,A103,A102))</f>
        <v>Caution: Rental income increased but  is being excluded and/or the number of months reviewed is other than .  Generally when income increases  should be included and a  month average of this income should be used.  Review above and correct to clear the alert or explain the justification in your notes below for not including  and/or using other than  month reviewed.</v>
      </c>
      <c r="B100" s="1948"/>
      <c r="C100" s="1948"/>
      <c r="D100" s="1948"/>
      <c r="E100" s="1948"/>
      <c r="F100" s="1948"/>
      <c r="G100" s="1948"/>
      <c r="H100" s="1948"/>
      <c r="I100" s="1948"/>
      <c r="J100" s="1948"/>
      <c r="K100" s="1948"/>
      <c r="L100" s="1948"/>
      <c r="M100" s="1948"/>
      <c r="N100" s="1948"/>
      <c r="O100" s="1948"/>
      <c r="P100" s="1948"/>
      <c r="Q100" s="1948"/>
    </row>
    <row r="101" spans="1:18" ht="15" customHeight="1" x14ac:dyDescent="0.3">
      <c r="A101" s="217" t="str">
        <f>CONCATENATE("Caution: Declining rental income is detected and ",K73, " is not being excluded and/or the number of months reviewed is greater than 12.  Generally with declining income ",K73, " should be excluded and the number of months reviewed should be 12.  Review above and correct to clear the alert or explain the justification in your notes below for not excluding ",K73, " and/or using more than 12 months reviewed.")</f>
        <v>Caution: Declining rental income is detected and  is not being excluded and/or the number of months reviewed is greater than 12.  Generally with declining income  should be excluded and the number of months reviewed should be 12.  Review above and correct to clear the alert or explain the justification in your notes below for not excluding  and/or using more than 12 months reviewed.</v>
      </c>
      <c r="B101" s="217" t="str">
        <f>CONCATENATE("Caution: Rental income increased but ", N27, " is being excluded and/or the number of months reviewed is less than 24.  Generally when income increases ", N27, " should be included and a 24 month average of this income should be used.  Review above and correct to clear the alert or explain the justification in your notes below for not including ", N27, " and/or using less than 24 month reviewed.")</f>
        <v>Caution: Rental income increased but 2024 is being excluded and/or the number of months reviewed is less than 24.  Generally when income increases 2024 should be included and a 24 month average of this income should be used.  Review above and correct to clear the alert or explain the justification in your notes below for not including 2024 and/or using less than 24 month reviewed.</v>
      </c>
    </row>
    <row r="102" spans="1:18" ht="13.2" customHeight="1" x14ac:dyDescent="0.3">
      <c r="A102" s="217" t="str">
        <f>CONCATENATE("Caution: Rental income increased but ",K73, " is being excluded and/or the number of months reviewed is other than ",E95,".  Generally when income increases ",K73, " should be included and a ",E95," month average of this income should be used.  Review above and correct to clear the alert or explain the justification in your notes below for not including ",K73, " and/or using other than ",E95," month reviewed.")</f>
        <v>Caution: Rental income increased but  is being excluded and/or the number of months reviewed is other than .  Generally when income increases  should be included and a  month average of this income should be used.  Review above and correct to clear the alert or explain the justification in your notes below for not including  and/or using other than  month reviewed.</v>
      </c>
    </row>
    <row r="103" spans="1:18" ht="13.8" customHeight="1" x14ac:dyDescent="0.3">
      <c r="A103" s="411" t="str">
        <f>CONCATENATE("Caution: Rental income stable but ",K73, " is being excluded and/or the number of months reviewed is less than ",E95,".  Generally when income is stable ",K73, " should be included and a ",E95," month average of this income should be used, or you must omit the priot year to average over 12 months.  Review above and correct to clear the alert or explain in your notes.")</f>
        <v>Caution: Rental income stable but  is being excluded and/or the number of months reviewed is less than .  Generally when income is stable  should be included and a  month average of this income should be used, or you must omit the priot year to average over 12 months.  Review above and correct to clear the alert or explain in your notes.</v>
      </c>
    </row>
  </sheetData>
  <sheetProtection algorithmName="SHA-512" hashValue="I0L65UVPNiOPE5FhJ31/8CWhkYNyvU+fqoEJRhP0B7zcZfRJU7d+3SoatAHgos7nQbaV7NKtkQIEjoFtJ6Y0Lw==" saltValue="AdIM/gCIyKVxrJRyIv/LhQ==" spinCount="100000" sheet="1" objects="1" scenarios="1" selectLockedCells="1"/>
  <mergeCells count="123">
    <mergeCell ref="J30:K30"/>
    <mergeCell ref="N30:Q30"/>
    <mergeCell ref="B31:H31"/>
    <mergeCell ref="J31:K31"/>
    <mergeCell ref="E27:I27"/>
    <mergeCell ref="J27:K27"/>
    <mergeCell ref="B30:H30"/>
    <mergeCell ref="J28:K28"/>
    <mergeCell ref="N28:Q28"/>
    <mergeCell ref="B29:H29"/>
    <mergeCell ref="E35:H35"/>
    <mergeCell ref="B35:D35"/>
    <mergeCell ref="B33:H33"/>
    <mergeCell ref="J33:K33"/>
    <mergeCell ref="N33:Q33"/>
    <mergeCell ref="J34:K34"/>
    <mergeCell ref="N34:Q34"/>
    <mergeCell ref="K48:M48"/>
    <mergeCell ref="N48:R50"/>
    <mergeCell ref="C49:M50"/>
    <mergeCell ref="J35:K35"/>
    <mergeCell ref="N35:Q35"/>
    <mergeCell ref="I43:M47"/>
    <mergeCell ref="B34:H34"/>
    <mergeCell ref="N43:R47"/>
    <mergeCell ref="B44:H44"/>
    <mergeCell ref="B45:C45"/>
    <mergeCell ref="L11:M11"/>
    <mergeCell ref="D13:K14"/>
    <mergeCell ref="L13:M13"/>
    <mergeCell ref="A85:R85"/>
    <mergeCell ref="A87:R87"/>
    <mergeCell ref="A88:R88"/>
    <mergeCell ref="A89:R89"/>
    <mergeCell ref="A51:Q51"/>
    <mergeCell ref="A52:E52"/>
    <mergeCell ref="F52:R52"/>
    <mergeCell ref="B53:J53"/>
    <mergeCell ref="L53:N53"/>
    <mergeCell ref="A76:D76"/>
    <mergeCell ref="C55:J55"/>
    <mergeCell ref="B63:O64"/>
    <mergeCell ref="L54:N54"/>
    <mergeCell ref="L55:N55"/>
    <mergeCell ref="L56:N56"/>
    <mergeCell ref="L57:N57"/>
    <mergeCell ref="H22:I23"/>
    <mergeCell ref="J22:K23"/>
    <mergeCell ref="E24:Q24"/>
    <mergeCell ref="C22:D24"/>
    <mergeCell ref="N27:Q27"/>
    <mergeCell ref="A82:R82"/>
    <mergeCell ref="B36:H36"/>
    <mergeCell ref="J36:K36"/>
    <mergeCell ref="N36:Q36"/>
    <mergeCell ref="G37:I37"/>
    <mergeCell ref="J37:K37"/>
    <mergeCell ref="N37:Q37"/>
    <mergeCell ref="F22:F23"/>
    <mergeCell ref="C19:D19"/>
    <mergeCell ref="H20:I20"/>
    <mergeCell ref="J29:K29"/>
    <mergeCell ref="O21:R23"/>
    <mergeCell ref="B32:H32"/>
    <mergeCell ref="J32:K32"/>
    <mergeCell ref="N32:Q32"/>
    <mergeCell ref="B28:H28"/>
    <mergeCell ref="C21:D21"/>
    <mergeCell ref="H21:I21"/>
    <mergeCell ref="J21:K21"/>
    <mergeCell ref="M21:N23"/>
    <mergeCell ref="L59:N59"/>
    <mergeCell ref="B48:I48"/>
    <mergeCell ref="A59:E59"/>
    <mergeCell ref="C58:J58"/>
    <mergeCell ref="A92:R92"/>
    <mergeCell ref="A100:Q100"/>
    <mergeCell ref="A91:Q91"/>
    <mergeCell ref="C38:J38"/>
    <mergeCell ref="K38:N38"/>
    <mergeCell ref="B40:H40"/>
    <mergeCell ref="K40:M40"/>
    <mergeCell ref="A69:R72"/>
    <mergeCell ref="A68:E68"/>
    <mergeCell ref="B61:O61"/>
    <mergeCell ref="B62:O62"/>
    <mergeCell ref="B65:O65"/>
    <mergeCell ref="B66:O66"/>
    <mergeCell ref="N79:R79"/>
    <mergeCell ref="B47:C47"/>
    <mergeCell ref="G47:H47"/>
    <mergeCell ref="B42:E42"/>
    <mergeCell ref="C56:J56"/>
    <mergeCell ref="B57:J57"/>
    <mergeCell ref="C54:J54"/>
    <mergeCell ref="G45:H45"/>
    <mergeCell ref="B46:C46"/>
    <mergeCell ref="G46:H46"/>
    <mergeCell ref="A81:R81"/>
    <mergeCell ref="E1:L1"/>
    <mergeCell ref="Q11:R11"/>
    <mergeCell ref="J5:Q6"/>
    <mergeCell ref="J4:Q4"/>
    <mergeCell ref="A2:R2"/>
    <mergeCell ref="J8:Q8"/>
    <mergeCell ref="N31:Q31"/>
    <mergeCell ref="N29:Q29"/>
    <mergeCell ref="A27:D27"/>
    <mergeCell ref="A7:C7"/>
    <mergeCell ref="D7:H7"/>
    <mergeCell ref="J7:K7"/>
    <mergeCell ref="N7:Q7"/>
    <mergeCell ref="A3:Q3"/>
    <mergeCell ref="A16:M16"/>
    <mergeCell ref="A17:R17"/>
    <mergeCell ref="E19:N19"/>
    <mergeCell ref="A13:C14"/>
    <mergeCell ref="B15:Q15"/>
    <mergeCell ref="N10:O12"/>
    <mergeCell ref="J9:L9"/>
    <mergeCell ref="M9:O9"/>
    <mergeCell ref="A11:C11"/>
    <mergeCell ref="D11:K11"/>
  </mergeCells>
  <conditionalFormatting sqref="J30:L30">
    <cfRule type="expression" dxfId="275" priority="85">
      <formula>$J$30&lt;&gt;0</formula>
    </cfRule>
  </conditionalFormatting>
  <conditionalFormatting sqref="N30:Q30">
    <cfRule type="expression" dxfId="274" priority="84">
      <formula>$N$30&lt;&gt;0</formula>
    </cfRule>
  </conditionalFormatting>
  <conditionalFormatting sqref="M30">
    <cfRule type="expression" dxfId="273" priority="83">
      <formula>$J$30&lt;&gt;0</formula>
    </cfRule>
  </conditionalFormatting>
  <conditionalFormatting sqref="R30">
    <cfRule type="expression" dxfId="272" priority="82">
      <formula>$N$30&lt;&gt;0</formula>
    </cfRule>
  </conditionalFormatting>
  <conditionalFormatting sqref="A27:D27">
    <cfRule type="expression" dxfId="271" priority="79">
      <formula>AND($M$75=1,$N$75=2)</formula>
    </cfRule>
  </conditionalFormatting>
  <conditionalFormatting sqref="B65 B63">
    <cfRule type="expression" dxfId="270" priority="75">
      <formula>$M$75=""</formula>
    </cfRule>
  </conditionalFormatting>
  <conditionalFormatting sqref="N48:R50">
    <cfRule type="expression" dxfId="269" priority="72">
      <formula>AND($M$75=1,$Q$75=2)</formula>
    </cfRule>
  </conditionalFormatting>
  <conditionalFormatting sqref="A87:A89">
    <cfRule type="expression" dxfId="268" priority="71">
      <formula>OR($J$30&lt;&gt;0,$N$30&lt;&gt;0)</formula>
    </cfRule>
  </conditionalFormatting>
  <conditionalFormatting sqref="K48:M48">
    <cfRule type="expression" dxfId="267" priority="11">
      <formula>AND($E$1&lt;&gt;"",$K$48&gt;0)</formula>
    </cfRule>
    <cfRule type="expression" dxfId="266" priority="86">
      <formula>AND($K$48&gt;0,$Q$75=1)</formula>
    </cfRule>
    <cfRule type="expression" dxfId="265" priority="87">
      <formula>AND($M$75=1)</formula>
    </cfRule>
  </conditionalFormatting>
  <conditionalFormatting sqref="J21:L21">
    <cfRule type="expression" dxfId="264" priority="88">
      <formula>AND($M$75=1,$N$75=2)</formula>
    </cfRule>
    <cfRule type="expression" dxfId="263" priority="89">
      <formula>AND($H$20&gt;0,$Q$75=2)</formula>
    </cfRule>
  </conditionalFormatting>
  <conditionalFormatting sqref="R51">
    <cfRule type="expression" dxfId="262" priority="70">
      <formula>$M$75&lt;&gt;1</formula>
    </cfRule>
  </conditionalFormatting>
  <conditionalFormatting sqref="A17:R17">
    <cfRule type="expression" dxfId="261" priority="69">
      <formula>AND($Q$75=1,$N$75=3)</formula>
    </cfRule>
  </conditionalFormatting>
  <conditionalFormatting sqref="B21 B19:P19">
    <cfRule type="expression" dxfId="260" priority="68">
      <formula>$M$76=2</formula>
    </cfRule>
  </conditionalFormatting>
  <conditionalFormatting sqref="C19:D19">
    <cfRule type="expression" dxfId="259" priority="67">
      <formula>$M$76&lt;&gt;2</formula>
    </cfRule>
  </conditionalFormatting>
  <conditionalFormatting sqref="C49:M50">
    <cfRule type="expression" dxfId="258" priority="92">
      <formula>AND($Q$75=2,$K$48&gt;$H$20,$H$20&gt;0)</formula>
    </cfRule>
  </conditionalFormatting>
  <conditionalFormatting sqref="A100:Q100">
    <cfRule type="expression" dxfId="257" priority="95">
      <formula>OR(AND($J$37&lt;&gt;0,$N$37&lt;&gt;0,$J$37&lt;$N$37,$Q$74=FALSE,$F$42&gt;0), AND($J$37&lt;&gt;0,$N$37&lt;&gt;0,$J$37&lt;$N$37,$Q$74=TRUE,$F$42&gt;12),AND($J$37&lt;&gt;0,$N$27&lt;&gt;0,$J$37&lt;$N$37,$F$42&gt;12),AND($J$37&lt;&gt;0,$N$37&lt;&gt;0,$J$37&gt;$N$37,$F$42&lt;&gt;$G$46,$F$42&lt;&gt;""),AND($J$37&lt;&gt;0,$N$37&lt;&gt;0,$N$37=$J$37,$F$42&gt;12,$F$42&lt;&gt;"",$Q$74=TRUE),AND($J$37&lt;&gt;0,$N$37&lt;&gt;0,$N$37=$J$37,$F$42&lt;&gt;$G$46,$F$42&lt;&gt;"",$Q$74=FALSE),AND($J$37&lt;&gt;0,$N$37&lt;&gt;0,$J$37&gt;$N$37,$Q$74=TRUE),AND($J$37&lt;&gt;0,$N$37&lt;&gt;$J$37&lt;$N$37,$F$42&lt;&gt;"",$Q$74=FALSE),AND($J$37&lt;&gt;0,$N$37&lt;&gt;0,$J$37=$N$37,$F$42=12,$F$42&lt;&gt;"",$Q$74=FALSE),AND($J$37&lt;&gt;0,$N$37&lt;&gt;0,$J$37=$N$37,$F$42=$G$46,$F$42&lt;&gt;"",$F$42&lt;&gt;12,$Q$74=TRUE),AND($J$37&lt;&gt;0,$N$37&lt;&gt;0,$J$37&lt;$N$37,$F$42&lt;&gt;"",$Q$74&lt;&gt;TRUE))</formula>
    </cfRule>
  </conditionalFormatting>
  <conditionalFormatting sqref="B46:C46">
    <cfRule type="expression" dxfId="256" priority="66">
      <formula>AND($B$46="",$D$46&lt;&gt;"")</formula>
    </cfRule>
  </conditionalFormatting>
  <conditionalFormatting sqref="D46">
    <cfRule type="expression" dxfId="255" priority="65">
      <formula>AND($D$46="",$B$46&lt;&gt;"")</formula>
    </cfRule>
  </conditionalFormatting>
  <conditionalFormatting sqref="E46">
    <cfRule type="expression" dxfId="254" priority="64">
      <formula>AND($E$46="",$F$46&lt;&gt;"")</formula>
    </cfRule>
  </conditionalFormatting>
  <conditionalFormatting sqref="F46">
    <cfRule type="expression" dxfId="253" priority="63">
      <formula>AND($F$46="",$E$46&lt;&gt;"")</formula>
    </cfRule>
  </conditionalFormatting>
  <conditionalFormatting sqref="B38">
    <cfRule type="expression" dxfId="252" priority="30">
      <formula>$R$73-TRUE</formula>
    </cfRule>
    <cfRule type="expression" dxfId="251" priority="60">
      <formula>AND($J$37&lt;&gt;0,$N$37&lt;&gt;0,$J$37=$N$37,$F$42=$G$46,$F$42&lt;&gt;"",$F$42&lt;&gt;12,$Q$74=TRUE)</formula>
    </cfRule>
    <cfRule type="expression" dxfId="250" priority="61">
      <formula>OR(AND($J$37&lt;&gt;0,$N$37&lt;&gt;0,$J$37&gt;$N$37,$Q$74=TRUE),AND($J$37&lt;&gt;0,$N$37&lt;&gt;$J$37&lt;$N$37,$F$42&lt;&gt;"",$Q$74=FALSE),AND($J$37&lt;&gt;0,$N$37&lt;&gt;0,$J$37=$N$37,$F$42=12,$F$42&lt;&gt;"",$Q$74=FALSE),AND($J$37&lt;&gt;0,$N$37&lt;&gt;0,$J$37&lt;$N$37,$F$42&lt;&gt;"",$Q$74&lt;&gt;TRUE))</formula>
    </cfRule>
    <cfRule type="expression" dxfId="249" priority="62">
      <formula>AND($J$37&lt;&gt;0,$N$37&lt;&gt;0,$J$37&lt;$N$37)</formula>
    </cfRule>
  </conditionalFormatting>
  <conditionalFormatting sqref="F42">
    <cfRule type="expression" dxfId="248" priority="29">
      <formula>AND($R$73=TRUE,$F$42&gt;12)</formula>
    </cfRule>
    <cfRule type="expression" dxfId="247" priority="59">
      <formula>OR(AND($J$37&lt;&gt;0,$N$37&lt;&gt;0,$J$37&lt;$N$37,$F$42&gt;12),AND($J$37&lt;&gt;0,$N$37&lt;&gt;0,$J$37&gt;$N$37,$F$42&lt;&gt;$G$46,$F$42&lt;&gt;""),AND($J$37&lt;&gt;0,$N$37&lt;&gt;0,$N$37=$J$37,$F$42&gt;12,$F$42&lt;&gt;"",$Q$74=TRUE),AND($J$37&lt;&gt;0,$N$37&lt;&gt;0,$N$37=$J$37,$F$42&lt;&gt;$G$46,$F$42&lt;&gt;"",$Q$74=FALSE))</formula>
    </cfRule>
  </conditionalFormatting>
  <conditionalFormatting sqref="K38:L38">
    <cfRule type="expression" dxfId="246" priority="55">
      <formula>$N$37=0</formula>
    </cfRule>
    <cfRule type="expression" dxfId="245" priority="56">
      <formula>AND($J$37&lt;&gt;0,$N$37&lt;&gt;0,$J$37&lt;$N$37)</formula>
    </cfRule>
    <cfRule type="expression" dxfId="244" priority="57">
      <formula>AND(OR($F$42=12,$F$42=24,$F$251=0),$J$37&lt;&gt;0,$N$37&lt;&gt;0,$J$37&lt;$N$37)</formula>
    </cfRule>
  </conditionalFormatting>
  <conditionalFormatting sqref="K38:P38">
    <cfRule type="expression" dxfId="243" priority="58">
      <formula>OR(AND($J$37&lt;&gt;0,$N$37&lt;&gt;0,$J$37&lt;$N$37,$Q$74=FALSE,$F$42&gt;0), AND($J$37&lt;&gt;0,$N$37&lt;&gt;0,$J$37&lt;$N$37,$Q$74=TRUE,$F$42&gt;12))</formula>
    </cfRule>
  </conditionalFormatting>
  <conditionalFormatting sqref="G37:I37">
    <cfRule type="expression" dxfId="242" priority="54">
      <formula>OR($G$46="",$G$46=12,$G$46=24)</formula>
    </cfRule>
  </conditionalFormatting>
  <conditionalFormatting sqref="J37:L37">
    <cfRule type="expression" dxfId="241" priority="53">
      <formula>AND($F$47&lt;12,$F$47&lt;&gt;"")</formula>
    </cfRule>
  </conditionalFormatting>
  <conditionalFormatting sqref="N37:Q37">
    <cfRule type="expression" dxfId="240" priority="52">
      <formula>AND($D$47&lt;12,$D$47&lt;&gt;"")</formula>
    </cfRule>
  </conditionalFormatting>
  <conditionalFormatting sqref="N16:P16">
    <cfRule type="expression" dxfId="239" priority="50">
      <formula>AND(M76=1,M80=2)</formula>
    </cfRule>
  </conditionalFormatting>
  <conditionalFormatting sqref="M9">
    <cfRule type="expression" dxfId="238" priority="46">
      <formula>$J$9&lt;&gt;""</formula>
    </cfRule>
  </conditionalFormatting>
  <conditionalFormatting sqref="K53:K54 K56:K57">
    <cfRule type="expression" dxfId="237" priority="44">
      <formula>$M$75&lt;&gt;2</formula>
    </cfRule>
  </conditionalFormatting>
  <conditionalFormatting sqref="O53:Q57">
    <cfRule type="expression" dxfId="236" priority="43">
      <formula>$M$75=2</formula>
    </cfRule>
  </conditionalFormatting>
  <conditionalFormatting sqref="C58">
    <cfRule type="expression" dxfId="235" priority="42">
      <formula>$C$58="Enter figures here as positive numbers, not negative amounts"</formula>
    </cfRule>
  </conditionalFormatting>
  <conditionalFormatting sqref="N43:R47">
    <cfRule type="expression" dxfId="234" priority="40">
      <formula>$N$43&lt;&gt;""</formula>
    </cfRule>
  </conditionalFormatting>
  <conditionalFormatting sqref="M9:P9">
    <cfRule type="expression" dxfId="233" priority="38">
      <formula>$J$9=""</formula>
    </cfRule>
  </conditionalFormatting>
  <conditionalFormatting sqref="O21:P21">
    <cfRule type="expression" dxfId="232" priority="1662">
      <formula>$O$21&lt;&gt;""</formula>
    </cfRule>
  </conditionalFormatting>
  <conditionalFormatting sqref="J5:Q6">
    <cfRule type="expression" dxfId="231" priority="33">
      <formula>$A$76&lt;&gt;"Inv. Purchase or Refi"</formula>
    </cfRule>
  </conditionalFormatting>
  <conditionalFormatting sqref="N28:Q35 B46:D46">
    <cfRule type="expression" dxfId="230" priority="32" stopIfTrue="1">
      <formula>$R$73=TRUE</formula>
    </cfRule>
  </conditionalFormatting>
  <conditionalFormatting sqref="N27:Q27">
    <cfRule type="expression" dxfId="229" priority="31">
      <formula>$R$73=TRUE</formula>
    </cfRule>
  </conditionalFormatting>
  <conditionalFormatting sqref="L13">
    <cfRule type="expression" dxfId="228" priority="1796">
      <formula>AND(M76=1,M80=2)</formula>
    </cfRule>
  </conditionalFormatting>
  <conditionalFormatting sqref="L11:M11">
    <cfRule type="expression" dxfId="227" priority="27">
      <formula>$A$11&lt;&gt;""</formula>
    </cfRule>
  </conditionalFormatting>
  <conditionalFormatting sqref="L13:M13">
    <cfRule type="expression" dxfId="226" priority="24">
      <formula>$A$11&lt;&gt;""</formula>
    </cfRule>
  </conditionalFormatting>
  <conditionalFormatting sqref="Q11:R11">
    <cfRule type="expression" dxfId="225" priority="23">
      <formula>AND($A$11="Required:",OR($M$9="Fannie",$M$9="Freddie"),$L$11="Rents",$L$11="Rents")</formula>
    </cfRule>
  </conditionalFormatting>
  <conditionalFormatting sqref="P10:P12 Q10:R10 Q12:R12">
    <cfRule type="expression" dxfId="224" priority="22">
      <formula>AND($A$11="Required:",$M$9="Fannie",$L$11="Rents",$Q$11="")</formula>
    </cfRule>
  </conditionalFormatting>
  <conditionalFormatting sqref="N10:O12">
    <cfRule type="expression" dxfId="223" priority="21">
      <formula>AND(OR($M$9="Freddie",$M$9="Fannie"),$A$11="Required:",$L$11="Rents")</formula>
    </cfRule>
  </conditionalFormatting>
  <conditionalFormatting sqref="E1:L1">
    <cfRule type="expression" dxfId="222" priority="13">
      <formula>$E$1&lt;&gt;""</formula>
    </cfRule>
  </conditionalFormatting>
  <conditionalFormatting sqref="J21:K21">
    <cfRule type="expression" dxfId="221" priority="12">
      <formula>AND($E$1&lt;&gt;"",$J$21&gt;0)</formula>
    </cfRule>
  </conditionalFormatting>
  <conditionalFormatting sqref="J8:Q8">
    <cfRule type="expression" dxfId="220" priority="8">
      <formula>$J$8&lt;&gt;""</formula>
    </cfRule>
    <cfRule type="expression" dxfId="219" priority="10">
      <formula>AND($E$1&lt;&gt;"",$M$9&lt;&gt;"")</formula>
    </cfRule>
  </conditionalFormatting>
  <conditionalFormatting sqref="J7:Q7">
    <cfRule type="expression" dxfId="218" priority="5">
      <formula>OR($J$8="Selection above does not match I&amp;D worksheet",$J$8="Selection Needed to complete wkst")</formula>
    </cfRule>
  </conditionalFormatting>
  <conditionalFormatting sqref="Q16">
    <cfRule type="expression" dxfId="217" priority="2025">
      <formula>AND(N79=1,N80=2)</formula>
    </cfRule>
  </conditionalFormatting>
  <conditionalFormatting sqref="R15">
    <cfRule type="expression" dxfId="216" priority="2026">
      <formula>AND(N79=1,N80=2)</formula>
    </cfRule>
  </conditionalFormatting>
  <conditionalFormatting sqref="Q13:Q14">
    <cfRule type="expression" dxfId="215" priority="2027">
      <formula>AND(N79=1,N80=2)</formula>
    </cfRule>
  </conditionalFormatting>
  <conditionalFormatting sqref="B15:Q15">
    <cfRule type="expression" dxfId="214" priority="2410">
      <formula>OR($A$11="Required:",AND($J$9&lt;&gt;"",$M$9=""))</formula>
    </cfRule>
    <cfRule type="expression" dxfId="213" priority="2411">
      <formula>OR(AND($J$9&lt;&gt;"",$M$9="Other (Jumbo…)"),AND(M75=2,$M$9="Freddie"))</formula>
    </cfRule>
  </conditionalFormatting>
  <conditionalFormatting sqref="B65:O65">
    <cfRule type="expression" dxfId="212" priority="2">
      <formula>$B$65&lt;&gt;""</formula>
    </cfRule>
  </conditionalFormatting>
  <conditionalFormatting sqref="M58:N58 L59">
    <cfRule type="expression" dxfId="211" priority="2447">
      <formula>$L$59&lt;0</formula>
    </cfRule>
  </conditionalFormatting>
  <dataValidations disablePrompts="1" count="3">
    <dataValidation type="list" allowBlank="1" showInputMessage="1" showErrorMessage="1" sqref="M9:P9" xr:uid="{3582A18F-9929-448B-994C-3E051F2C55A2}">
      <formula1>"Fannie,Freddie,Other (Jumbo…)"</formula1>
    </dataValidation>
    <dataValidation type="list" allowBlank="1" showInputMessage="1" showErrorMessage="1" sqref="L13" xr:uid="{73E060E4-5163-4BAC-9814-EE22C802EFC6}">
      <formula1>"Yes, No"</formula1>
    </dataValidation>
    <dataValidation type="list" allowBlank="1" showInputMessage="1" showErrorMessage="1" sqref="L11:M11" xr:uid="{B95F489B-4681-4084-BA01-57C2540C65B4}">
      <formula1>$S$13:$S$15</formula1>
    </dataValidation>
  </dataValidations>
  <printOptions horizontalCentered="1"/>
  <pageMargins left="0.25" right="0.25" top="0.25" bottom="0.25" header="0.3" footer="0.3"/>
  <pageSetup paperSize="5" scale="89" fitToHeight="0" orientation="portrait" r:id="rId1"/>
  <rowBreaks count="1" manualBreakCount="1">
    <brk id="7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15105" r:id="rId4" name="Check Box 1">
              <controlPr defaultSize="0" autoFill="0" autoLine="0" autoPict="0">
                <anchor moveWithCells="1">
                  <from>
                    <xdr:col>1</xdr:col>
                    <xdr:colOff>15240</xdr:colOff>
                    <xdr:row>36</xdr:row>
                    <xdr:rowOff>68580</xdr:rowOff>
                  </from>
                  <to>
                    <xdr:col>7</xdr:col>
                    <xdr:colOff>327660</xdr:colOff>
                    <xdr:row>38</xdr:row>
                    <xdr:rowOff>45720</xdr:rowOff>
                  </to>
                </anchor>
              </controlPr>
            </control>
          </mc:Choice>
        </mc:AlternateContent>
        <mc:AlternateContent xmlns:mc="http://schemas.openxmlformats.org/markup-compatibility/2006">
          <mc:Choice Requires="x14">
            <control shapeId="815107" r:id="rId5" name="Option Button 3">
              <controlPr defaultSize="0" autoFill="0" autoLine="0" autoPict="0">
                <anchor moveWithCells="1">
                  <from>
                    <xdr:col>9</xdr:col>
                    <xdr:colOff>304800</xdr:colOff>
                    <xdr:row>6</xdr:row>
                    <xdr:rowOff>0</xdr:rowOff>
                  </from>
                  <to>
                    <xdr:col>10</xdr:col>
                    <xdr:colOff>441960</xdr:colOff>
                    <xdr:row>7</xdr:row>
                    <xdr:rowOff>0</xdr:rowOff>
                  </to>
                </anchor>
              </controlPr>
            </control>
          </mc:Choice>
        </mc:AlternateContent>
        <mc:AlternateContent xmlns:mc="http://schemas.openxmlformats.org/markup-compatibility/2006">
          <mc:Choice Requires="x14">
            <control shapeId="815108" r:id="rId6" name="Option Button 4">
              <controlPr defaultSize="0" autoFill="0" autoLine="0" autoPict="0">
                <anchor moveWithCells="1">
                  <from>
                    <xdr:col>11</xdr:col>
                    <xdr:colOff>327660</xdr:colOff>
                    <xdr:row>6</xdr:row>
                    <xdr:rowOff>0</xdr:rowOff>
                  </from>
                  <to>
                    <xdr:col>15</xdr:col>
                    <xdr:colOff>38100</xdr:colOff>
                    <xdr:row>7</xdr:row>
                    <xdr:rowOff>0</xdr:rowOff>
                  </to>
                </anchor>
              </controlPr>
            </control>
          </mc:Choice>
        </mc:AlternateContent>
        <mc:AlternateContent xmlns:mc="http://schemas.openxmlformats.org/markup-compatibility/2006">
          <mc:Choice Requires="x14">
            <control shapeId="815109" r:id="rId7" name="Option Button 5">
              <controlPr defaultSize="0" autoFill="0" autoLine="0" autoPict="0">
                <anchor moveWithCells="1">
                  <from>
                    <xdr:col>11</xdr:col>
                    <xdr:colOff>251460</xdr:colOff>
                    <xdr:row>20</xdr:row>
                    <xdr:rowOff>0</xdr:rowOff>
                  </from>
                  <to>
                    <xdr:col>13</xdr:col>
                    <xdr:colOff>304800</xdr:colOff>
                    <xdr:row>21</xdr:row>
                    <xdr:rowOff>0</xdr:rowOff>
                  </to>
                </anchor>
              </controlPr>
            </control>
          </mc:Choice>
        </mc:AlternateContent>
        <mc:AlternateContent xmlns:mc="http://schemas.openxmlformats.org/markup-compatibility/2006">
          <mc:Choice Requires="x14">
            <control shapeId="815110" r:id="rId8" name="Option Button 6">
              <controlPr defaultSize="0" autoFill="0" autoLine="0" autoPict="0">
                <anchor moveWithCells="1">
                  <from>
                    <xdr:col>13</xdr:col>
                    <xdr:colOff>137160</xdr:colOff>
                    <xdr:row>46</xdr:row>
                    <xdr:rowOff>38100</xdr:rowOff>
                  </from>
                  <to>
                    <xdr:col>13</xdr:col>
                    <xdr:colOff>327660</xdr:colOff>
                    <xdr:row>48</xdr:row>
                    <xdr:rowOff>0</xdr:rowOff>
                  </to>
                </anchor>
              </controlPr>
            </control>
          </mc:Choice>
        </mc:AlternateContent>
        <mc:AlternateContent xmlns:mc="http://schemas.openxmlformats.org/markup-compatibility/2006">
          <mc:Choice Requires="x14">
            <control shapeId="815117" r:id="rId9" name="Group Box 13">
              <controlPr defaultSize="0" autoFill="0" autoPict="0">
                <anchor moveWithCells="1">
                  <from>
                    <xdr:col>8</xdr:col>
                    <xdr:colOff>358140</xdr:colOff>
                    <xdr:row>5</xdr:row>
                    <xdr:rowOff>121920</xdr:rowOff>
                  </from>
                  <to>
                    <xdr:col>16</xdr:col>
                    <xdr:colOff>251460</xdr:colOff>
                    <xdr:row>7</xdr:row>
                    <xdr:rowOff>7620</xdr:rowOff>
                  </to>
                </anchor>
              </controlPr>
            </control>
          </mc:Choice>
        </mc:AlternateContent>
        <mc:AlternateContent xmlns:mc="http://schemas.openxmlformats.org/markup-compatibility/2006">
          <mc:Choice Requires="x14">
            <control shapeId="815118" r:id="rId10" name="Group Box 14">
              <controlPr defaultSize="0" autoFill="0" autoPict="0">
                <anchor moveWithCells="1">
                  <from>
                    <xdr:col>12</xdr:col>
                    <xdr:colOff>190500</xdr:colOff>
                    <xdr:row>7</xdr:row>
                    <xdr:rowOff>15240</xdr:rowOff>
                  </from>
                  <to>
                    <xdr:col>16</xdr:col>
                    <xdr:colOff>167640</xdr:colOff>
                    <xdr:row>8</xdr:row>
                    <xdr:rowOff>144780</xdr:rowOff>
                  </to>
                </anchor>
              </controlPr>
            </control>
          </mc:Choice>
        </mc:AlternateContent>
        <mc:AlternateContent xmlns:mc="http://schemas.openxmlformats.org/markup-compatibility/2006">
          <mc:Choice Requires="x14">
            <control shapeId="815126" r:id="rId11" name="Button 22">
              <controlPr defaultSize="0" print="0" autoFill="0" autoPict="0" macro="[0]!IW_Home">
                <anchor moveWithCells="1" sizeWithCells="1">
                  <from>
                    <xdr:col>0</xdr:col>
                    <xdr:colOff>7620</xdr:colOff>
                    <xdr:row>0</xdr:row>
                    <xdr:rowOff>7620</xdr:rowOff>
                  </from>
                  <to>
                    <xdr:col>0</xdr:col>
                    <xdr:colOff>441960</xdr:colOff>
                    <xdr:row>1</xdr:row>
                    <xdr:rowOff>114300</xdr:rowOff>
                  </to>
                </anchor>
              </controlPr>
            </control>
          </mc:Choice>
        </mc:AlternateContent>
        <mc:AlternateContent xmlns:mc="http://schemas.openxmlformats.org/markup-compatibility/2006">
          <mc:Choice Requires="x14">
            <control shapeId="815127" r:id="rId12" name="Button 23">
              <controlPr defaultSize="0" print="0" autoFill="0" autoPict="0" macro="[0]!InvPurch_Clear">
                <anchor moveWithCells="1" sizeWithCells="1">
                  <from>
                    <xdr:col>0</xdr:col>
                    <xdr:colOff>502920</xdr:colOff>
                    <xdr:row>0</xdr:row>
                    <xdr:rowOff>7620</xdr:rowOff>
                  </from>
                  <to>
                    <xdr:col>2</xdr:col>
                    <xdr:colOff>205740</xdr:colOff>
                    <xdr:row>1</xdr:row>
                    <xdr:rowOff>114300</xdr:rowOff>
                  </to>
                </anchor>
              </controlPr>
            </control>
          </mc:Choice>
        </mc:AlternateContent>
        <mc:AlternateContent xmlns:mc="http://schemas.openxmlformats.org/markup-compatibility/2006">
          <mc:Choice Requires="x14">
            <control shapeId="815128" r:id="rId13" name="Button 24">
              <controlPr defaultSize="0" print="0" autoFill="0" autoPict="0" macro="[0]!InvPurch_OmitHide">
                <anchor moveWithCells="1" sizeWithCells="1">
                  <from>
                    <xdr:col>0</xdr:col>
                    <xdr:colOff>15240</xdr:colOff>
                    <xdr:row>1</xdr:row>
                    <xdr:rowOff>167640</xdr:rowOff>
                  </from>
                  <to>
                    <xdr:col>2</xdr:col>
                    <xdr:colOff>99060</xdr:colOff>
                    <xdr:row>1</xdr:row>
                    <xdr:rowOff>457200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ECA0BC2E-E626-4ED0-92ED-590667850AD2}">
            <xm:f>AND($F$42&gt;12,OR($M$9="Fannie",$M$9="Freddie",'I&amp;D Worksheet'!$J$8:$N$8="Conventional"))</xm:f>
            <x14:dxf>
              <font>
                <color rgb="FFFF0000"/>
              </font>
              <fill>
                <patternFill>
                  <bgColor rgb="FFFFFF00"/>
                </patternFill>
              </fill>
            </x14:dxf>
          </x14:cfRule>
          <xm:sqref>F42</xm:sqref>
        </x14:conditionalFormatting>
        <x14:conditionalFormatting xmlns:xm="http://schemas.microsoft.com/office/excel/2006/main">
          <x14:cfRule type="expression" priority="4" id="{0D8A02B7-5011-428E-95BE-9912DFD140E0}">
            <xm:f>OR($M$9="Fannie",$M$9="Freddie",'I&amp;D Worksheet'!$J$8:$N$8="Conventional")</xm:f>
            <x14:dxf>
              <font>
                <color theme="0" tint="-0.24994659260841701"/>
              </font>
              <fill>
                <patternFill>
                  <bgColor theme="0" tint="-0.24994659260841701"/>
                </patternFill>
              </fill>
            </x14:dxf>
          </x14:cfRule>
          <xm:sqref>N28:Q35</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tabColor rgb="FFFFFF00"/>
  </sheetPr>
  <dimension ref="A1:AG106"/>
  <sheetViews>
    <sheetView showGridLines="0" showRowColHeaders="0" showRuler="0" view="pageLayout" zoomScale="90" zoomScaleNormal="100" zoomScalePageLayoutView="90" workbookViewId="0">
      <selection activeCell="D7" sqref="D7:H7"/>
    </sheetView>
  </sheetViews>
  <sheetFormatPr defaultColWidth="9.109375" defaultRowHeight="14.4" x14ac:dyDescent="0.3"/>
  <cols>
    <col min="1" max="1" width="6.21875" customWidth="1"/>
    <col min="2" max="2" width="3" customWidth="1"/>
    <col min="3" max="3" width="6.6640625" customWidth="1"/>
    <col min="4" max="4" width="10.6640625" customWidth="1"/>
    <col min="5" max="5" width="9.5546875" customWidth="1"/>
    <col min="6" max="6" width="9.109375" customWidth="1"/>
    <col min="7" max="7" width="4.109375" customWidth="1"/>
    <col min="8" max="8" width="9.109375" customWidth="1"/>
    <col min="9" max="9" width="10" customWidth="1"/>
    <col min="10" max="10" width="9" customWidth="1"/>
    <col min="11" max="11" width="9.21875" customWidth="1"/>
    <col min="12" max="12" width="8.88671875" customWidth="1"/>
    <col min="13" max="13" width="8.109375" customWidth="1"/>
    <col min="14" max="14" width="0.77734375" customWidth="1"/>
    <col min="15" max="15" width="9.44140625" customWidth="1"/>
    <col min="16" max="16" width="2" customWidth="1"/>
    <col min="17" max="17" width="2.77734375" customWidth="1"/>
    <col min="18" max="19" width="2.109375" hidden="1" customWidth="1"/>
    <col min="20" max="20" width="12.77734375" hidden="1" customWidth="1"/>
    <col min="21" max="21" width="10.33203125" hidden="1" customWidth="1"/>
    <col min="22" max="22" width="9.109375" hidden="1" customWidth="1"/>
    <col min="23" max="23" width="10.33203125" hidden="1" customWidth="1"/>
    <col min="24" max="24" width="9.109375" hidden="1" customWidth="1"/>
    <col min="25" max="25" width="7.6640625" hidden="1" customWidth="1"/>
    <col min="26" max="26" width="3.44140625" hidden="1" customWidth="1"/>
    <col min="27" max="27" width="9.109375" hidden="1" customWidth="1"/>
    <col min="28" max="28" width="3.77734375" hidden="1" customWidth="1"/>
    <col min="29" max="29" width="3.6640625" hidden="1" customWidth="1"/>
    <col min="30" max="30" width="11.77734375" hidden="1" customWidth="1"/>
    <col min="31" max="31" width="9.109375" hidden="1" customWidth="1"/>
    <col min="32" max="32" width="3.77734375" hidden="1" customWidth="1"/>
    <col min="33" max="33" width="20.6640625" customWidth="1"/>
  </cols>
  <sheetData>
    <row r="1" spans="1:32" x14ac:dyDescent="0.3">
      <c r="M1" s="47">
        <f>'I&amp;D Worksheet'!J8</f>
        <v>0</v>
      </c>
      <c r="N1" s="544"/>
      <c r="O1" s="47" t="str">
        <f>IF(OR(M1=0,M1="Other"),"",IF(OR(M1="VA",M1="FHA",M1="USDA"),2,1))</f>
        <v/>
      </c>
      <c r="U1" s="1912" t="str">
        <f>IF(AND(L77=1,L78=2,OR(O1="",M1="FHA")),"","This worksheet not required for this property on this Loan Type")</f>
        <v>This worksheet not required for this property on this Loan Type</v>
      </c>
      <c r="V1" s="1912"/>
      <c r="W1" s="1912"/>
      <c r="X1" s="1912"/>
      <c r="Y1" s="1912"/>
      <c r="Z1" s="1912"/>
      <c r="AA1" s="1912"/>
      <c r="AB1" s="1912"/>
      <c r="AC1" s="1912"/>
      <c r="AD1" s="1912"/>
    </row>
    <row r="2" spans="1:32" ht="36.6" customHeight="1" x14ac:dyDescent="0.5">
      <c r="A2" s="1321" t="s">
        <v>1291</v>
      </c>
      <c r="B2" s="1321"/>
      <c r="C2" s="1321"/>
      <c r="D2" s="1321"/>
      <c r="E2" s="1321"/>
      <c r="F2" s="1321"/>
      <c r="G2" s="1321"/>
      <c r="H2" s="1321"/>
      <c r="I2" s="1321"/>
      <c r="J2" s="1321"/>
      <c r="K2" s="1321"/>
      <c r="L2" s="1321"/>
      <c r="M2" s="1321"/>
      <c r="N2" s="1321"/>
      <c r="O2" s="1321"/>
      <c r="P2" s="1321"/>
      <c r="Q2" s="1321"/>
      <c r="R2" s="1321" t="s">
        <v>912</v>
      </c>
      <c r="S2" s="1321"/>
      <c r="T2" s="1321"/>
      <c r="U2" s="1321"/>
      <c r="V2" s="1321"/>
      <c r="W2" s="1321"/>
      <c r="X2" s="1321"/>
      <c r="Y2" s="1321"/>
      <c r="Z2" s="1321"/>
      <c r="AA2" s="1321"/>
      <c r="AB2" s="1321"/>
      <c r="AC2" s="1321"/>
      <c r="AD2" s="1321"/>
      <c r="AE2" s="1321"/>
      <c r="AF2" s="1321"/>
    </row>
    <row r="3" spans="1:32" ht="3" customHeight="1" x14ac:dyDescent="0.5">
      <c r="A3" s="354"/>
      <c r="B3" s="354"/>
      <c r="C3" s="354"/>
      <c r="D3" s="354"/>
      <c r="E3" s="354"/>
      <c r="F3" s="354"/>
      <c r="G3" s="354"/>
      <c r="H3" s="354"/>
      <c r="I3" s="354"/>
      <c r="J3" s="354"/>
      <c r="K3" s="354"/>
      <c r="L3" s="354"/>
      <c r="M3" s="354"/>
      <c r="N3" s="354"/>
      <c r="O3" s="354"/>
      <c r="P3" s="354"/>
      <c r="Q3" s="354"/>
      <c r="R3" s="839"/>
      <c r="S3" s="839"/>
      <c r="T3" s="839"/>
      <c r="U3" s="839"/>
      <c r="V3" s="839"/>
      <c r="W3" s="839"/>
      <c r="X3" s="839"/>
      <c r="Y3" s="839"/>
      <c r="Z3" s="839"/>
      <c r="AA3" s="839"/>
      <c r="AB3" s="839"/>
      <c r="AC3" s="839"/>
      <c r="AD3" s="839"/>
      <c r="AE3" s="839"/>
      <c r="AF3" s="839"/>
    </row>
    <row r="4" spans="1:32" ht="14.4" customHeight="1" x14ac:dyDescent="0.4">
      <c r="F4" s="1904" t="s">
        <v>1299</v>
      </c>
      <c r="G4" s="1904"/>
      <c r="H4" s="1904"/>
      <c r="I4" s="1904"/>
      <c r="J4" s="1904"/>
      <c r="K4" s="2301" t="s">
        <v>1127</v>
      </c>
      <c r="L4" s="2301"/>
      <c r="M4" s="2301"/>
      <c r="N4" s="2301"/>
      <c r="O4" s="2301"/>
      <c r="R4" s="1322"/>
      <c r="S4" s="1322"/>
      <c r="T4" s="1322"/>
      <c r="U4" s="1322"/>
      <c r="V4" s="1322"/>
      <c r="W4" s="1322"/>
      <c r="X4" s="1322"/>
      <c r="Y4" s="1322"/>
      <c r="Z4" s="1322"/>
      <c r="AA4" s="1322"/>
      <c r="AB4" s="1322"/>
      <c r="AC4" s="1322"/>
      <c r="AD4" s="1322"/>
      <c r="AE4" s="1322"/>
      <c r="AF4" s="1322"/>
    </row>
    <row r="5" spans="1:32" ht="30.6" customHeight="1" x14ac:dyDescent="0.3">
      <c r="A5" s="2"/>
      <c r="B5" s="2"/>
      <c r="C5" s="2"/>
      <c r="D5" s="2"/>
      <c r="E5" s="2"/>
      <c r="F5" s="2"/>
      <c r="G5" s="2"/>
      <c r="H5" s="2"/>
      <c r="I5" s="2"/>
      <c r="J5" s="2288" t="s">
        <v>587</v>
      </c>
      <c r="K5" s="2288"/>
      <c r="L5" s="2288"/>
      <c r="M5" s="2288"/>
      <c r="N5" s="2288"/>
      <c r="O5" s="2288"/>
    </row>
    <row r="6" spans="1:32" ht="13.8" customHeight="1" x14ac:dyDescent="0.3">
      <c r="A6" s="2"/>
      <c r="B6" s="2"/>
      <c r="C6" s="2"/>
      <c r="D6" s="2"/>
      <c r="H6" s="2"/>
      <c r="J6" s="1353" t="str">
        <f>IF(AND(L77="",OR(C23&lt;&gt;"",J30&lt;&gt;"",M30&lt;&gt;"",O77&lt;&gt;"")),"Selections Needed to complete wkst",
IF(AND(L77=1,'I&amp;D Worksheet'!M70&lt;&gt;3),"Occupancy on I&amp;D Worksheet not set to Owner Multi-Unit",
IF(OR(AND(L77=1,M77=2,'I&amp;D Worksheet'!O70&lt;&gt;3),AND(L77=1,M77=3,'I&amp;D Worksheet'!O70&lt;&gt;7)),"Selections below do not match I&amp;D worksheet",
IF(OR(AND(L78=1,O1=2),AND(L78=2,O1=1),AND(L77=1,L78&gt;0,O1="",M1&lt;&gt;"Other")),"Loan type below does not match I&amp;D Worksheet",""))))</f>
        <v/>
      </c>
      <c r="K6" s="1353"/>
      <c r="L6" s="1353"/>
      <c r="M6" s="1353"/>
      <c r="N6" s="1353"/>
      <c r="O6" s="1353"/>
    </row>
    <row r="7" spans="1:32" ht="15.75" customHeight="1" x14ac:dyDescent="0.3">
      <c r="A7" s="2160" t="s">
        <v>575</v>
      </c>
      <c r="B7" s="2160"/>
      <c r="C7" s="2160"/>
      <c r="D7" s="2290"/>
      <c r="E7" s="2290"/>
      <c r="F7" s="2290"/>
      <c r="G7" s="2290"/>
      <c r="H7" s="2290"/>
      <c r="I7" s="208"/>
      <c r="J7" s="1812" t="s">
        <v>579</v>
      </c>
      <c r="K7" s="1812"/>
      <c r="L7" s="2"/>
      <c r="M7" s="1812" t="s">
        <v>574</v>
      </c>
      <c r="N7" s="1812"/>
      <c r="O7" s="1812"/>
      <c r="P7" s="8"/>
      <c r="Q7" s="8"/>
      <c r="R7" s="1812" t="s">
        <v>575</v>
      </c>
      <c r="S7" s="1812"/>
      <c r="T7" s="1812"/>
      <c r="U7" s="2262" t="str">
        <f>IF(D7="","",D7)</f>
        <v/>
      </c>
      <c r="V7" s="2262"/>
      <c r="W7" s="2262"/>
      <c r="X7" s="2262"/>
      <c r="Y7" s="2262"/>
      <c r="Z7" s="92"/>
    </row>
    <row r="8" spans="1:32" ht="21.75" customHeight="1" x14ac:dyDescent="0.3">
      <c r="A8" s="2"/>
      <c r="B8" s="2"/>
      <c r="C8" s="2"/>
      <c r="D8" s="2304" t="str">
        <f ca="1">IF(AND(A78="Owner Multi-Unit (2)",L77=1),"Warning: A Multi-Unit property that is the Subject Property must be entered on the first Owner Multi-Unit Worksheet, NOT the second wkst.","")</f>
        <v/>
      </c>
      <c r="E8" s="2304"/>
      <c r="F8" s="2304"/>
      <c r="G8" s="2304"/>
      <c r="H8" s="2304"/>
      <c r="I8" s="46" t="s">
        <v>582</v>
      </c>
      <c r="J8" s="2260"/>
      <c r="K8" s="2260"/>
      <c r="L8" s="713" t="str">
        <f>IF(AND(L77=2,M77&gt;1),"N/A","")</f>
        <v/>
      </c>
      <c r="M8" s="2"/>
      <c r="N8" s="2"/>
      <c r="O8" s="2"/>
    </row>
    <row r="9" spans="1:32" ht="12" customHeight="1" x14ac:dyDescent="0.3">
      <c r="A9" s="2"/>
      <c r="B9" s="2"/>
      <c r="C9" s="2"/>
      <c r="D9" s="1855"/>
      <c r="E9" s="1855"/>
      <c r="F9" s="1855"/>
      <c r="G9" s="1855"/>
      <c r="H9" s="1855"/>
      <c r="I9" s="46" t="s">
        <v>583</v>
      </c>
      <c r="J9" s="1801" t="str">
        <f>IF(AND(L77=1,L78=1),"Fannie or Freddie?",IF(AND(L77=2,L78=1),"Fannie or Freddie?",""))</f>
        <v/>
      </c>
      <c r="K9" s="1801"/>
      <c r="L9" s="1081"/>
      <c r="M9" s="1969" t="s">
        <v>906</v>
      </c>
      <c r="N9" s="1969"/>
      <c r="O9" s="1969"/>
      <c r="P9" s="1969"/>
      <c r="R9" s="1292" t="s">
        <v>905</v>
      </c>
      <c r="S9" s="1292"/>
      <c r="T9" s="1292"/>
      <c r="U9" s="1292"/>
      <c r="V9" s="1292"/>
      <c r="W9" s="1292"/>
      <c r="X9" s="1292"/>
      <c r="Y9" s="1292"/>
      <c r="Z9" s="241"/>
      <c r="AA9" s="2263" t="str">
        <f>IF(AF77=1,"Self-sufficiency Test Required",IF(AF77=2,"This test is not Required","Select 'Yes' or 'No'"))</f>
        <v>Select 'Yes' or 'No'</v>
      </c>
      <c r="AB9" s="2264"/>
      <c r="AC9" s="2264"/>
      <c r="AD9" s="2264"/>
      <c r="AE9" s="2264"/>
      <c r="AF9" s="2265"/>
    </row>
    <row r="10" spans="1:32" ht="4.2" customHeight="1" x14ac:dyDescent="0.3">
      <c r="A10" s="2"/>
      <c r="B10" s="2"/>
      <c r="C10" s="2"/>
      <c r="D10" s="844"/>
      <c r="E10" s="844"/>
      <c r="F10" s="844"/>
      <c r="G10" s="844"/>
      <c r="H10" s="844"/>
      <c r="I10" s="46"/>
      <c r="J10" s="709"/>
      <c r="K10" s="709"/>
      <c r="M10" s="1969"/>
      <c r="N10" s="1969"/>
      <c r="O10" s="1969"/>
      <c r="P10" s="1969"/>
      <c r="R10" s="1292"/>
      <c r="S10" s="1292"/>
      <c r="T10" s="1292"/>
      <c r="U10" s="1292"/>
      <c r="V10" s="1292"/>
      <c r="W10" s="1292"/>
      <c r="X10" s="1292"/>
      <c r="Y10" s="1292"/>
      <c r="Z10" s="241"/>
      <c r="AA10" s="2266"/>
      <c r="AB10" s="1986"/>
      <c r="AC10" s="1986"/>
      <c r="AD10" s="1986"/>
      <c r="AE10" s="1986"/>
      <c r="AF10" s="2267"/>
    </row>
    <row r="11" spans="1:32" ht="12" customHeight="1" x14ac:dyDescent="0.3">
      <c r="A11" s="2"/>
      <c r="B11" s="2"/>
      <c r="C11" s="2"/>
      <c r="D11" s="2"/>
      <c r="E11" s="2"/>
      <c r="F11" s="2"/>
      <c r="G11" s="2"/>
      <c r="H11" s="2"/>
      <c r="I11" s="46"/>
      <c r="J11" s="2289" t="str">
        <f>IF(OR(M1="VA",M1="USDA"),"",
IF(AND(L77=1,J9&lt;&gt;"",L9="Freddie",L78=1),"ADU?",
IF(AND(L77=1,L78=2),"FHA ADU?","")))</f>
        <v/>
      </c>
      <c r="K11" s="2289"/>
      <c r="L11" s="1087"/>
      <c r="M11" s="1969"/>
      <c r="N11" s="1969"/>
      <c r="O11" s="1969"/>
      <c r="P11" s="1969"/>
      <c r="R11" s="1292"/>
      <c r="S11" s="1292"/>
      <c r="T11" s="1292"/>
      <c r="U11" s="1292"/>
      <c r="V11" s="1292"/>
      <c r="W11" s="1292"/>
      <c r="X11" s="1292"/>
      <c r="Y11" s="1292"/>
      <c r="Z11" s="241"/>
      <c r="AA11" s="2266"/>
      <c r="AB11" s="1986"/>
      <c r="AC11" s="1986"/>
      <c r="AD11" s="1986"/>
      <c r="AE11" s="1986"/>
      <c r="AF11" s="2267"/>
    </row>
    <row r="12" spans="1:32" ht="4.2" customHeight="1" x14ac:dyDescent="0.3">
      <c r="A12" s="2"/>
      <c r="B12" s="2"/>
      <c r="C12" s="2"/>
      <c r="D12" s="2"/>
      <c r="E12" s="2"/>
      <c r="F12" s="2"/>
      <c r="G12" s="2"/>
      <c r="H12" s="2"/>
      <c r="I12" s="46"/>
      <c r="J12" s="709"/>
      <c r="K12" s="709"/>
      <c r="L12" s="2206" t="s">
        <v>1129</v>
      </c>
      <c r="M12" s="2206"/>
      <c r="N12" s="847"/>
      <c r="O12" s="847"/>
      <c r="R12" s="1292"/>
      <c r="S12" s="1292"/>
      <c r="T12" s="1292"/>
      <c r="U12" s="1292"/>
      <c r="V12" s="1292"/>
      <c r="W12" s="1292"/>
      <c r="X12" s="1292"/>
      <c r="Y12" s="1292"/>
      <c r="Z12" s="241"/>
      <c r="AA12" s="2266"/>
      <c r="AB12" s="1986"/>
      <c r="AC12" s="1986"/>
      <c r="AD12" s="1986"/>
      <c r="AE12" s="1986"/>
      <c r="AF12" s="2267"/>
    </row>
    <row r="13" spans="1:32" ht="12.6" customHeight="1" x14ac:dyDescent="0.3">
      <c r="A13" s="1366" t="str">
        <f>IF(AND(J9&lt;&gt;"",L9="Fannie",M77=2,L77=1,L78=1),"Required:",
IF(AND(J9&lt;&gt;"",L9="Fannie",L77=2,L78=1),"Required:",""))</f>
        <v/>
      </c>
      <c r="B13" s="1366"/>
      <c r="C13" s="2208" t="str">
        <f>IF(AND(A13="Required:",L9="Fannie"),"1. Borrower Currently owns a principal residence (or has a current housing expense)?",IF(AND(A13="Required:",L9="Freddie"),"1. Borrower Currently owns a principal residence?",""))</f>
        <v/>
      </c>
      <c r="D13" s="2208"/>
      <c r="E13" s="2208"/>
      <c r="F13" s="2208"/>
      <c r="G13" s="2208"/>
      <c r="H13" s="2208"/>
      <c r="I13" s="2208"/>
      <c r="J13" s="2208"/>
      <c r="K13" s="848"/>
      <c r="L13" s="2206"/>
      <c r="M13" s="2206"/>
      <c r="N13" s="846"/>
      <c r="O13" s="849"/>
      <c r="R13" s="1292"/>
      <c r="S13" s="1292"/>
      <c r="T13" s="1292"/>
      <c r="U13" s="1292"/>
      <c r="V13" s="1292"/>
      <c r="W13" s="1292"/>
      <c r="X13" s="1292"/>
      <c r="Y13" s="1292"/>
      <c r="Z13" s="241"/>
      <c r="AA13" s="2266"/>
      <c r="AB13" s="1986"/>
      <c r="AC13" s="1986"/>
      <c r="AD13" s="1986"/>
      <c r="AE13" s="1986"/>
      <c r="AF13" s="2267"/>
    </row>
    <row r="14" spans="1:32" ht="4.2" customHeight="1" x14ac:dyDescent="0.3">
      <c r="A14" s="58"/>
      <c r="B14" s="58"/>
      <c r="C14" s="841"/>
      <c r="D14" s="841"/>
      <c r="E14" s="841"/>
      <c r="F14" s="841"/>
      <c r="G14" s="841"/>
      <c r="H14" s="841"/>
      <c r="I14" s="841"/>
      <c r="J14" s="841"/>
      <c r="K14" s="850"/>
      <c r="L14" s="2206"/>
      <c r="M14" s="2206"/>
      <c r="N14" s="840"/>
      <c r="O14" s="840"/>
      <c r="R14" s="1292"/>
      <c r="S14" s="1292"/>
      <c r="T14" s="1292"/>
      <c r="U14" s="1292"/>
      <c r="V14" s="1292"/>
      <c r="W14" s="1292"/>
      <c r="X14" s="1292"/>
      <c r="Y14" s="1292"/>
      <c r="Z14" s="241"/>
      <c r="AA14" s="2266"/>
      <c r="AB14" s="1986"/>
      <c r="AC14" s="1986"/>
      <c r="AD14" s="1986"/>
      <c r="AE14" s="1986"/>
      <c r="AF14" s="2267"/>
    </row>
    <row r="15" spans="1:32" ht="13.8" customHeight="1" x14ac:dyDescent="0.3">
      <c r="A15" s="2271" t="str">
        <f>IF(A13="Required:","-See Agency Guidelines","")</f>
        <v/>
      </c>
      <c r="B15" s="2272"/>
      <c r="C15" s="2302" t="str">
        <f>IF(AND(A13="Required:",L9="Fannie"),"2. Has either:  a. Documented one year minimum history receiving rent income,    or
                             b. Documented one year minimum experience of managing rental properties?",IF(AND(A13="Required:",L9="Freddie"),"2. Has a minimum of one-year property management experience?",""))</f>
        <v/>
      </c>
      <c r="D15" s="2302"/>
      <c r="E15" s="2302"/>
      <c r="F15" s="2302"/>
      <c r="G15" s="2302"/>
      <c r="H15" s="2302"/>
      <c r="I15" s="2302"/>
      <c r="J15" s="2302"/>
      <c r="K15" s="707"/>
      <c r="M15" s="423"/>
      <c r="N15" s="423"/>
      <c r="O15" s="710"/>
      <c r="R15" s="1292"/>
      <c r="S15" s="1292"/>
      <c r="T15" s="1292"/>
      <c r="U15" s="1292"/>
      <c r="V15" s="1292"/>
      <c r="W15" s="1292"/>
      <c r="X15" s="1292"/>
      <c r="Y15" s="1292"/>
      <c r="Z15" s="241"/>
      <c r="AA15" s="2266"/>
      <c r="AB15" s="1986"/>
      <c r="AC15" s="1986"/>
      <c r="AD15" s="1986"/>
      <c r="AE15" s="1986"/>
      <c r="AF15" s="2267"/>
    </row>
    <row r="16" spans="1:32" ht="11.4" customHeight="1" x14ac:dyDescent="0.3">
      <c r="A16" s="2272"/>
      <c r="B16" s="2272"/>
      <c r="C16" s="2302"/>
      <c r="D16" s="2302"/>
      <c r="E16" s="2302"/>
      <c r="F16" s="2302"/>
      <c r="G16" s="2302"/>
      <c r="H16" s="2302"/>
      <c r="I16" s="2302"/>
      <c r="J16" s="2302"/>
      <c r="K16" s="711"/>
      <c r="M16" s="423"/>
      <c r="N16" s="423"/>
      <c r="R16" s="1292"/>
      <c r="S16" s="1292"/>
      <c r="T16" s="1292"/>
      <c r="U16" s="1292"/>
      <c r="V16" s="1292"/>
      <c r="W16" s="1292"/>
      <c r="X16" s="1292"/>
      <c r="Y16" s="1292"/>
      <c r="Z16" s="241"/>
      <c r="AA16" s="2266"/>
      <c r="AB16" s="1986"/>
      <c r="AC16" s="1986"/>
      <c r="AD16" s="1986"/>
      <c r="AE16" s="1986"/>
      <c r="AF16" s="2267"/>
    </row>
    <row r="17" spans="1:32" ht="15.6" customHeight="1" x14ac:dyDescent="0.3">
      <c r="A17" s="2272"/>
      <c r="B17" s="2272"/>
      <c r="C17" s="2303" t="str">
        <f>IF(J6="Loan type below does not match I&amp;D worksheet","Loan type above does not match I&amp;D worksheet",
IF(J6="Selections below do not match I&amp;D worksheet","Selections above do not match I&amp;D worksheet",
IF(AND(J9&lt;&gt;"",L9=""),"Answer 'Fannie or Freddie' above to determine if any rent income limitations exist.",
IF(AND(A13="Required:",L9="Fannie",OR(K13="",K15="",AND(K13="Rents",O13=""))),"Answer 'Required' questions above to determine if any rent income limitations exist.",
IF(AND(L9="Fannie",M77=3,L77=1,L78=1),"There is no restriction on the amount of rental income that can be used. Proceed below",
IF(AND(L78=1,L9="Freddie",L11=""),"Answer Required ADU question above to determine if any rent income limitations exist.",
IF(AND(L78=2,J11&lt;&gt;"",L11=""),"Answer Required 'FHA ADU' question above to determine if any rent income limitations exist.",
IF(AND(A13="Required:",L9="Fannie",K13="Owns",K15="Yes"),"There is no restriction on the amount of rental income that can be used. Proceed below",
IF(AND(A13="Required:",L9="Fannie",K13="Rents",O13&gt;0,K15="Yes"),"There is no restriction on the amount of rental income that can be used. Proceed below",
IF(AND(A13="Required:",L9="Fannie",K13="Owns",K15="No"),"Rental income in an amount up to but not exceeding the PITIA of this property can be added to the borrowers gross income. Proceed below",
IF(AND(A13="Required:",L9="Fannie",K13="Rents",O13&gt;0,K15="No"),"Rental income in an amount up to but not exceeding the PITIA of this property can be added to the borrowers gross income. Proceed below",
IF(AND(A13="Required:",L9="Fannie",K13="Rents",O13=0,K15&lt;&gt;""),"Rental income from this property cannot be used in any amount, Must own a principal residence or have a current housing expense. Proceed below",
IF(AND(A13="Required:",L9="Fannie",K13="Rent Free",K15&lt;&gt;""),"Rental income from this property cannot be used in any amount, Must own a principal residence or have a current housing expense. Proceed below",
IF(AND(L78=1,L9="Freddie",L11="No"),"There is no restriction on the amount of rental income that can be used. Proceed below",
IF(AND(L78=1,L9="Freddie",L11="Yes"),"For Freddie ADU, after completing this wkst, the total must be entered on the '30% of Income' wkst. Proceed below",
IF(AND(L78=2,J11&lt;&gt;"",L11="No"),"There is no restriction on the amount of rental income that can be used. Proceed below",
IF(AND(L78=2,J11&lt;&gt;"",L11="Yes"),"For FHA ADU, after completing this wkst, the total must be entered on the '30% of Income' wkst. Proceed below",""
)))))))))))))))))</f>
        <v/>
      </c>
      <c r="D17" s="2303"/>
      <c r="E17" s="2303"/>
      <c r="F17" s="2303"/>
      <c r="G17" s="2303"/>
      <c r="H17" s="2303"/>
      <c r="I17" s="2303"/>
      <c r="J17" s="2303"/>
      <c r="K17" s="2303"/>
      <c r="L17" s="2303"/>
      <c r="M17" s="2303"/>
      <c r="N17" s="2303"/>
      <c r="O17" s="2303"/>
      <c r="P17" s="716" t="str">
        <f>IF(AND(A13="Required:",OR(K13="",K15="",AND(K13="Rents",O13=""))),"",
IF(AND(A13="Required:",L9="Fannie",K13="Owns",K15="Yes"),1,
IF(AND(A13="Required:",L9="Fannie",K13="Rents",O13&gt;0,K15="Yes"),1,
IF(AND(A13="Required:",L9="Fannie",K13="Owns",K15="No"),2,
IF(AND(A13="Required:",L9="Fannie",K13="Rents",O13&gt;0,K15="No"),2,
IF(AND(A13="Required:",L9="Fannie",K13="Rents",O13=0,K15&lt;&gt;""),3,
IF(AND(A13="Required:",L9="Fannie",K13="Rent Free",K15&lt;&gt;""),3,
IF(AND(A13="Required:",L9="Freddie",K13="Yes",K15="Yes"),1,
IF(AND(A13="Required:",L9="Freddie",K13="Yes",K15="No"),2,
IF(AND(A13="Required:",L9="Freddie",K13="No",K15&lt;&gt;""),3,""))))))))))</f>
        <v/>
      </c>
      <c r="Q17" s="716"/>
      <c r="R17" s="1292"/>
      <c r="S17" s="1292"/>
      <c r="T17" s="1292"/>
      <c r="U17" s="1292"/>
      <c r="V17" s="1292"/>
      <c r="W17" s="1292"/>
      <c r="X17" s="1292"/>
      <c r="Y17" s="1292"/>
      <c r="Z17" s="241"/>
      <c r="AA17" s="2266"/>
      <c r="AB17" s="1986"/>
      <c r="AC17" s="1986"/>
      <c r="AD17" s="1986"/>
      <c r="AE17" s="1986"/>
      <c r="AF17" s="2267"/>
    </row>
    <row r="18" spans="1:32" ht="26.4" customHeight="1" x14ac:dyDescent="0.3">
      <c r="A18" s="1364" t="str">
        <f>IF(AND(L77=1,M77=2),"    Lease Agreement or Market Rent from Appraisal (Form 1025) from non-occupied unit(s):","    Lease Agreement from non-occupied unit(s):")</f>
        <v xml:space="preserve">    Lease Agreement from non-occupied unit(s):</v>
      </c>
      <c r="B18" s="1364"/>
      <c r="C18" s="1364"/>
      <c r="D18" s="1364"/>
      <c r="E18" s="1364"/>
      <c r="F18" s="1364"/>
      <c r="G18" s="1364"/>
      <c r="H18" s="1364"/>
      <c r="I18" s="1364"/>
      <c r="J18" s="1364"/>
      <c r="K18" s="1364"/>
      <c r="L18" s="1364"/>
      <c r="M18" s="710"/>
      <c r="N18" s="710"/>
      <c r="O18" s="710"/>
      <c r="R18" s="1292"/>
      <c r="S18" s="1292"/>
      <c r="T18" s="1292"/>
      <c r="U18" s="1292"/>
      <c r="V18" s="1292"/>
      <c r="W18" s="1292"/>
      <c r="X18" s="1292"/>
      <c r="Y18" s="1292"/>
      <c r="Z18" s="241"/>
      <c r="AA18" s="2266"/>
      <c r="AB18" s="1986"/>
      <c r="AC18" s="1986"/>
      <c r="AD18" s="1986"/>
      <c r="AE18" s="1986"/>
      <c r="AF18" s="2267"/>
    </row>
    <row r="19" spans="1:32" ht="21.75" customHeight="1" x14ac:dyDescent="0.3">
      <c r="A19" s="2201" t="s">
        <v>577</v>
      </c>
      <c r="B19" s="1416"/>
      <c r="C19" s="1416"/>
      <c r="D19" s="1416"/>
      <c r="E19" s="1416"/>
      <c r="F19" s="1416"/>
      <c r="G19" s="1416"/>
      <c r="H19" s="1416"/>
      <c r="I19" s="1416"/>
      <c r="J19" s="1416"/>
      <c r="K19" s="1416"/>
      <c r="L19" s="1416"/>
      <c r="M19" s="1416"/>
      <c r="N19" s="1416"/>
      <c r="O19" s="1416"/>
      <c r="P19" s="1416"/>
      <c r="Q19" s="499"/>
      <c r="R19" s="1292"/>
      <c r="S19" s="1292"/>
      <c r="T19" s="1292"/>
      <c r="U19" s="1292"/>
      <c r="V19" s="1292"/>
      <c r="W19" s="1292"/>
      <c r="X19" s="1292"/>
      <c r="Y19" s="1292"/>
      <c r="Z19" s="241"/>
      <c r="AA19" s="2285" t="str">
        <f>IF(AF77=1,"Complete the data fields below for Pass/Fail",IF(AF77=2,"Double check loan type and Number of Units","To see if this test is required"))</f>
        <v>To see if this test is required</v>
      </c>
      <c r="AB19" s="2286"/>
      <c r="AC19" s="2286"/>
      <c r="AD19" s="2286"/>
      <c r="AE19" s="2286"/>
      <c r="AF19" s="2287"/>
    </row>
    <row r="20" spans="1:32" ht="7.2" customHeight="1" x14ac:dyDescent="0.3">
      <c r="A20" s="498"/>
      <c r="B20" s="499"/>
      <c r="C20" s="499"/>
      <c r="D20" s="499"/>
      <c r="E20" s="499"/>
      <c r="F20" s="499"/>
      <c r="G20" s="499"/>
      <c r="H20" s="499"/>
      <c r="I20" s="499"/>
      <c r="J20" s="499"/>
      <c r="K20" s="499"/>
      <c r="L20" s="499"/>
      <c r="M20" s="499"/>
      <c r="N20" s="499"/>
      <c r="O20" s="499"/>
      <c r="P20" s="499"/>
      <c r="Q20" s="499"/>
    </row>
    <row r="21" spans="1:32" ht="5.4" customHeight="1" x14ac:dyDescent="0.3">
      <c r="A21" s="498"/>
      <c r="B21" s="501"/>
      <c r="C21" s="2261"/>
      <c r="D21" s="2261"/>
      <c r="E21" s="2202"/>
      <c r="F21" s="2202"/>
      <c r="G21" s="2202"/>
      <c r="H21" s="2202"/>
      <c r="I21" s="2202"/>
      <c r="J21" s="2202"/>
      <c r="K21" s="2202"/>
      <c r="L21" s="2202"/>
      <c r="M21" s="2202"/>
      <c r="N21" s="722"/>
      <c r="O21" s="499"/>
      <c r="P21" s="499"/>
      <c r="Q21" s="499"/>
    </row>
    <row r="22" spans="1:32" ht="6" customHeight="1" x14ac:dyDescent="0.3">
      <c r="A22" s="2"/>
      <c r="B22" s="208"/>
      <c r="E22" s="2"/>
      <c r="F22" s="2"/>
      <c r="G22" s="2"/>
      <c r="H22" s="2270"/>
      <c r="I22" s="2270"/>
      <c r="J22" s="2"/>
      <c r="K22" s="2"/>
      <c r="L22" s="2"/>
      <c r="M22" s="2"/>
      <c r="N22" s="2"/>
      <c r="O22" s="2"/>
    </row>
    <row r="23" spans="1:32" ht="15.75" customHeight="1" thickBot="1" x14ac:dyDescent="0.35">
      <c r="A23" s="2"/>
      <c r="B23" s="501"/>
      <c r="C23" s="1957"/>
      <c r="D23" s="1957"/>
      <c r="E23" s="358" t="s">
        <v>576</v>
      </c>
      <c r="F23" s="920">
        <v>0.75</v>
      </c>
      <c r="G23" s="357"/>
      <c r="H23" s="2232" t="s">
        <v>179</v>
      </c>
      <c r="I23" s="2232"/>
      <c r="J23" s="2233">
        <f>IF(J6&lt;&gt;"",0,IF(OR(L77="",L78="",AND(J9="Fannie or Freddie?",L9="")),0,IF(AND(J11&lt;&gt;"",L11=""),0,IF(C23&gt;0,C23*F23,0))))</f>
        <v>0</v>
      </c>
      <c r="K23" s="2233"/>
      <c r="L23" s="2306" t="s">
        <v>1130</v>
      </c>
      <c r="M23" s="2306"/>
      <c r="N23" s="845"/>
      <c r="O23" s="2305" t="str">
        <f>IF(OR(AND(OR(L77="",L78=""),OR(C23&lt;&gt;"",J30&lt;&gt;"",M30&lt;&gt;"",O77&lt;&gt;"")),AND(A13="Required:",P17="",O77&gt;=1),AND(C23&lt;&gt;"",J6&lt;&gt;"")),"Top Section Required",
IF(AND(J11&lt;&gt;"",L11=""),"Top Section Required",
IF(AND(J9="Fannie or Freddie?",L9="",O77&gt;=1),"Fannie or Freddie Required",
IF(AND(A13="Required:",P17=2,L77=1),CONCATENATE("Limited to PITIA ($",M59,")"),
IF(AND(A13="Required:",P17=2,L77=2),CONCATENATE("Limited to PITIA ($",K59,")"),
IF(AND(A13="Required:",P17=3),"Rent income Not Eligible, $0 will be added",
IF(AND(L78=1,L9="Freddie",L11="Yes"),"Final rent income must be entered on the 30% wkst.",
IF(AND(L78=2,J11&lt;&gt;"",L11="Yes"),"Final rent income must be entered on the 30% wkst.",""))))))))</f>
        <v/>
      </c>
      <c r="P23" s="2305"/>
      <c r="Q23" s="842"/>
      <c r="S23" s="531" t="s">
        <v>142</v>
      </c>
      <c r="T23" s="1791" t="s">
        <v>901</v>
      </c>
      <c r="U23" s="1791"/>
      <c r="V23" s="1791"/>
      <c r="W23" s="1791"/>
      <c r="X23" s="1791"/>
      <c r="Y23" s="1791"/>
      <c r="Z23" s="1791"/>
      <c r="AA23" s="1791"/>
      <c r="AB23" s="2193"/>
      <c r="AC23" s="2193"/>
      <c r="AD23" s="2193"/>
    </row>
    <row r="24" spans="1:32" ht="14.25" customHeight="1" thickTop="1" x14ac:dyDescent="0.3">
      <c r="A24" s="2"/>
      <c r="B24" s="2"/>
      <c r="C24" s="2249" t="s">
        <v>1048</v>
      </c>
      <c r="D24" s="2249"/>
      <c r="E24" s="2"/>
      <c r="F24" s="1508" t="s">
        <v>578</v>
      </c>
      <c r="G24" s="504"/>
      <c r="H24" s="1508"/>
      <c r="I24" s="2246"/>
      <c r="J24" s="2247"/>
      <c r="K24" s="2247"/>
      <c r="L24" s="2306"/>
      <c r="M24" s="2306"/>
      <c r="N24" s="845"/>
      <c r="O24" s="2305"/>
      <c r="P24" s="2305"/>
      <c r="Q24" s="842"/>
      <c r="T24" s="2273" t="s">
        <v>914</v>
      </c>
      <c r="U24" s="2273"/>
      <c r="V24" s="2273"/>
      <c r="W24" s="2273"/>
      <c r="X24" s="2273"/>
      <c r="Y24" s="2273"/>
      <c r="Z24" s="2273"/>
      <c r="AA24" s="2273"/>
    </row>
    <row r="25" spans="1:32" ht="14.25" customHeight="1" x14ac:dyDescent="0.3">
      <c r="A25" s="2"/>
      <c r="B25" s="2"/>
      <c r="C25" s="2250"/>
      <c r="D25" s="2250"/>
      <c r="E25" s="2"/>
      <c r="F25" s="1508"/>
      <c r="G25" s="504"/>
      <c r="H25" s="2246"/>
      <c r="I25" s="2246"/>
      <c r="J25" s="2247"/>
      <c r="K25" s="2247"/>
      <c r="L25" s="2306"/>
      <c r="M25" s="2306"/>
      <c r="N25" s="845"/>
      <c r="O25" s="2305"/>
      <c r="P25" s="2305"/>
      <c r="Q25" s="842"/>
      <c r="T25" s="2276" t="s">
        <v>910</v>
      </c>
      <c r="U25" s="2276"/>
      <c r="V25" s="2276"/>
      <c r="W25" s="2276"/>
      <c r="X25" s="2277" t="s">
        <v>908</v>
      </c>
      <c r="Y25" s="2277"/>
      <c r="AA25" s="2274">
        <f>IF(AB23="",0,AB23*0.25)</f>
        <v>0</v>
      </c>
      <c r="AB25" s="2274"/>
      <c r="AC25" s="2274"/>
    </row>
    <row r="26" spans="1:32" ht="34.799999999999997" customHeight="1" x14ac:dyDescent="0.3">
      <c r="C26" s="2250"/>
      <c r="D26" s="2250"/>
      <c r="E26" s="2307" t="str">
        <f>IF(AND(O77=1,M77=3,K50&lt;J23),"Caution: Non-Conservative Selection.  Schedule E calculation is recommended
or an explanation/justification is required for using this amount.","")</f>
        <v/>
      </c>
      <c r="F26" s="2307"/>
      <c r="G26" s="2307"/>
      <c r="H26" s="2307"/>
      <c r="I26" s="2307"/>
      <c r="J26" s="2307"/>
      <c r="K26" s="2307"/>
      <c r="L26" s="2307"/>
      <c r="M26" s="2307"/>
      <c r="N26" s="2307"/>
      <c r="O26" s="2307"/>
      <c r="P26" s="706"/>
      <c r="Q26" s="706"/>
      <c r="X26" s="2277"/>
      <c r="Y26" s="2277"/>
      <c r="Z26" s="44"/>
      <c r="AA26" s="2275"/>
      <c r="AB26" s="2275"/>
      <c r="AC26" s="2275"/>
    </row>
    <row r="27" spans="1:32" ht="7.2" customHeight="1" x14ac:dyDescent="0.3">
      <c r="A27" s="58" t="str">
        <f>IF(A13="Required","1.","")</f>
        <v/>
      </c>
      <c r="J27" s="706"/>
      <c r="K27" s="706"/>
      <c r="L27" s="706"/>
      <c r="M27" s="706"/>
      <c r="N27" s="706"/>
      <c r="O27" s="706"/>
      <c r="P27" s="706"/>
      <c r="Q27" s="706"/>
    </row>
    <row r="28" spans="1:32" ht="7.2" customHeight="1" x14ac:dyDescent="0.3">
      <c r="A28" s="708" t="str">
        <f>IF(A13="Required","2.","")</f>
        <v/>
      </c>
      <c r="J28" s="706">
        <v>2022</v>
      </c>
      <c r="K28" s="706"/>
      <c r="L28" s="706"/>
      <c r="M28" s="706"/>
      <c r="N28" s="706"/>
      <c r="O28" s="706"/>
    </row>
    <row r="29" spans="1:32" ht="15.75" customHeight="1" x14ac:dyDescent="0.3">
      <c r="A29" s="1812" t="s">
        <v>580</v>
      </c>
      <c r="B29" s="1812"/>
      <c r="C29" s="1812"/>
      <c r="D29" s="1812"/>
      <c r="E29" s="2259" t="str">
        <f>IF(AND(L77=1,M77=2),"- Not Applicable on Purchases","")</f>
        <v/>
      </c>
      <c r="F29" s="2259"/>
      <c r="G29" s="2259"/>
      <c r="H29" s="2259"/>
      <c r="I29" s="2259"/>
      <c r="J29" s="1988">
        <v>2025</v>
      </c>
      <c r="K29" s="1988"/>
      <c r="L29" s="2"/>
      <c r="M29" s="1987">
        <f>J29-1</f>
        <v>2024</v>
      </c>
      <c r="N29" s="1987"/>
      <c r="O29" s="1987"/>
      <c r="S29" s="531" t="s">
        <v>143</v>
      </c>
      <c r="T29" s="1791" t="s">
        <v>915</v>
      </c>
      <c r="U29" s="1791"/>
      <c r="V29" s="1791"/>
      <c r="W29" s="1791"/>
      <c r="X29" s="1791"/>
      <c r="Y29" s="1791"/>
      <c r="Z29" s="2193"/>
      <c r="AA29" s="2193"/>
      <c r="AB29" s="2193"/>
    </row>
    <row r="30" spans="1:32" ht="15.75" customHeight="1" x14ac:dyDescent="0.3">
      <c r="A30" s="4" t="s">
        <v>1</v>
      </c>
      <c r="B30" s="1701" t="s">
        <v>1428</v>
      </c>
      <c r="C30" s="1701"/>
      <c r="D30" s="1701"/>
      <c r="E30" s="1701"/>
      <c r="F30" s="1701"/>
      <c r="G30" s="1701"/>
      <c r="H30" s="1701"/>
      <c r="I30" s="2"/>
      <c r="J30" s="1957"/>
      <c r="K30" s="1957"/>
      <c r="L30" s="2"/>
      <c r="M30" s="1957"/>
      <c r="N30" s="1957"/>
      <c r="O30" s="1957"/>
      <c r="T30" s="535" t="s">
        <v>911</v>
      </c>
      <c r="U30" s="535"/>
      <c r="V30" s="535"/>
      <c r="W30" s="535"/>
      <c r="X30" s="535"/>
      <c r="Y30" s="535"/>
    </row>
    <row r="31" spans="1:32" ht="15.75" customHeight="1" x14ac:dyDescent="0.3">
      <c r="A31" s="4" t="s">
        <v>2</v>
      </c>
      <c r="B31" s="1701" t="s">
        <v>1441</v>
      </c>
      <c r="C31" s="1701"/>
      <c r="D31" s="1701"/>
      <c r="E31" s="1701"/>
      <c r="F31" s="1701"/>
      <c r="G31" s="1701"/>
      <c r="H31" s="1701"/>
      <c r="I31" s="58" t="s">
        <v>14</v>
      </c>
      <c r="J31" s="1957"/>
      <c r="K31" s="1957"/>
      <c r="L31" s="3" t="s">
        <v>1288</v>
      </c>
      <c r="M31" s="1957"/>
      <c r="N31" s="1957"/>
      <c r="O31" s="1957"/>
      <c r="P31" s="56" t="s">
        <v>13</v>
      </c>
      <c r="T31" s="536" t="s">
        <v>916</v>
      </c>
      <c r="U31" s="537"/>
      <c r="V31" s="537"/>
      <c r="W31" s="537"/>
      <c r="Y31" s="481"/>
      <c r="AB31" s="14"/>
      <c r="AC31" s="14"/>
    </row>
    <row r="32" spans="1:32" ht="15.75" customHeight="1" x14ac:dyDescent="0.35">
      <c r="A32" s="4" t="s">
        <v>3</v>
      </c>
      <c r="B32" s="1701" t="s">
        <v>1442</v>
      </c>
      <c r="C32" s="1701"/>
      <c r="D32" s="1701"/>
      <c r="E32" s="1701"/>
      <c r="F32" s="1701"/>
      <c r="G32" s="1701"/>
      <c r="H32" s="1701"/>
      <c r="I32" s="2"/>
      <c r="J32" s="1985"/>
      <c r="K32" s="1985"/>
      <c r="L32" s="212" t="s">
        <v>255</v>
      </c>
      <c r="M32" s="1985"/>
      <c r="N32" s="1985"/>
      <c r="O32" s="1985"/>
      <c r="P32" s="213" t="s">
        <v>255</v>
      </c>
      <c r="Q32" s="213"/>
      <c r="X32" s="1369" t="s">
        <v>909</v>
      </c>
      <c r="Y32" s="1369"/>
      <c r="AA32" s="2268">
        <f>IF(Z29&lt;&gt;"",Z29/12,0)</f>
        <v>0</v>
      </c>
      <c r="AB32" s="2268"/>
      <c r="AC32" s="2268"/>
    </row>
    <row r="33" spans="1:31" ht="15.75" customHeight="1" x14ac:dyDescent="0.3">
      <c r="A33" s="4" t="s">
        <v>4</v>
      </c>
      <c r="B33" s="1701" t="s">
        <v>1437</v>
      </c>
      <c r="C33" s="1701"/>
      <c r="D33" s="1701"/>
      <c r="E33" s="1701"/>
      <c r="F33" s="1701"/>
      <c r="G33" s="1701"/>
      <c r="H33" s="1701"/>
      <c r="I33" s="2"/>
      <c r="J33" s="1957"/>
      <c r="K33" s="1957"/>
      <c r="L33" s="2"/>
      <c r="M33" s="1957"/>
      <c r="N33" s="1957"/>
      <c r="O33" s="1957"/>
    </row>
    <row r="34" spans="1:31" ht="15.75" customHeight="1" x14ac:dyDescent="0.3">
      <c r="A34" s="4" t="s">
        <v>5</v>
      </c>
      <c r="B34" s="1701" t="s">
        <v>1438</v>
      </c>
      <c r="C34" s="1701"/>
      <c r="D34" s="1701"/>
      <c r="E34" s="1701"/>
      <c r="F34" s="1701"/>
      <c r="G34" s="1701"/>
      <c r="H34" s="1701"/>
      <c r="I34" s="2"/>
      <c r="J34" s="1957"/>
      <c r="K34" s="1957"/>
      <c r="L34" s="2"/>
      <c r="M34" s="1957"/>
      <c r="N34" s="1957"/>
      <c r="O34" s="1957"/>
      <c r="S34" s="531" t="s">
        <v>145</v>
      </c>
      <c r="T34" s="1791" t="s">
        <v>900</v>
      </c>
      <c r="U34" s="1791"/>
      <c r="V34" s="1791"/>
      <c r="W34" s="1791"/>
      <c r="X34" s="1791"/>
      <c r="Y34" s="1791"/>
      <c r="AA34" s="532" t="s">
        <v>14</v>
      </c>
      <c r="AB34" s="2268">
        <f>IF(AND(AA25&lt;&gt;0,AA32&lt;&gt;0,AA32&gt;=AA25),AA32,IF(AND(AA25&lt;&gt;0,AA32&lt;&gt;0,AA32&lt;AA25),AA25,0))</f>
        <v>0</v>
      </c>
      <c r="AC34" s="2268"/>
      <c r="AD34" s="2268"/>
      <c r="AE34" s="33" t="s">
        <v>13</v>
      </c>
    </row>
    <row r="35" spans="1:31" ht="15.75" customHeight="1" x14ac:dyDescent="0.3">
      <c r="A35" s="4" t="s">
        <v>6</v>
      </c>
      <c r="B35" s="1701" t="s">
        <v>1443</v>
      </c>
      <c r="C35" s="1701"/>
      <c r="D35" s="1701"/>
      <c r="E35" s="1701"/>
      <c r="F35" s="1701"/>
      <c r="G35" s="1701"/>
      <c r="H35" s="1701"/>
      <c r="I35" s="2"/>
      <c r="J35" s="1957"/>
      <c r="K35" s="1957"/>
      <c r="L35" s="2"/>
      <c r="M35" s="1957"/>
      <c r="N35" s="1957"/>
      <c r="O35" s="1957"/>
      <c r="T35" s="421" t="s">
        <v>917</v>
      </c>
      <c r="U35" s="421"/>
      <c r="V35" s="421"/>
      <c r="W35" s="421"/>
      <c r="X35" s="421"/>
      <c r="Y35" s="421"/>
    </row>
    <row r="36" spans="1:31" ht="15.75" customHeight="1" x14ac:dyDescent="0.3">
      <c r="A36" s="4" t="s">
        <v>7</v>
      </c>
      <c r="B36" s="1701" t="s">
        <v>1444</v>
      </c>
      <c r="C36" s="1701"/>
      <c r="D36" s="1701"/>
      <c r="E36" s="1701"/>
      <c r="F36" s="1701"/>
      <c r="G36" s="1701"/>
      <c r="H36" s="1701"/>
      <c r="I36" s="2"/>
      <c r="J36" s="1957"/>
      <c r="K36" s="1957"/>
      <c r="L36" s="2"/>
      <c r="M36" s="1957"/>
      <c r="N36" s="1957"/>
      <c r="O36" s="1957"/>
    </row>
    <row r="37" spans="1:31" ht="15.75" customHeight="1" thickBot="1" x14ac:dyDescent="0.35">
      <c r="A37" s="4" t="s">
        <v>8</v>
      </c>
      <c r="B37" s="1701" t="s">
        <v>1433</v>
      </c>
      <c r="C37" s="1701"/>
      <c r="D37" s="1701"/>
      <c r="E37" s="1979"/>
      <c r="F37" s="1979"/>
      <c r="G37" s="1979"/>
      <c r="H37" s="1979"/>
      <c r="I37" s="2"/>
      <c r="J37" s="1957"/>
      <c r="K37" s="1957"/>
      <c r="L37" s="2"/>
      <c r="M37" s="1957"/>
      <c r="N37" s="1957"/>
      <c r="O37" s="1957"/>
      <c r="S37" s="531" t="s">
        <v>146</v>
      </c>
      <c r="T37" s="1836" t="s">
        <v>907</v>
      </c>
      <c r="U37" s="1836"/>
      <c r="V37" s="1836"/>
      <c r="W37" s="1836"/>
      <c r="X37" s="1836"/>
      <c r="Y37" s="1836"/>
      <c r="AB37" s="1963">
        <f>IF(AND(AB23&lt;&gt;0,AB34&lt;&gt;"0"),AB23-AB34,0)</f>
        <v>0</v>
      </c>
      <c r="AC37" s="1963"/>
      <c r="AD37" s="1963"/>
    </row>
    <row r="38" spans="1:31" ht="15.75" customHeight="1" thickTop="1" thickBot="1" x14ac:dyDescent="0.35">
      <c r="A38" s="4" t="s">
        <v>9</v>
      </c>
      <c r="B38" s="1427" t="s">
        <v>209</v>
      </c>
      <c r="C38" s="1427"/>
      <c r="D38" s="1427"/>
      <c r="E38" s="1427"/>
      <c r="F38" s="1427"/>
      <c r="G38" s="1427"/>
      <c r="H38" s="1427"/>
      <c r="I38" s="2"/>
      <c r="J38" s="1959">
        <f>J30-J31+J32+J33+J34+J35+J36+J37</f>
        <v>0</v>
      </c>
      <c r="K38" s="1959"/>
      <c r="L38" s="2"/>
      <c r="M38" s="1959" cm="1">
        <f t="array" ref="M38">IF(P75=TRUE,0,IF(OR(L9="Fannie",L9="Freddie",'I&amp;D Worksheet'!$J$8:$N$8="Conventional"),0,M30-M31+M32+M33+M34+M35+M36+M37))</f>
        <v>0</v>
      </c>
      <c r="N38" s="1959"/>
      <c r="O38" s="1959"/>
    </row>
    <row r="39" spans="1:31" ht="9" customHeight="1" thickTop="1" x14ac:dyDescent="0.3">
      <c r="A39" s="4"/>
      <c r="B39" s="3"/>
      <c r="C39" s="3"/>
      <c r="D39" s="3"/>
      <c r="E39" s="3"/>
      <c r="F39" s="3"/>
      <c r="G39" s="1958" t="s">
        <v>814</v>
      </c>
      <c r="H39" s="1958"/>
      <c r="I39" s="1958"/>
      <c r="J39" s="1989">
        <f>IF(AND(F49&lt;12,F49&lt;&gt;""),(J38/F49)*12,J38)</f>
        <v>0</v>
      </c>
      <c r="K39" s="1989"/>
      <c r="L39" s="8"/>
      <c r="M39" s="1989">
        <f>IF(AND(D49&lt;12,D49&lt;&gt;""),(M38/D49)*12,M38)</f>
        <v>0</v>
      </c>
      <c r="N39" s="1989"/>
      <c r="O39" s="1989"/>
    </row>
    <row r="40" spans="1:31" ht="16.8" customHeight="1" x14ac:dyDescent="0.3">
      <c r="A40" s="4"/>
      <c r="B40" s="30"/>
      <c r="C40" s="2209" t="str">
        <f>CONCATENATE("Exclude ", M29, " from Total Adjusted Net Rental Income Below")</f>
        <v>Exclude 2024 from Total Adjusted Net Rental Income Below</v>
      </c>
      <c r="D40" s="2209"/>
      <c r="E40" s="2209"/>
      <c r="F40" s="2209"/>
      <c r="G40" s="2209"/>
      <c r="H40" s="2209"/>
      <c r="I40" s="2209"/>
      <c r="J40" s="2209"/>
      <c r="K40" s="2269" t="str">
        <f>IF(AND(J39&lt;M39,OR(G48="",G48=12,G48=24)),CONCATENATE(ROUND(((M39-J39)/M39)*100,2),"%"," Decline from ",M29," to ",J29,),
IF(AND(G48&gt;12,G48&lt;24,J39&lt;M39),CONCATENATE(ROUND(((M39-J39)/M39)*100,2),"%"," Decline from ",M29," to ",J29,),
IF(J39&lt;M39,(CONCATENATE("Decline from ",M29," to ",J29,)),
IF(AND(J39&gt;M39,OR(G48="",G48=12,G48=24)),CONCATENATE(ROUND(((J39-M39)/M39)*100,2),"%"," Increase from ",M29," to ",J29,),
IF(AND(G48&gt;12,G48&lt;24,J39&gt;M39),CONCATENATE(ROUND(((J39-M39)/M39)*100,2),"%"," Increase from ",M29," to ",J29,),"")))))</f>
        <v/>
      </c>
      <c r="L40" s="2269"/>
      <c r="M40" s="2269"/>
      <c r="N40" s="721"/>
      <c r="O40" s="25"/>
    </row>
    <row r="41" spans="1:31" ht="7.8" customHeight="1" x14ac:dyDescent="0.3">
      <c r="A41" s="4"/>
      <c r="B41" s="2"/>
      <c r="C41" s="2"/>
      <c r="D41" s="2"/>
      <c r="E41" s="2"/>
      <c r="F41" s="2"/>
      <c r="G41" s="2"/>
      <c r="H41" s="2"/>
      <c r="I41" s="2"/>
      <c r="J41" s="2"/>
      <c r="K41" s="896"/>
      <c r="L41" s="896"/>
      <c r="M41" s="896"/>
      <c r="N41" s="2"/>
      <c r="O41" s="2"/>
    </row>
    <row r="42" spans="1:31" ht="15.75" customHeight="1" x14ac:dyDescent="0.3">
      <c r="A42" s="4" t="s">
        <v>10</v>
      </c>
      <c r="B42" s="1701" t="s">
        <v>208</v>
      </c>
      <c r="C42" s="1701"/>
      <c r="D42" s="1701"/>
      <c r="E42" s="1701"/>
      <c r="F42" s="1701"/>
      <c r="G42" s="1701"/>
      <c r="H42" s="1701"/>
      <c r="I42" s="3"/>
      <c r="J42" s="2"/>
      <c r="K42" s="2210">
        <f>IF(O76=TRUE,J38,J38+M38)</f>
        <v>0</v>
      </c>
      <c r="L42" s="2210"/>
      <c r="M42" s="5"/>
      <c r="N42" s="5"/>
      <c r="S42" s="531" t="s">
        <v>147</v>
      </c>
      <c r="T42" s="1791" t="s">
        <v>902</v>
      </c>
      <c r="U42" s="1791"/>
      <c r="V42" s="1791"/>
      <c r="W42" s="1791"/>
      <c r="X42" s="1791"/>
      <c r="Y42" s="1791"/>
      <c r="AB42" s="2193"/>
      <c r="AC42" s="2193"/>
      <c r="AD42" s="2193"/>
    </row>
    <row r="43" spans="1:31" ht="4.8" customHeight="1" x14ac:dyDescent="0.3">
      <c r="A43" s="4"/>
      <c r="B43" s="2"/>
      <c r="C43" s="2"/>
      <c r="D43" s="2"/>
      <c r="E43" s="2"/>
      <c r="F43" s="2"/>
      <c r="G43" s="2"/>
      <c r="H43" s="2"/>
      <c r="I43" s="3"/>
      <c r="J43" s="2"/>
      <c r="K43" s="717">
        <f>IF(AND(L77=1,M77&gt;1,O77=1),J23,IF(AND(L77=1,M77=3,O77=2),K50,IF(AND(L77=1,M77=2,O77=2),0,0)))</f>
        <v>0</v>
      </c>
      <c r="L43" s="717">
        <f>IF(AND(L77=2,O77=1),J23,IF(AND(L77=2,O77=2),K50,0))</f>
        <v>0</v>
      </c>
      <c r="M43" s="133"/>
      <c r="N43" s="133"/>
    </row>
    <row r="44" spans="1:31" ht="15.75" customHeight="1" x14ac:dyDescent="0.3">
      <c r="A44" s="4" t="s">
        <v>11</v>
      </c>
      <c r="B44" s="1701" t="s">
        <v>12</v>
      </c>
      <c r="C44" s="1701"/>
      <c r="D44" s="1701"/>
      <c r="E44" s="1701"/>
      <c r="F44" s="420"/>
      <c r="I44" s="2"/>
      <c r="J44" s="46">
        <f>IF(AND(M77=2,L9="Fannie",L77=1,P17=2,K43&gt;M59,A13="Required:"),M59,
IF(AND(M77=2,L9="Fannie",L77=1,P17=3,A13="Required:"),0,
IF(AND(M77=2,L9="Fannie",L77=1,P17="",A13="Required:"),0,
IF(AND(M77=2,L9="Freddie",L77=1,P17=2,K43&gt;M59,A13="Required:"),M59,
IF(AND(M77=2,L9="Freddie",L77=1,P17=3,A13="Required:"),0,
IF(AND(M77=2,L9="Freddie",L77=1,P17="",A13="Required:"),0,K43))))))</f>
        <v>0</v>
      </c>
      <c r="K44" s="1091">
        <f>IF(OR(AND(L78=1,L9="Freddie",L11="Yes"),AND(L78=2,J11&lt;&gt;"",L11="Yes")),0,
IF(AND(M77=2,L9="Fannie",L77=1,P17=2,K43&gt;M59,A13="Required:"),M59,
IF(AND(M77=2,L9="Fannie",L77=1,P17=3,A13="Required:"),0,
IF(AND(M77=2,L9="Fannie",L77=1,P17="",A13="Required:"),0,
IF(AND(M77=2,L9="Freddie",L77=1,P17=2,K43&gt;M59,A13="Required:"),M59,
IF(AND(M77=2,L9="Freddie",L77=1,P17=3,A13="Required:"),0,
IF(AND(M77=2,L9="Freddie",L77=1,P17="",A13="Required:"),0,K43)))))))</f>
        <v>0</v>
      </c>
      <c r="L44" s="719">
        <f>IF(AND(L77=2,L78=2),L43,
IF(AND(L77=2,L78=1,L9="Freddie"),L43,
IF(AND(L77=2,L78=1,L9="Fannie",P17=1,A13="Required:"),L43,
IF(AND(L77=2,L78=1,L9="Fannie",P17=2,A13="Required:",L43&gt;=K59),K59,
IF(AND(L77=2,L78=1,L9="Fannie",P17=2,A13="Required:",L43&lt;K59),L43,
IF(AND(L77=2,L78=1,L9="Fannie",P17=3,A13="Required:"),0,
0))))))</f>
        <v>0</v>
      </c>
      <c r="M44" s="714"/>
      <c r="N44" s="714"/>
    </row>
    <row r="45" spans="1:31" ht="4.2" customHeight="1" thickBot="1" x14ac:dyDescent="0.35">
      <c r="A45" s="4"/>
      <c r="B45" s="2"/>
      <c r="C45" s="2"/>
      <c r="D45" s="2"/>
      <c r="E45" s="2"/>
      <c r="H45" s="12"/>
      <c r="I45" s="2255" t="str">
        <f>IF(OR(AND(F44&gt;12,P75=TRUE),AND(D49&lt;&gt;"",D49&gt;12),AND(F49&lt;&gt;"",F49&gt;12)),"Error: Greater than 12 months
in one year entered","")</f>
        <v/>
      </c>
      <c r="J45" s="2255"/>
      <c r="K45" s="2255"/>
      <c r="L45" s="2255"/>
      <c r="M45" s="1855" t="str">
        <f>IF(OR(AND(OR(L77="",L78=""),OR(C23&lt;&gt;"",J30&lt;&gt;"",M30&lt;&gt;"",O77&lt;&gt;"")),AND(A13="Required:",P17="",O77&gt;=1),AND(K42&lt;&gt;0,J6&lt;&gt;"")),"Top Section Required",
IF(AND(J11&lt;&gt;"",L11=""),"Top Section Required",
IF(AND(J9="Fannie or Freddie?",L9="",O77&gt;=1),"Fannie or Freddie Required",
IF(AND(A13="Required:",P17=2,L77=1),CONCATENATE("Limited to PITIA ($",M59,")"),
IF(AND(A13="Required:",P17=2,L77=2),CONCATENATE("Limited to PITIA ($",K59,")"),
IF(AND(A13="Required:",P17=3),"Rent income Not Eligible, $0 will be added",
IF(AND(L78=1,L9="Freddie",L11="Yes"),"Final rent income must be entered on the 30% wkst.",
IF(AND(L78=2,J11&lt;&gt;"",L11="Yes"),"Final rent income must be entered on the 30% wkst.",""))))))))</f>
        <v/>
      </c>
      <c r="N45" s="1855"/>
      <c r="O45" s="1855"/>
      <c r="P45" s="1855"/>
      <c r="Q45" s="844"/>
      <c r="V45" s="3"/>
      <c r="W45" s="3"/>
      <c r="Z45" s="534"/>
      <c r="AA45" s="534"/>
      <c r="AB45" s="534"/>
      <c r="AC45" s="534"/>
    </row>
    <row r="46" spans="1:31" ht="10.199999999999999" customHeight="1" thickBot="1" x14ac:dyDescent="0.35">
      <c r="A46" s="4"/>
      <c r="B46" s="2256" t="s">
        <v>299</v>
      </c>
      <c r="C46" s="2257"/>
      <c r="D46" s="2257"/>
      <c r="E46" s="2257"/>
      <c r="F46" s="2257"/>
      <c r="G46" s="2257"/>
      <c r="H46" s="2258"/>
      <c r="I46" s="2255"/>
      <c r="J46" s="2255"/>
      <c r="K46" s="2255"/>
      <c r="L46" s="2255"/>
      <c r="M46" s="1855"/>
      <c r="N46" s="1855"/>
      <c r="O46" s="1855"/>
      <c r="P46" s="1855"/>
      <c r="Q46" s="844"/>
      <c r="U46" s="3"/>
      <c r="V46" s="3"/>
      <c r="W46" s="3"/>
      <c r="X46" s="533"/>
      <c r="Y46" s="534"/>
      <c r="Z46" s="534"/>
      <c r="AA46" s="534"/>
      <c r="AB46" s="534"/>
      <c r="AC46" s="534"/>
    </row>
    <row r="47" spans="1:31" ht="10.8" customHeight="1" x14ac:dyDescent="0.3">
      <c r="A47" s="4"/>
      <c r="B47" s="1996" t="str">
        <f>CONCATENATE(M29," Start:")</f>
        <v>2024 Start:</v>
      </c>
      <c r="C47" s="1997"/>
      <c r="D47" s="405" t="str">
        <f>CONCATENATE(M29," End:")</f>
        <v>2024 End:</v>
      </c>
      <c r="E47" s="406" t="str">
        <f>CONCATENATE(J29," Start:")</f>
        <v>2025 Start:</v>
      </c>
      <c r="F47" s="506" t="str">
        <f>CONCATENATE(J29," End:")</f>
        <v>2025 End:</v>
      </c>
      <c r="G47" s="2225" t="s">
        <v>178</v>
      </c>
      <c r="H47" s="2226"/>
      <c r="I47" s="2255"/>
      <c r="J47" s="2255"/>
      <c r="K47" s="2255"/>
      <c r="L47" s="2255"/>
      <c r="M47" s="1855"/>
      <c r="N47" s="1855"/>
      <c r="O47" s="1855"/>
      <c r="P47" s="1855"/>
      <c r="Q47" s="844"/>
      <c r="S47" s="2292" t="s">
        <v>148</v>
      </c>
      <c r="T47" s="1292" t="s">
        <v>904</v>
      </c>
      <c r="U47" s="1292"/>
      <c r="V47" s="1292"/>
      <c r="W47" s="1292"/>
      <c r="X47" s="1292"/>
      <c r="Y47" s="1292"/>
      <c r="Z47" s="74"/>
      <c r="AA47" s="74"/>
      <c r="AB47" s="2060">
        <f>IF(AND(AB37&lt;&gt;"",AB42&lt;&gt;""),AB37-AB42,0)</f>
        <v>0</v>
      </c>
      <c r="AC47" s="2060"/>
      <c r="AD47" s="2060"/>
    </row>
    <row r="48" spans="1:31" ht="11.4" customHeight="1" thickBot="1" x14ac:dyDescent="0.35">
      <c r="A48" s="4"/>
      <c r="B48" s="1998"/>
      <c r="C48" s="1999"/>
      <c r="D48" s="408"/>
      <c r="E48" s="409"/>
      <c r="F48" s="507"/>
      <c r="G48" s="2227" t="str">
        <f>G49</f>
        <v/>
      </c>
      <c r="H48" s="2228"/>
      <c r="I48" s="2255"/>
      <c r="J48" s="2255"/>
      <c r="K48" s="2255"/>
      <c r="L48" s="2255"/>
      <c r="M48" s="1855"/>
      <c r="N48" s="1855"/>
      <c r="O48" s="1855"/>
      <c r="P48" s="1855"/>
      <c r="Q48" s="844"/>
      <c r="S48" s="2292"/>
      <c r="T48" s="1292"/>
      <c r="U48" s="1292"/>
      <c r="V48" s="1292"/>
      <c r="W48" s="1292"/>
      <c r="X48" s="1292"/>
      <c r="Y48" s="1292"/>
      <c r="Z48" s="534"/>
      <c r="AA48" s="534"/>
      <c r="AB48" s="1915"/>
      <c r="AC48" s="1915"/>
      <c r="AD48" s="1915"/>
    </row>
    <row r="49" spans="1:32" ht="3" customHeight="1" x14ac:dyDescent="0.3">
      <c r="A49" s="4"/>
      <c r="B49" s="1981" t="str">
        <f>IF(AND(B48="",D48="",M38&lt;&gt;0),1,IF(AND(B48="",D48="",M38=0),"",IF(AND(B48="",D48&lt;&gt;""),"",IF(AND(B48&lt;&gt;"",D48=""),"",YEARFRAC(B48,D48+1,4)))))</f>
        <v/>
      </c>
      <c r="C49" s="1981"/>
      <c r="D49" s="412" t="str">
        <f>IF(P75=TRUE,"",IF(B49="","",ROUND(B49*12,2)))</f>
        <v/>
      </c>
      <c r="E49" s="413" t="str">
        <f>IF(AND(E48="",F48="",J38&lt;&gt;0),1,IF(AND(E48="",F48="",J38=0),"",IF(AND(E48="",F48&lt;&gt;""),"",IF(AND(E48&lt;&gt;"",F48=""),"",YEARFRAC(E48,F48+1,4)))))</f>
        <v/>
      </c>
      <c r="F49" s="412" t="str">
        <f>IF(E49="","",ROUND(E49*12,2))</f>
        <v/>
      </c>
      <c r="G49" s="2224" t="str">
        <f>IF(AND(D49&lt;&gt;"",F49&lt;&gt;""),F49+D49,IF(AND(D49&lt;&gt;"",F49=""),D49,IF(AND(D49="",F49&lt;&gt;""),F49,"")))</f>
        <v/>
      </c>
      <c r="H49" s="2224"/>
      <c r="I49" s="2255"/>
      <c r="J49" s="2255"/>
      <c r="K49" s="2255"/>
      <c r="L49" s="2255"/>
      <c r="M49" s="1855"/>
      <c r="N49" s="1855"/>
      <c r="O49" s="1855"/>
      <c r="P49" s="1855"/>
      <c r="Q49" s="844"/>
      <c r="U49" s="502"/>
      <c r="V49" s="502"/>
      <c r="W49" s="502"/>
      <c r="X49" s="533"/>
      <c r="Z49" s="534"/>
      <c r="AA49" s="534"/>
      <c r="AB49" s="534"/>
      <c r="AC49" s="534"/>
    </row>
    <row r="50" spans="1:32" ht="15.75" customHeight="1" thickBot="1" x14ac:dyDescent="0.35">
      <c r="A50" s="4" t="s">
        <v>39</v>
      </c>
      <c r="B50" s="1427" t="s">
        <v>213</v>
      </c>
      <c r="C50" s="1427"/>
      <c r="D50" s="1427"/>
      <c r="E50" s="1427"/>
      <c r="F50" s="1427"/>
      <c r="G50" s="1427"/>
      <c r="H50" s="1427"/>
      <c r="I50" s="1427"/>
      <c r="J50" s="3"/>
      <c r="K50" s="2252">
        <f>IF(J6&lt;&gt;"",0,IF(OR(L77="",L78="",AND(J9="Fannie or Freddie?",L9="")),0,IF(AND(J11&lt;&gt;"",L11=""),0,IF(F44&gt;0,K42/F44,))))</f>
        <v>0</v>
      </c>
      <c r="L50" s="2252"/>
      <c r="M50" s="2253" t="str">
        <f>IF(AND(L77=1,M77=2),"               - Can't select
                on purchases","               -  Select to 
                    use this 
                rent amount")</f>
        <v xml:space="preserve">               -  Select to 
                    use this 
                rent amount</v>
      </c>
      <c r="N50" s="2253"/>
      <c r="O50" s="2254"/>
      <c r="P50" s="2254"/>
      <c r="Q50" s="843"/>
      <c r="Z50" s="534"/>
      <c r="AA50" s="534"/>
      <c r="AB50" s="534"/>
      <c r="AC50" s="534"/>
    </row>
    <row r="51" spans="1:32" ht="15.75" customHeight="1" thickTop="1" x14ac:dyDescent="0.3">
      <c r="A51" s="9"/>
      <c r="B51" s="2"/>
      <c r="C51" s="2164" t="s">
        <v>586</v>
      </c>
      <c r="D51" s="2164"/>
      <c r="E51" s="2164"/>
      <c r="F51" s="2164"/>
      <c r="G51" s="2164"/>
      <c r="H51" s="2164"/>
      <c r="I51" s="2164"/>
      <c r="J51" s="2164"/>
      <c r="K51" s="2164"/>
      <c r="L51" s="2164"/>
      <c r="M51" s="2254"/>
      <c r="N51" s="2254"/>
      <c r="O51" s="2254"/>
      <c r="P51" s="2254"/>
      <c r="Q51" s="843"/>
      <c r="U51" s="3"/>
      <c r="V51" s="3"/>
      <c r="W51" s="3"/>
      <c r="X51" s="533"/>
      <c r="Y51" s="534"/>
      <c r="Z51" s="534"/>
      <c r="AA51" s="534"/>
      <c r="AB51" s="534"/>
      <c r="AC51" s="534"/>
    </row>
    <row r="52" spans="1:32" ht="15" customHeight="1" thickBot="1" x14ac:dyDescent="0.35">
      <c r="A52" s="9"/>
      <c r="B52" s="2"/>
      <c r="C52" s="2164"/>
      <c r="D52" s="2164"/>
      <c r="E52" s="2164"/>
      <c r="F52" s="2164"/>
      <c r="G52" s="2164"/>
      <c r="H52" s="2164"/>
      <c r="I52" s="2164"/>
      <c r="J52" s="2164"/>
      <c r="K52" s="2164"/>
      <c r="L52" s="2164"/>
      <c r="M52" s="2254"/>
      <c r="N52" s="2254"/>
      <c r="O52" s="2254"/>
      <c r="P52" s="2254"/>
      <c r="Q52" s="843"/>
      <c r="U52" s="2296" t="s">
        <v>903</v>
      </c>
      <c r="V52" s="2296"/>
      <c r="W52" s="2296"/>
      <c r="X52" s="2291" t="s">
        <v>179</v>
      </c>
      <c r="Y52" s="2294" t="str">
        <f>IF(AND(AB37&lt;&gt;0,AB42&lt;&gt;0,AB47&lt;&gt;"",AB47&gt;=0,AB34&lt;&gt;0),CONCATENATE(ROUND((AB42/AB37)*100,2),"%   Pass"),IF(AND(AB37&lt;&gt;0,AB42&lt;&gt;0,AB47&lt;&gt;"",AB47&lt;0,AB34&lt;&gt;0),CONCATENATE(ROUND((AB42/AB37)*100,2),"%   FAIL"),IF(AND(AB42&lt;&gt;"",AB34=0),"Error: Lines 1     &amp; 2 Required","")))</f>
        <v/>
      </c>
      <c r="Z52" s="2294"/>
      <c r="AA52" s="2294"/>
      <c r="AB52" s="2294"/>
      <c r="AC52" s="534"/>
    </row>
    <row r="53" spans="1:32" ht="24" customHeight="1" x14ac:dyDescent="0.3">
      <c r="A53" s="2240" t="str">
        <f>IF(L77=2,"Required for Non-Subject Owner Multi-Unit","PITIA from I&amp;D Worksheet below Required to be correct for accurate results")</f>
        <v>PITIA from I&amp;D Worksheet below Required to be correct for accurate results</v>
      </c>
      <c r="B53" s="2240"/>
      <c r="C53" s="2240"/>
      <c r="D53" s="2240"/>
      <c r="E53" s="2240"/>
      <c r="F53" s="2240"/>
      <c r="G53" s="2240"/>
      <c r="H53" s="2240"/>
      <c r="I53" s="2240"/>
      <c r="J53" s="2240"/>
      <c r="K53" s="2240"/>
      <c r="L53" s="2240"/>
      <c r="M53" s="2240"/>
      <c r="N53" s="2240"/>
      <c r="O53" s="2240"/>
      <c r="P53" s="712"/>
      <c r="U53" s="2295" t="s">
        <v>919</v>
      </c>
      <c r="V53" s="2295"/>
      <c r="W53" s="2295"/>
      <c r="X53" s="2291"/>
      <c r="Y53" s="2294"/>
      <c r="Z53" s="2294"/>
      <c r="AA53" s="2294"/>
      <c r="AB53" s="2294"/>
    </row>
    <row r="54" spans="1:32" ht="15.75" customHeight="1" x14ac:dyDescent="0.3">
      <c r="A54" s="1812" t="s">
        <v>581</v>
      </c>
      <c r="B54" s="1812"/>
      <c r="C54" s="1812"/>
      <c r="D54" s="1812"/>
      <c r="E54" s="1812"/>
      <c r="F54" s="2106" t="str">
        <f>IF(L77=1,"(From PITIA entered on Income and Debt worksheet, ensure it is entered and correct for accurate results)",IF(L77=2,"(Carries forward to the Income and Debt worksheet)",""))</f>
        <v/>
      </c>
      <c r="G54" s="2106"/>
      <c r="H54" s="2106"/>
      <c r="I54" s="2106"/>
      <c r="J54" s="2106"/>
      <c r="K54" s="2106"/>
      <c r="L54" s="2106"/>
      <c r="M54" s="2106"/>
      <c r="N54" s="2106"/>
      <c r="O54" s="2106"/>
      <c r="P54" s="2106"/>
      <c r="Q54" s="2106"/>
      <c r="R54" s="2106"/>
      <c r="S54" s="2106"/>
      <c r="T54" s="2106"/>
      <c r="U54" s="2106"/>
      <c r="V54" s="2106"/>
      <c r="W54" s="2106"/>
      <c r="X54" s="2106"/>
      <c r="Y54" s="2106"/>
      <c r="Z54" s="2106"/>
      <c r="AA54" s="2106"/>
      <c r="AB54" s="2106"/>
      <c r="AC54" s="2106"/>
      <c r="AD54" s="2106"/>
      <c r="AE54" s="2106"/>
      <c r="AF54" s="2106"/>
    </row>
    <row r="55" spans="1:32" ht="15.75" customHeight="1" x14ac:dyDescent="0.3">
      <c r="A55" s="4" t="s">
        <v>142</v>
      </c>
      <c r="B55" s="1701" t="str">
        <f>IF(L77=2,"Minus current mortgage payment (from credit or mtg stmt)***","Subject P &amp; I")</f>
        <v>Subject P &amp; I</v>
      </c>
      <c r="C55" s="1701"/>
      <c r="D55" s="1701"/>
      <c r="E55" s="1701"/>
      <c r="F55" s="1701"/>
      <c r="G55" s="1701"/>
      <c r="H55" s="1701"/>
      <c r="I55" s="1701"/>
      <c r="J55" s="1701"/>
      <c r="K55" s="1946"/>
      <c r="L55" s="1946"/>
      <c r="M55" s="2241">
        <f>'I&amp;D Worksheet'!E21</f>
        <v>0</v>
      </c>
      <c r="N55" s="2241"/>
      <c r="O55" s="2241"/>
    </row>
    <row r="56" spans="1:32" ht="15.75" customHeight="1" x14ac:dyDescent="0.3">
      <c r="A56" s="4"/>
      <c r="B56" s="9" t="s">
        <v>240</v>
      </c>
      <c r="C56" s="1701" t="str">
        <f>IF(L77=2,"taxes (current) if not included in mortgage payment above","Taxes")</f>
        <v>Taxes</v>
      </c>
      <c r="D56" s="1701"/>
      <c r="E56" s="1701"/>
      <c r="F56" s="1701"/>
      <c r="G56" s="1701"/>
      <c r="H56" s="1701"/>
      <c r="I56" s="1701"/>
      <c r="J56" s="1701"/>
      <c r="K56" s="1837"/>
      <c r="L56" s="1837"/>
      <c r="M56" s="2245">
        <f>'I&amp;D Worksheet'!E26</f>
        <v>0</v>
      </c>
      <c r="N56" s="2245"/>
      <c r="O56" s="2245"/>
    </row>
    <row r="57" spans="1:32" ht="15.75" customHeight="1" x14ac:dyDescent="0.3">
      <c r="A57" s="4"/>
      <c r="B57" s="9" t="s">
        <v>240</v>
      </c>
      <c r="C57" s="1701" t="str">
        <f>IF(L77=2,"insurance (current) if not included in mortgage payment above","Hazard Insurance")</f>
        <v>Hazard Insurance</v>
      </c>
      <c r="D57" s="1701"/>
      <c r="E57" s="1701"/>
      <c r="F57" s="1701"/>
      <c r="G57" s="1701"/>
      <c r="H57" s="1701"/>
      <c r="I57" s="1701"/>
      <c r="J57" s="1701"/>
      <c r="K57" s="1837"/>
      <c r="L57" s="1837"/>
      <c r="M57" s="2245">
        <f>'I&amp;D Worksheet'!E24</f>
        <v>0</v>
      </c>
      <c r="N57" s="2245"/>
      <c r="O57" s="2245"/>
    </row>
    <row r="58" spans="1:32" ht="15.75" customHeight="1" x14ac:dyDescent="0.3">
      <c r="A58" s="4"/>
      <c r="B58" s="9" t="s">
        <v>240</v>
      </c>
      <c r="C58" s="1701" t="str">
        <f>IF(L77=2,"HOA dues (current monthly amount)","Other items from subject PITIA indicated on the I&amp;D Worksheet")</f>
        <v>Other items from subject PITIA indicated on the I&amp;D Worksheet</v>
      </c>
      <c r="D58" s="1701"/>
      <c r="E58" s="1701"/>
      <c r="F58" s="1701"/>
      <c r="G58" s="1701"/>
      <c r="H58" s="1701"/>
      <c r="I58" s="1701"/>
      <c r="J58" s="1701"/>
      <c r="K58" s="2279"/>
      <c r="L58" s="2279"/>
      <c r="M58" s="2278">
        <f>'I&amp;D Worksheet'!E22+'I&amp;D Worksheet'!E23+'I&amp;D Worksheet'!E25+'I&amp;D Worksheet'!E27+'I&amp;D Worksheet'!E28</f>
        <v>0</v>
      </c>
      <c r="N58" s="2278"/>
      <c r="O58" s="2278"/>
    </row>
    <row r="59" spans="1:32" ht="16.5" customHeight="1" thickBot="1" x14ac:dyDescent="0.35">
      <c r="A59" s="4" t="s">
        <v>143</v>
      </c>
      <c r="B59" s="1427" t="str">
        <f>IF(L77=2,"Total Monthly Housing Expense","Total Subject Monthly Housing Expense (from I&amp;D Worksheets)")</f>
        <v>Total Subject Monthly Housing Expense (from I&amp;D Worksheets)</v>
      </c>
      <c r="C59" s="1427"/>
      <c r="D59" s="1427"/>
      <c r="E59" s="1427"/>
      <c r="F59" s="1427"/>
      <c r="G59" s="1427"/>
      <c r="H59" s="1427"/>
      <c r="I59" s="1427"/>
      <c r="J59" s="1427"/>
      <c r="K59" s="1854">
        <f>K55+K56+K57+K58</f>
        <v>0</v>
      </c>
      <c r="L59" s="1854"/>
      <c r="M59" s="2293">
        <f>'I&amp;D Worksheet'!E29</f>
        <v>0</v>
      </c>
      <c r="N59" s="2293"/>
      <c r="O59" s="2293"/>
    </row>
    <row r="60" spans="1:32" ht="12" customHeight="1" thickTop="1" x14ac:dyDescent="0.3">
      <c r="A60" s="4"/>
      <c r="B60" s="3"/>
      <c r="C60" s="2237" t="str">
        <f>IF(L77=1,"(Edit Subject PITIA on I&amp;D Worksheet if needed to ensure it is correct here)",IF(AND(L77=2,OR(K55&lt;0,K56&lt;0,K57&lt;0,K58&lt;0)),"Enter figures here as positive numbers, not negative amounts",""))</f>
        <v/>
      </c>
      <c r="D60" s="2237"/>
      <c r="E60" s="2237"/>
      <c r="F60" s="2237"/>
      <c r="G60" s="2237"/>
      <c r="H60" s="2237"/>
      <c r="I60" s="2237"/>
      <c r="J60" s="2237"/>
      <c r="K60" s="2283">
        <f>IF(AND(L77=2,L78=1),K59*-1,0)</f>
        <v>0</v>
      </c>
      <c r="L60" s="2283"/>
      <c r="M60" s="2300"/>
      <c r="N60" s="2300"/>
      <c r="O60" s="2300"/>
    </row>
    <row r="61" spans="1:32" ht="10.8" customHeight="1" x14ac:dyDescent="0.3">
      <c r="A61" s="1812"/>
      <c r="B61" s="1812"/>
      <c r="C61" s="1812"/>
      <c r="D61" s="1812"/>
      <c r="E61" s="1812"/>
      <c r="F61" s="1199"/>
      <c r="G61" s="1199"/>
      <c r="H61" s="1199"/>
      <c r="I61" s="1199"/>
      <c r="J61" s="1199"/>
      <c r="K61" s="2284">
        <f>IF(AND(L77=2,L78=2),K59*-1,0)</f>
        <v>0</v>
      </c>
      <c r="L61" s="2284"/>
      <c r="M61" s="1948"/>
      <c r="N61" s="1948"/>
      <c r="O61" s="1948"/>
    </row>
    <row r="62" spans="1:32" ht="5.25" customHeight="1" x14ac:dyDescent="0.3">
      <c r="A62" s="9"/>
      <c r="B62" s="217" t="str">
        <f>CONCATENATE("Caution: Declining income is detected and ", M29, " is not being excluded and/or the number of months reviewed is greater than 12.  Generally with declining income ", M29, " should be excluded and the number of months reviewed should be 12.  Review above and correct to clear the alert or explain the justification in your notes below for not excluding ", M29, " and/or using more than 12 months reviewed.")</f>
        <v>Caution: Declining income is detected and 2024 is not being excluded and/or the number of months reviewed is greater than 12.  Generally with declining income 2024 should be excluded and the number of months reviewed should be 12.  Review above and correct to clear the alert or explain the justification in your notes below for not excluding 2024 and/or using more than 12 months reviewed.</v>
      </c>
      <c r="C62" s="217" t="str">
        <f>CONCATENATE("Caution: Rental income increased but ", M29, " is being excluded and/or the number of months reviewed is less than 24.  Generally when income increases ", M29, " should be included and a 24 month average of this income should be used.  Review above and correct to clear the alert or explain the justification in your notes below for not including ", M29, " and/or using less than 24 month reviewed.")</f>
        <v>Caution: Rental income increased but 2024 is being excluded and/or the number of months reviewed is less than 24.  Generally when income increases 2024 should be included and a 24 month average of this income should be used.  Review above and correct to clear the alert or explain the justification in your notes below for not including 2024 and/or using less than 24 month reviewed.</v>
      </c>
      <c r="D62" s="2"/>
      <c r="E62" s="2"/>
      <c r="F62" s="2"/>
      <c r="G62" s="2"/>
      <c r="H62" s="2"/>
      <c r="I62" s="2"/>
      <c r="J62" s="2"/>
      <c r="K62" s="2"/>
      <c r="L62" s="2"/>
      <c r="M62" s="2"/>
      <c r="N62" s="2"/>
      <c r="O62" s="2"/>
    </row>
    <row r="63" spans="1:32" ht="31.2" customHeight="1" x14ac:dyDescent="0.3">
      <c r="A63" s="9"/>
      <c r="B63" s="2280" t="str">
        <f>IF(OR(AND(L78=1,L9="Freddie",L11="Yes"),AND(L78=2,J11&lt;&gt;"",L11="Yes")),"When ADU is 'Yes',The final calulated rental income from this worksheet must be entered 
on the '30% of Income' worksheet:","Rental income from this worksheet must be entered in MORE LOS as follows:
(Data from this sheet auto feeds to the 'Income and Debt Worksheet', unless indicated by an error message)")</f>
        <v>Rental income from this worksheet must be entered in MORE LOS as follows:
(Data from this sheet auto feeds to the 'Income and Debt Worksheet', unless indicated by an error message)</v>
      </c>
      <c r="C63" s="2281"/>
      <c r="D63" s="2281"/>
      <c r="E63" s="2281"/>
      <c r="F63" s="2281"/>
      <c r="G63" s="2281"/>
      <c r="H63" s="2281"/>
      <c r="I63" s="2281"/>
      <c r="J63" s="2281"/>
      <c r="K63" s="2281"/>
      <c r="L63" s="2281"/>
      <c r="M63" s="2282"/>
      <c r="N63" s="462"/>
      <c r="O63" s="2"/>
    </row>
    <row r="64" spans="1:32" ht="18.600000000000001" customHeight="1" x14ac:dyDescent="0.3">
      <c r="A64" s="2"/>
      <c r="B64" s="2214" t="str">
        <f>IF(OR(AND(L78=1,L9="Freddie",L11="Yes"),AND(L78=2,J11&lt;&gt;"",L11="Yes")),"'30% of Income' worksheet instructions:",
IF(AND(OR(L77=1,L77=2),L11&lt;&gt;"Yes"),"MORE LOS Instructions:   Go to 'REO Information' screen (under the borrowers name)","MORE LOS Instructions:"))</f>
        <v>MORE LOS Instructions:</v>
      </c>
      <c r="C64" s="2215"/>
      <c r="D64" s="2215"/>
      <c r="E64" s="2215"/>
      <c r="F64" s="2215"/>
      <c r="G64" s="2215"/>
      <c r="H64" s="2215"/>
      <c r="I64" s="2215"/>
      <c r="J64" s="2215"/>
      <c r="K64" s="2215"/>
      <c r="L64" s="2215"/>
      <c r="M64" s="2216"/>
      <c r="N64" s="726"/>
      <c r="O64" s="2"/>
    </row>
    <row r="65" spans="1:33" ht="15.75" customHeight="1" x14ac:dyDescent="0.3">
      <c r="A65" s="8"/>
      <c r="B65" s="2297" t="str">
        <f>IF(OR(AND(L78=1,L9="Freddie",L11="Yes"),AND(L78=2,J11&lt;&gt;"",L11="Yes")),"   - After completing this worksheet (and preferably all other income types) go to the 30% of income wkst.",
IF(O77=1,CONCATENATE("   - Click on the 'property status' next to the subject property address, select the 'Use Lease Agreement' option,"," then enter/match
     up the 'Gross Monthly Rental Income' and 'Use Percentage' in both More LOS and on this worksheet. Check that totals match."),
IF(O77=2,"   - Click on the 'property status' next to the subject property address, select the 'Use Tax Returns' option, 
      then enter/match up the amounts in both More LOS and on this worksheet. Check that totals match.","")))</f>
        <v/>
      </c>
      <c r="C65" s="2298"/>
      <c r="D65" s="2298"/>
      <c r="E65" s="2298"/>
      <c r="F65" s="2298"/>
      <c r="G65" s="2298"/>
      <c r="H65" s="2298"/>
      <c r="I65" s="2298"/>
      <c r="J65" s="2298"/>
      <c r="K65" s="2298"/>
      <c r="L65" s="2298"/>
      <c r="M65" s="2299"/>
      <c r="N65" s="2"/>
      <c r="O65" s="35"/>
    </row>
    <row r="66" spans="1:33" ht="18" customHeight="1" x14ac:dyDescent="0.3">
      <c r="A66" s="4"/>
      <c r="B66" s="2297"/>
      <c r="C66" s="2298"/>
      <c r="D66" s="2298"/>
      <c r="E66" s="2298"/>
      <c r="F66" s="2298"/>
      <c r="G66" s="2298"/>
      <c r="H66" s="2298"/>
      <c r="I66" s="2298"/>
      <c r="J66" s="2298"/>
      <c r="K66" s="2298"/>
      <c r="L66" s="2298"/>
      <c r="M66" s="2299"/>
      <c r="N66" s="68"/>
      <c r="O66" s="944"/>
      <c r="P66" s="944"/>
      <c r="Q66" s="944"/>
      <c r="R66" s="944"/>
      <c r="S66" s="944"/>
      <c r="T66" s="944"/>
      <c r="U66" s="944"/>
      <c r="V66" s="944"/>
      <c r="W66" s="944"/>
      <c r="X66" s="944"/>
      <c r="Y66" s="944"/>
      <c r="Z66" s="944"/>
      <c r="AA66" s="944"/>
      <c r="AB66" s="944"/>
      <c r="AC66" s="944"/>
      <c r="AD66" s="944"/>
      <c r="AE66" s="944"/>
      <c r="AF66" s="944"/>
      <c r="AG66" s="944"/>
    </row>
    <row r="67" spans="1:33" ht="15.6" x14ac:dyDescent="0.3">
      <c r="A67" s="4"/>
      <c r="B67" s="2217" t="str">
        <f>IF(AND(L77=1,L9="Freddie",L11="Yes"),"For ADU's, the ADU portion of this income should be entered separately as 'Accessory unit income' under 'Other Income' in MORE LOS",IF(AND(L77=1,L78=2,L11="Yes"),"For ADU's, the ADU portion of this income should be entered separately as 'Accessory unit income' under 'Other Income' in MORE LOS",""))</f>
        <v/>
      </c>
      <c r="C67" s="2218"/>
      <c r="D67" s="2218"/>
      <c r="E67" s="2218"/>
      <c r="F67" s="2218"/>
      <c r="G67" s="2218"/>
      <c r="H67" s="2218"/>
      <c r="I67" s="2218"/>
      <c r="J67" s="2218"/>
      <c r="K67" s="2218"/>
      <c r="L67" s="2218"/>
      <c r="M67" s="2219"/>
      <c r="N67" s="2"/>
      <c r="O67" s="6"/>
    </row>
    <row r="68" spans="1:33" ht="7.5" customHeight="1" x14ac:dyDescent="0.3">
      <c r="A68" s="4"/>
      <c r="B68" s="2220" t="s">
        <v>212</v>
      </c>
      <c r="C68" s="2221"/>
      <c r="D68" s="2221"/>
      <c r="E68" s="2221"/>
      <c r="F68" s="2221"/>
      <c r="G68" s="2221"/>
      <c r="H68" s="2221"/>
      <c r="I68" s="2221"/>
      <c r="J68" s="2221"/>
      <c r="K68" s="2221"/>
      <c r="L68" s="2221"/>
      <c r="M68" s="2222"/>
      <c r="N68" s="2"/>
      <c r="O68" s="6"/>
    </row>
    <row r="69" spans="1:33" ht="12" customHeight="1" x14ac:dyDescent="0.3"/>
    <row r="70" spans="1:33" ht="12" customHeight="1" x14ac:dyDescent="0.3">
      <c r="A70" s="1475" t="s">
        <v>1073</v>
      </c>
      <c r="B70" s="1475"/>
      <c r="C70" s="1475"/>
      <c r="D70" s="1475"/>
      <c r="E70" s="1475"/>
      <c r="F70" s="19"/>
      <c r="G70" s="19"/>
      <c r="H70" s="19"/>
      <c r="I70" s="19"/>
      <c r="J70" s="19"/>
      <c r="K70" s="19"/>
      <c r="L70" s="19"/>
      <c r="M70" s="19"/>
      <c r="N70" s="19"/>
      <c r="O70" s="19"/>
      <c r="R70" s="1475" t="s">
        <v>1074</v>
      </c>
      <c r="S70" s="1475"/>
      <c r="T70" s="1475"/>
      <c r="U70" s="1475"/>
      <c r="V70" s="1475"/>
      <c r="W70" s="19"/>
      <c r="X70" s="19"/>
      <c r="Y70" s="19"/>
      <c r="Z70" s="19"/>
      <c r="AA70" s="19"/>
      <c r="AB70" s="19"/>
      <c r="AC70" s="19"/>
      <c r="AD70" s="19"/>
      <c r="AE70" s="19"/>
    </row>
    <row r="71" spans="1:33" x14ac:dyDescent="0.3">
      <c r="A71" s="1325"/>
      <c r="B71" s="1325"/>
      <c r="C71" s="1325"/>
      <c r="D71" s="1325"/>
      <c r="E71" s="1325"/>
      <c r="F71" s="1325"/>
      <c r="G71" s="1325"/>
      <c r="H71" s="1325"/>
      <c r="I71" s="1325"/>
      <c r="J71" s="1325"/>
      <c r="K71" s="1325"/>
      <c r="L71" s="1325"/>
      <c r="M71" s="1325"/>
      <c r="N71" s="1325"/>
      <c r="O71" s="1325"/>
      <c r="P71" s="1325"/>
      <c r="Q71" s="1325"/>
      <c r="R71" s="1325"/>
      <c r="S71" s="1325"/>
      <c r="T71" s="1325"/>
      <c r="U71" s="1325"/>
      <c r="V71" s="1325"/>
      <c r="W71" s="1325"/>
      <c r="X71" s="1325"/>
      <c r="Y71" s="1325"/>
      <c r="Z71" s="1325"/>
      <c r="AA71" s="1325"/>
      <c r="AB71" s="1325"/>
      <c r="AC71" s="1325"/>
      <c r="AD71" s="1325"/>
      <c r="AE71" s="1325"/>
      <c r="AF71" s="1325"/>
    </row>
    <row r="72" spans="1:33" x14ac:dyDescent="0.3">
      <c r="A72" s="1325"/>
      <c r="B72" s="1325"/>
      <c r="C72" s="1325"/>
      <c r="D72" s="1325"/>
      <c r="E72" s="1325"/>
      <c r="F72" s="1325"/>
      <c r="G72" s="1325"/>
      <c r="H72" s="1325"/>
      <c r="I72" s="1325"/>
      <c r="J72" s="1325"/>
      <c r="K72" s="1325"/>
      <c r="L72" s="1325"/>
      <c r="M72" s="1325"/>
      <c r="N72" s="1325"/>
      <c r="O72" s="1325"/>
      <c r="P72" s="1325"/>
      <c r="Q72" s="1325"/>
      <c r="R72" s="1325"/>
      <c r="S72" s="1325"/>
      <c r="T72" s="1325"/>
      <c r="U72" s="1325"/>
      <c r="V72" s="1325"/>
      <c r="W72" s="1325"/>
      <c r="X72" s="1325"/>
      <c r="Y72" s="1325"/>
      <c r="Z72" s="1325"/>
      <c r="AA72" s="1325"/>
      <c r="AB72" s="1325"/>
      <c r="AC72" s="1325"/>
      <c r="AD72" s="1325"/>
      <c r="AE72" s="1325"/>
      <c r="AF72" s="1325"/>
    </row>
    <row r="73" spans="1:33" x14ac:dyDescent="0.3">
      <c r="A73" s="1325"/>
      <c r="B73" s="1325"/>
      <c r="C73" s="1325"/>
      <c r="D73" s="1325"/>
      <c r="E73" s="1325"/>
      <c r="F73" s="1325"/>
      <c r="G73" s="1325"/>
      <c r="H73" s="1325"/>
      <c r="I73" s="1325"/>
      <c r="J73" s="1325"/>
      <c r="K73" s="1325"/>
      <c r="L73" s="1325"/>
      <c r="M73" s="1325"/>
      <c r="N73" s="1325"/>
      <c r="O73" s="1325"/>
      <c r="P73" s="1325"/>
      <c r="Q73" s="1325"/>
      <c r="R73" s="1325"/>
      <c r="S73" s="1325"/>
      <c r="T73" s="1325"/>
      <c r="U73" s="1325"/>
      <c r="V73" s="1325"/>
      <c r="W73" s="1325"/>
      <c r="X73" s="1325"/>
      <c r="Y73" s="1325"/>
      <c r="Z73" s="1325"/>
      <c r="AA73" s="1325"/>
      <c r="AB73" s="1325"/>
      <c r="AC73" s="1325"/>
      <c r="AD73" s="1325"/>
      <c r="AE73" s="1325"/>
      <c r="AF73" s="1325"/>
    </row>
    <row r="74" spans="1:33" x14ac:dyDescent="0.3">
      <c r="A74" s="1325"/>
      <c r="B74" s="1325"/>
      <c r="C74" s="1325"/>
      <c r="D74" s="1325"/>
      <c r="E74" s="1325"/>
      <c r="F74" s="1325"/>
      <c r="G74" s="1325"/>
      <c r="H74" s="1325"/>
      <c r="I74" s="1325"/>
      <c r="J74" s="1325"/>
      <c r="K74" s="1325"/>
      <c r="L74" s="1325"/>
      <c r="M74" s="1325"/>
      <c r="N74" s="1325"/>
      <c r="O74" s="1325"/>
      <c r="P74" s="1325"/>
      <c r="Q74" s="1325"/>
      <c r="R74" s="1325"/>
      <c r="S74" s="1325"/>
      <c r="T74" s="1325"/>
      <c r="U74" s="1325"/>
      <c r="V74" s="1325"/>
      <c r="W74" s="1325"/>
      <c r="X74" s="1325"/>
      <c r="Y74" s="1325"/>
      <c r="Z74" s="1325"/>
      <c r="AA74" s="1325"/>
      <c r="AB74" s="1325"/>
      <c r="AC74" s="1325"/>
      <c r="AD74" s="1325"/>
      <c r="AE74" s="1325"/>
      <c r="AF74" s="1325"/>
    </row>
    <row r="75" spans="1:33" ht="7.8" hidden="1" customHeight="1" x14ac:dyDescent="0.3">
      <c r="A75" s="47"/>
      <c r="K75" s="36"/>
      <c r="L75" s="36"/>
      <c r="M75" s="36"/>
      <c r="N75" s="36"/>
      <c r="O75" s="36"/>
      <c r="P75" s="1046"/>
      <c r="Q75" s="1092"/>
      <c r="R75" s="47"/>
      <c r="AE75" s="19"/>
      <c r="AF75" s="19"/>
    </row>
    <row r="76" spans="1:33" hidden="1" x14ac:dyDescent="0.3">
      <c r="K76" s="36"/>
      <c r="L76" s="36"/>
      <c r="M76" s="36">
        <v>1</v>
      </c>
      <c r="N76" s="36"/>
      <c r="O76" s="1046"/>
      <c r="P76" s="38"/>
      <c r="Q76" s="38"/>
      <c r="AE76" s="19"/>
      <c r="AF76" s="19"/>
    </row>
    <row r="77" spans="1:33" hidden="1" x14ac:dyDescent="0.3">
      <c r="K77" s="36"/>
      <c r="L77" s="1046"/>
      <c r="M77" s="1046">
        <v>1</v>
      </c>
      <c r="N77" s="47" t="str">
        <f>IF(M77=2,1,IF(M77=3,2,""))</f>
        <v/>
      </c>
      <c r="O77" s="1046"/>
      <c r="P77" s="38"/>
      <c r="Q77" s="38"/>
      <c r="AE77" s="19"/>
      <c r="AF77" s="1069">
        <v>0</v>
      </c>
    </row>
    <row r="78" spans="1:33" ht="15.6" hidden="1" x14ac:dyDescent="0.3">
      <c r="A78" s="1482" t="str">
        <f ca="1">REPLACE(CELL("filename",A78),1,FIND("]",CELL("filename",A78)),"")</f>
        <v>Primary with Rent inc.</v>
      </c>
      <c r="B78" s="1482"/>
      <c r="C78" s="1482"/>
      <c r="D78" s="1482"/>
      <c r="K78" s="1088" t="str">
        <f>IF(AND(J6&lt;&gt;"",O77&gt;=1),"E","")</f>
        <v/>
      </c>
      <c r="L78" s="1044"/>
      <c r="AG78" s="495"/>
    </row>
    <row r="79" spans="1:33" ht="15.6" x14ac:dyDescent="0.3">
      <c r="A79" s="219"/>
      <c r="B79" s="219"/>
      <c r="C79" s="219"/>
      <c r="D79" s="219"/>
      <c r="K79" s="47"/>
      <c r="L79" s="1080"/>
      <c r="M79" s="1074"/>
      <c r="N79" s="1074"/>
      <c r="O79" s="1074"/>
      <c r="P79" s="1074"/>
      <c r="Q79" s="1074"/>
      <c r="AD79" s="1074"/>
      <c r="AE79" s="1074"/>
      <c r="AF79" s="1074"/>
      <c r="AG79" s="495"/>
    </row>
    <row r="80" spans="1:33" ht="15.6" x14ac:dyDescent="0.3">
      <c r="A80" s="219"/>
      <c r="B80" s="219"/>
      <c r="C80" s="219"/>
      <c r="D80" s="219"/>
      <c r="K80" s="47"/>
      <c r="L80" s="1079"/>
      <c r="M80" s="1074"/>
      <c r="N80" s="1074"/>
      <c r="O80" s="1074"/>
      <c r="P80" s="1074"/>
      <c r="Q80" s="1074"/>
      <c r="AD80" s="1074"/>
      <c r="AE80" s="1074"/>
      <c r="AF80" s="1074"/>
      <c r="AG80" s="495"/>
    </row>
    <row r="81" spans="1:33" ht="15.6" x14ac:dyDescent="0.3">
      <c r="A81" s="219"/>
      <c r="B81" s="219"/>
      <c r="C81" s="219"/>
      <c r="D81" s="219"/>
      <c r="K81" s="47"/>
      <c r="L81" s="1079"/>
      <c r="M81" s="1074"/>
      <c r="N81" s="1074"/>
      <c r="O81" s="1074"/>
      <c r="P81" s="1074"/>
      <c r="Q81" s="1074"/>
      <c r="AD81" s="1074"/>
      <c r="AE81" s="1074"/>
      <c r="AF81" s="1074"/>
      <c r="AG81" s="495"/>
    </row>
    <row r="82" spans="1:33" ht="15.6" x14ac:dyDescent="0.3">
      <c r="A82" s="219"/>
      <c r="B82" s="219"/>
      <c r="C82" s="219"/>
      <c r="D82" s="219"/>
      <c r="K82" s="47"/>
      <c r="L82" s="1079"/>
      <c r="M82" s="1235" t="str">
        <f>Version</f>
        <v>Version 2026.1</v>
      </c>
      <c r="N82" s="1235"/>
      <c r="O82" s="1235"/>
      <c r="P82" s="1235"/>
      <c r="Q82" s="1235"/>
      <c r="AD82" s="1235" t="str">
        <f>Version</f>
        <v>Version 2026.1</v>
      </c>
      <c r="AE82" s="1235"/>
      <c r="AF82" s="1235"/>
      <c r="AG82" s="495"/>
    </row>
    <row r="83" spans="1:33" ht="20.25" customHeight="1" x14ac:dyDescent="0.3"/>
    <row r="84" spans="1:33" ht="30.75" customHeight="1" x14ac:dyDescent="0.5">
      <c r="A84" s="1321" t="s">
        <v>564</v>
      </c>
      <c r="B84" s="1321"/>
      <c r="C84" s="1321"/>
      <c r="D84" s="1321"/>
      <c r="E84" s="1321"/>
      <c r="F84" s="1321"/>
      <c r="G84" s="1321"/>
      <c r="H84" s="1321"/>
      <c r="I84" s="1321"/>
      <c r="J84" s="1321"/>
      <c r="K84" s="1321"/>
      <c r="L84" s="1321"/>
      <c r="M84" s="1321"/>
      <c r="N84" s="1321"/>
      <c r="O84" s="1321"/>
      <c r="P84" s="1321"/>
      <c r="Q84" s="839"/>
    </row>
    <row r="85" spans="1:33" ht="27.75" customHeight="1" x14ac:dyDescent="0.45">
      <c r="A85" s="1409"/>
      <c r="B85" s="1409"/>
      <c r="C85" s="1409"/>
      <c r="D85" s="1409"/>
      <c r="E85" s="1409"/>
      <c r="F85" s="1409"/>
      <c r="G85" s="1409"/>
      <c r="H85" s="1409"/>
      <c r="I85" s="1409"/>
      <c r="J85" s="1409"/>
      <c r="K85" s="1409"/>
      <c r="L85" s="1409"/>
      <c r="M85" s="1409"/>
      <c r="N85" s="1409"/>
      <c r="O85" s="1409"/>
      <c r="P85" s="1409"/>
      <c r="Q85" s="132"/>
    </row>
    <row r="86" spans="1:33" ht="15" customHeight="1" x14ac:dyDescent="0.45">
      <c r="A86" s="132"/>
      <c r="B86" s="132"/>
      <c r="C86" s="132"/>
      <c r="D86" s="132"/>
      <c r="E86" s="132"/>
      <c r="F86" s="132"/>
      <c r="G86" s="132"/>
      <c r="H86" s="132"/>
      <c r="I86" s="132"/>
      <c r="J86" s="132"/>
      <c r="K86" s="132"/>
      <c r="L86" s="132"/>
      <c r="M86" s="132"/>
      <c r="N86" s="132"/>
      <c r="O86" s="132"/>
      <c r="P86" s="132"/>
      <c r="Q86" s="132"/>
    </row>
    <row r="87" spans="1:33" ht="15" customHeight="1" x14ac:dyDescent="0.45">
      <c r="A87" s="132"/>
      <c r="B87" s="132"/>
      <c r="C87" s="132"/>
      <c r="D87" s="132"/>
      <c r="E87" s="132"/>
      <c r="F87" s="132"/>
      <c r="G87" s="132"/>
      <c r="H87" s="132"/>
      <c r="I87" s="132"/>
      <c r="J87" s="132"/>
      <c r="K87" s="132"/>
      <c r="L87" s="132"/>
      <c r="M87" s="132"/>
      <c r="N87" s="132"/>
      <c r="O87" s="132"/>
      <c r="P87" s="132"/>
      <c r="Q87" s="132"/>
    </row>
    <row r="88" spans="1:33" ht="15" customHeight="1" x14ac:dyDescent="0.3">
      <c r="A88" s="1324" t="s">
        <v>223</v>
      </c>
      <c r="B88" s="1324"/>
      <c r="C88" s="1324"/>
      <c r="D88" s="1324"/>
      <c r="E88" s="1324"/>
      <c r="F88" s="1324"/>
      <c r="G88" s="1324"/>
      <c r="H88" s="1324"/>
      <c r="I88" s="1324"/>
      <c r="J88" s="1324"/>
      <c r="K88" s="1324"/>
      <c r="L88" s="1324"/>
      <c r="M88" s="1324"/>
      <c r="N88" s="1324"/>
      <c r="O88" s="1324"/>
      <c r="P88" s="1324"/>
      <c r="Q88" s="196"/>
    </row>
    <row r="89" spans="1:33" ht="9" customHeight="1" x14ac:dyDescent="0.3">
      <c r="A89" s="196"/>
      <c r="B89" s="196"/>
      <c r="C89" s="196"/>
      <c r="D89" s="196"/>
      <c r="E89" s="196"/>
      <c r="F89" s="196"/>
      <c r="G89" s="196"/>
      <c r="H89" s="196"/>
      <c r="I89" s="196"/>
      <c r="J89" s="196"/>
      <c r="K89" s="196"/>
      <c r="L89" s="196"/>
      <c r="M89" s="196"/>
      <c r="N89" s="196"/>
      <c r="O89" s="196"/>
      <c r="P89" s="196"/>
      <c r="Q89" s="196"/>
    </row>
    <row r="90" spans="1:33" x14ac:dyDescent="0.3">
      <c r="A90" s="1791" t="s">
        <v>241</v>
      </c>
      <c r="B90" s="1791"/>
      <c r="C90" s="1791"/>
      <c r="D90" s="1791"/>
      <c r="E90" s="1791"/>
      <c r="F90" s="1791"/>
      <c r="G90" s="1791"/>
      <c r="H90" s="1791"/>
      <c r="I90" s="1791"/>
      <c r="J90" s="1791"/>
      <c r="K90" s="1791"/>
      <c r="L90" s="1791"/>
      <c r="M90" s="1791"/>
      <c r="N90" s="1791"/>
      <c r="O90" s="1791"/>
      <c r="P90" s="1791"/>
    </row>
    <row r="91" spans="1:33" x14ac:dyDescent="0.3">
      <c r="A91" s="1791" t="s">
        <v>258</v>
      </c>
      <c r="B91" s="1791"/>
      <c r="C91" s="1791"/>
      <c r="D91" s="1791"/>
      <c r="E91" s="1791"/>
      <c r="F91" s="1791"/>
      <c r="G91" s="1791"/>
      <c r="H91" s="1791"/>
      <c r="I91" s="1791"/>
      <c r="J91" s="1791"/>
      <c r="K91" s="1791"/>
      <c r="L91" s="1791"/>
      <c r="M91" s="1791"/>
      <c r="N91" s="1791"/>
      <c r="O91" s="1791"/>
      <c r="P91" s="1791"/>
    </row>
    <row r="92" spans="1:33" x14ac:dyDescent="0.3">
      <c r="A92" s="1791" t="s">
        <v>249</v>
      </c>
      <c r="B92" s="1791"/>
      <c r="C92" s="1791"/>
      <c r="D92" s="1791"/>
      <c r="E92" s="1791"/>
      <c r="F92" s="1791"/>
      <c r="G92" s="1791"/>
      <c r="H92" s="1791"/>
      <c r="I92" s="1791"/>
      <c r="J92" s="1791"/>
      <c r="K92" s="1791"/>
      <c r="L92" s="1791"/>
      <c r="M92" s="1791"/>
      <c r="N92" s="1791"/>
      <c r="O92" s="1791"/>
      <c r="P92" s="1791"/>
    </row>
    <row r="93" spans="1:33" ht="9" customHeight="1" x14ac:dyDescent="0.3">
      <c r="A93" s="29"/>
      <c r="B93" s="29"/>
      <c r="C93" s="29"/>
      <c r="D93" s="29"/>
      <c r="E93" s="29"/>
      <c r="F93" s="29"/>
      <c r="G93" s="29"/>
      <c r="H93" s="29"/>
      <c r="I93" s="29"/>
      <c r="J93" s="29"/>
      <c r="K93" s="29"/>
      <c r="L93" s="29"/>
      <c r="M93" s="29"/>
      <c r="N93" s="29"/>
    </row>
    <row r="94" spans="1:33" x14ac:dyDescent="0.3">
      <c r="A94" s="1903" t="s">
        <v>1056</v>
      </c>
      <c r="B94" s="1903"/>
      <c r="C94" s="1903"/>
      <c r="D94" s="1903"/>
      <c r="E94" s="1903"/>
      <c r="F94" s="1903"/>
      <c r="G94" s="1903"/>
      <c r="H94" s="1903"/>
      <c r="I94" s="1903"/>
      <c r="J94" s="1903"/>
      <c r="K94" s="1903"/>
      <c r="L94" s="1903"/>
      <c r="M94" s="1903"/>
      <c r="N94" s="1903"/>
      <c r="O94" s="1903"/>
    </row>
    <row r="95" spans="1:33" x14ac:dyDescent="0.3">
      <c r="A95" s="1903" t="s">
        <v>293</v>
      </c>
      <c r="B95" s="1903"/>
      <c r="C95" s="1903"/>
      <c r="D95" s="1903"/>
      <c r="E95" s="1903"/>
      <c r="F95" s="1903"/>
      <c r="G95" s="1903"/>
      <c r="H95" s="1903"/>
      <c r="I95" s="1903"/>
      <c r="J95" s="1903"/>
      <c r="K95" s="1903"/>
      <c r="L95" s="1903"/>
      <c r="M95" s="1903"/>
      <c r="N95" s="1903"/>
      <c r="O95" s="1903"/>
      <c r="P95" s="1903"/>
      <c r="Q95" s="29"/>
    </row>
    <row r="96" spans="1:33" ht="9.6" customHeight="1" x14ac:dyDescent="0.3">
      <c r="A96" s="29"/>
      <c r="B96" s="29"/>
      <c r="C96" s="29"/>
      <c r="D96" s="29"/>
      <c r="E96" s="29"/>
      <c r="F96" s="29"/>
      <c r="G96" s="29"/>
      <c r="H96" s="29"/>
      <c r="I96" s="29"/>
      <c r="J96" s="29"/>
      <c r="K96" s="29"/>
      <c r="L96" s="29"/>
      <c r="M96" s="29"/>
      <c r="N96" s="29"/>
      <c r="O96" s="29"/>
      <c r="P96" s="29"/>
      <c r="Q96" s="29"/>
    </row>
    <row r="97" spans="1:17" hidden="1" x14ac:dyDescent="0.3">
      <c r="A97" s="29" t="s">
        <v>890</v>
      </c>
      <c r="B97" s="29"/>
      <c r="C97" s="29"/>
      <c r="D97" s="29"/>
      <c r="E97" s="29"/>
      <c r="F97" s="29"/>
      <c r="G97" s="29"/>
      <c r="H97" s="29"/>
      <c r="I97" s="29"/>
      <c r="J97" s="29"/>
      <c r="K97" s="29"/>
      <c r="L97" s="29"/>
      <c r="M97" s="29"/>
      <c r="N97" s="29"/>
      <c r="O97" s="29"/>
      <c r="P97" s="29"/>
      <c r="Q97" s="29"/>
    </row>
    <row r="98" spans="1:17" hidden="1" x14ac:dyDescent="0.3">
      <c r="A98" s="29" t="s">
        <v>891</v>
      </c>
      <c r="B98" s="29"/>
      <c r="C98" s="29"/>
      <c r="D98" s="29"/>
      <c r="E98" s="29"/>
      <c r="F98" s="29"/>
      <c r="G98" s="29"/>
      <c r="H98" s="29"/>
      <c r="I98" s="29"/>
      <c r="J98" s="29"/>
      <c r="K98" s="29"/>
      <c r="L98" s="29"/>
      <c r="M98" s="29"/>
      <c r="N98" s="29"/>
      <c r="O98" s="29"/>
      <c r="P98" s="29"/>
      <c r="Q98" s="29"/>
    </row>
    <row r="99" spans="1:17" ht="9.6" hidden="1" customHeight="1" x14ac:dyDescent="0.3">
      <c r="A99" s="29"/>
      <c r="B99" s="29"/>
      <c r="C99" s="29"/>
      <c r="D99" s="29"/>
      <c r="E99" s="29"/>
      <c r="F99" s="29"/>
      <c r="G99" s="29"/>
      <c r="H99" s="29"/>
      <c r="I99" s="29"/>
      <c r="J99" s="29"/>
      <c r="K99" s="29"/>
      <c r="L99" s="29"/>
      <c r="M99" s="29"/>
      <c r="N99" s="29"/>
      <c r="O99" s="29"/>
      <c r="P99" s="29"/>
      <c r="Q99" s="29"/>
    </row>
    <row r="100" spans="1:17" x14ac:dyDescent="0.3">
      <c r="A100" s="29" t="s">
        <v>1410</v>
      </c>
      <c r="B100" s="29"/>
      <c r="C100" s="29"/>
      <c r="D100" s="29"/>
      <c r="E100" s="29"/>
      <c r="F100" s="29"/>
      <c r="G100" s="29"/>
      <c r="H100" s="29"/>
      <c r="I100" s="29"/>
      <c r="J100" s="29"/>
      <c r="K100" s="29"/>
      <c r="L100" s="29"/>
      <c r="M100" s="29"/>
      <c r="N100" s="29"/>
      <c r="O100" s="29"/>
      <c r="P100" s="29"/>
      <c r="Q100" s="29"/>
    </row>
    <row r="101" spans="1:17" x14ac:dyDescent="0.3">
      <c r="A101" t="s">
        <v>892</v>
      </c>
    </row>
    <row r="103" spans="1:17" ht="56.25" customHeight="1" x14ac:dyDescent="0.3">
      <c r="A103" s="1948" t="str">
        <f>IF(J29&lt;M29,A104,IF(J29=M29,A106,A105))</f>
        <v>Caution: Rental income increased but  is being excluded and/or the number of months reviewed is other than .  Generally when income increases  should be included and a  month average of this income should be used.  Review above and correct to clear the alert or explain the justification in your notes below for not including  and/or using other than  month reviewed.</v>
      </c>
      <c r="B103" s="1948"/>
      <c r="C103" s="1948"/>
      <c r="D103" s="1948"/>
      <c r="E103" s="1948"/>
      <c r="F103" s="1948"/>
      <c r="G103" s="1948"/>
      <c r="H103" s="1948"/>
      <c r="I103" s="1948"/>
      <c r="J103" s="1948"/>
      <c r="K103" s="1948"/>
      <c r="L103" s="1948"/>
      <c r="M103" s="1948"/>
      <c r="N103" s="1948"/>
      <c r="O103" s="1948"/>
    </row>
    <row r="104" spans="1:17" ht="15" customHeight="1" x14ac:dyDescent="0.3">
      <c r="A104" s="217" t="str">
        <f>CONCATENATE("Caution: Declining rental income is detected and ",K75, " is not being excluded and/or the number of months reviewed is greater than 12.  Generally with declining income ",K75, " should be excluded and the number of months reviewed should be 12.  Review above and correct to clear the alert or explain the justification in your notes below for not excluding ",K75, " and/or using more than 12 months reviewed.")</f>
        <v>Caution: Declining rental income is detected and  is not being excluded and/or the number of months reviewed is greater than 12.  Generally with declining income  should be excluded and the number of months reviewed should be 12.  Review above and correct to clear the alert or explain the justification in your notes below for not excluding  and/or using more than 12 months reviewed.</v>
      </c>
      <c r="B104" s="217" t="str">
        <f>CONCATENATE("Caution: Rental income increased but ", M29, " is being excluded and/or the number of months reviewed is less than 24.  Generally when income increases ", M29, " should be included and a 24 month average of this income should be used.  Review above and correct to clear the alert or explain the justification in your notes below for not including ", M29, " and/or using less than 24 month reviewed.")</f>
        <v>Caution: Rental income increased but 2024 is being excluded and/or the number of months reviewed is less than 24.  Generally when income increases 2024 should be included and a 24 month average of this income should be used.  Review above and correct to clear the alert or explain the justification in your notes below for not including 2024 and/or using less than 24 month reviewed.</v>
      </c>
    </row>
    <row r="105" spans="1:17" ht="13.2" customHeight="1" x14ac:dyDescent="0.3">
      <c r="A105" s="217" t="str">
        <f>CONCATENATE("Caution: Rental income increased but ",K75, " is being excluded and/or the number of months reviewed is other than ",E98,".  Generally when income increases ",K75, " should be included and a ",E98," month average of this income should be used.  Review above and correct to clear the alert or explain the justification in your notes below for not including ",K75, " and/or using other than ",E98," month reviewed.")</f>
        <v>Caution: Rental income increased but  is being excluded and/or the number of months reviewed is other than .  Generally when income increases  should be included and a  month average of this income should be used.  Review above and correct to clear the alert or explain the justification in your notes below for not including  and/or using other than  month reviewed.</v>
      </c>
    </row>
    <row r="106" spans="1:17" ht="13.8" customHeight="1" x14ac:dyDescent="0.3">
      <c r="A106" s="411" t="str">
        <f>CONCATENATE("Caution: Rental income stable but ",K75, " is being excluded and/or the number of months reviewed is less than ",E98,".  Generally when income is stable ",K75, " should be included and a ",E98," month average of this income should be used, or you must omit the priot year to average over 12 months.  Review above and correct to clear the alert or explain in your notes.")</f>
        <v>Caution: Rental income stable but  is being excluded and/or the number of months reviewed is less than .  Generally when income is stable  should be included and a  month average of this income should be used, or you must omit the priot year to average over 12 months.  Review above and correct to clear the alert or explain in your notes.</v>
      </c>
    </row>
  </sheetData>
  <sheetProtection algorithmName="SHA-512" hashValue="v7tkcFYF5J4SLVBZ6Zyay8CC2aPCPkS6qrHoMMHUbWShoz4ZpvFAJX5K8lzrwQ3iM+QyfZlW6dPpOZrqlgbB3Q==" saltValue="x8iic09t/2uno96iNYrE2A==" spinCount="100000" sheet="1" objects="1" scenarios="1" selectLockedCells="1"/>
  <mergeCells count="164">
    <mergeCell ref="F4:J4"/>
    <mergeCell ref="A2:Q2"/>
    <mergeCell ref="K4:O4"/>
    <mergeCell ref="C15:J16"/>
    <mergeCell ref="L12:M14"/>
    <mergeCell ref="C17:O17"/>
    <mergeCell ref="B44:E44"/>
    <mergeCell ref="B42:H42"/>
    <mergeCell ref="J38:K38"/>
    <mergeCell ref="K42:L42"/>
    <mergeCell ref="A7:C7"/>
    <mergeCell ref="D8:H9"/>
    <mergeCell ref="J9:K9"/>
    <mergeCell ref="O23:P25"/>
    <mergeCell ref="A13:B13"/>
    <mergeCell ref="C13:J13"/>
    <mergeCell ref="C23:D23"/>
    <mergeCell ref="H23:I23"/>
    <mergeCell ref="J24:K25"/>
    <mergeCell ref="F24:F25"/>
    <mergeCell ref="L23:M25"/>
    <mergeCell ref="E26:O26"/>
    <mergeCell ref="C24:D26"/>
    <mergeCell ref="M36:O36"/>
    <mergeCell ref="A71:Q74"/>
    <mergeCell ref="M55:O55"/>
    <mergeCell ref="C51:L52"/>
    <mergeCell ref="B47:C47"/>
    <mergeCell ref="C58:J58"/>
    <mergeCell ref="B65:M66"/>
    <mergeCell ref="B32:H32"/>
    <mergeCell ref="B36:H36"/>
    <mergeCell ref="E37:H37"/>
    <mergeCell ref="B37:D37"/>
    <mergeCell ref="G47:H47"/>
    <mergeCell ref="G48:H48"/>
    <mergeCell ref="K50:L50"/>
    <mergeCell ref="B46:H46"/>
    <mergeCell ref="B49:C49"/>
    <mergeCell ref="M45:P49"/>
    <mergeCell ref="M50:P52"/>
    <mergeCell ref="A53:O53"/>
    <mergeCell ref="M60:O60"/>
    <mergeCell ref="B50:I50"/>
    <mergeCell ref="J39:K39"/>
    <mergeCell ref="M39:O39"/>
    <mergeCell ref="B59:J59"/>
    <mergeCell ref="B48:C48"/>
    <mergeCell ref="B67:M67"/>
    <mergeCell ref="A84:P84"/>
    <mergeCell ref="C57:J57"/>
    <mergeCell ref="K60:L60"/>
    <mergeCell ref="K61:L61"/>
    <mergeCell ref="T23:AA23"/>
    <mergeCell ref="AA19:AF19"/>
    <mergeCell ref="AB23:AD23"/>
    <mergeCell ref="J5:O5"/>
    <mergeCell ref="J23:K23"/>
    <mergeCell ref="J11:K11"/>
    <mergeCell ref="D7:H7"/>
    <mergeCell ref="AD82:AF82"/>
    <mergeCell ref="X52:X53"/>
    <mergeCell ref="S47:S48"/>
    <mergeCell ref="T47:Y48"/>
    <mergeCell ref="AB47:AD48"/>
    <mergeCell ref="M59:O59"/>
    <mergeCell ref="Y52:AB53"/>
    <mergeCell ref="U53:W53"/>
    <mergeCell ref="U52:W52"/>
    <mergeCell ref="R70:V70"/>
    <mergeCell ref="M82:Q82"/>
    <mergeCell ref="R71:AF74"/>
    <mergeCell ref="T24:AA24"/>
    <mergeCell ref="AA25:AC26"/>
    <mergeCell ref="T25:W25"/>
    <mergeCell ref="X25:Y26"/>
    <mergeCell ref="H24:I25"/>
    <mergeCell ref="A103:O103"/>
    <mergeCell ref="A91:P91"/>
    <mergeCell ref="A92:P92"/>
    <mergeCell ref="A94:O94"/>
    <mergeCell ref="A95:P95"/>
    <mergeCell ref="K56:L56"/>
    <mergeCell ref="K57:L57"/>
    <mergeCell ref="M56:O56"/>
    <mergeCell ref="M57:O57"/>
    <mergeCell ref="M58:O58"/>
    <mergeCell ref="A90:P90"/>
    <mergeCell ref="A78:D78"/>
    <mergeCell ref="K58:L58"/>
    <mergeCell ref="A88:P88"/>
    <mergeCell ref="A70:E70"/>
    <mergeCell ref="A85:P85"/>
    <mergeCell ref="B68:M68"/>
    <mergeCell ref="B63:M63"/>
    <mergeCell ref="B64:M64"/>
    <mergeCell ref="C60:J60"/>
    <mergeCell ref="A61:E61"/>
    <mergeCell ref="J31:K31"/>
    <mergeCell ref="H22:I22"/>
    <mergeCell ref="A19:P19"/>
    <mergeCell ref="J32:K32"/>
    <mergeCell ref="B30:H30"/>
    <mergeCell ref="J30:K30"/>
    <mergeCell ref="A15:B17"/>
    <mergeCell ref="M61:O61"/>
    <mergeCell ref="G49:H49"/>
    <mergeCell ref="K59:L59"/>
    <mergeCell ref="I45:L49"/>
    <mergeCell ref="J36:K36"/>
    <mergeCell ref="F54:AF54"/>
    <mergeCell ref="K55:L55"/>
    <mergeCell ref="A54:E54"/>
    <mergeCell ref="B55:J55"/>
    <mergeCell ref="C56:J56"/>
    <mergeCell ref="M35:O35"/>
    <mergeCell ref="B35:H35"/>
    <mergeCell ref="AB37:AD37"/>
    <mergeCell ref="T37:Y37"/>
    <mergeCell ref="C40:J40"/>
    <mergeCell ref="M38:O38"/>
    <mergeCell ref="K40:M40"/>
    <mergeCell ref="J37:K37"/>
    <mergeCell ref="M37:O37"/>
    <mergeCell ref="B38:H38"/>
    <mergeCell ref="T42:Y42"/>
    <mergeCell ref="AB42:AD42"/>
    <mergeCell ref="G39:I39"/>
    <mergeCell ref="M34:O34"/>
    <mergeCell ref="T34:Y34"/>
    <mergeCell ref="Z29:AB29"/>
    <mergeCell ref="J29:K29"/>
    <mergeCell ref="M29:O29"/>
    <mergeCell ref="E29:I29"/>
    <mergeCell ref="B33:H33"/>
    <mergeCell ref="J33:K33"/>
    <mergeCell ref="B31:H31"/>
    <mergeCell ref="M32:O32"/>
    <mergeCell ref="M31:O31"/>
    <mergeCell ref="M33:O33"/>
    <mergeCell ref="U1:AD1"/>
    <mergeCell ref="J35:K35"/>
    <mergeCell ref="M7:O7"/>
    <mergeCell ref="J7:K7"/>
    <mergeCell ref="J8:K8"/>
    <mergeCell ref="A18:L18"/>
    <mergeCell ref="C21:D21"/>
    <mergeCell ref="E21:M21"/>
    <mergeCell ref="J6:O6"/>
    <mergeCell ref="R4:AF4"/>
    <mergeCell ref="R2:AF2"/>
    <mergeCell ref="R7:T7"/>
    <mergeCell ref="U7:Y7"/>
    <mergeCell ref="R9:Y19"/>
    <mergeCell ref="AA9:AF18"/>
    <mergeCell ref="AB34:AD34"/>
    <mergeCell ref="T29:Y29"/>
    <mergeCell ref="M30:O30"/>
    <mergeCell ref="M9:P11"/>
    <mergeCell ref="AA32:AC32"/>
    <mergeCell ref="X32:Y32"/>
    <mergeCell ref="A29:D29"/>
    <mergeCell ref="B34:H34"/>
    <mergeCell ref="J34:K34"/>
  </mergeCells>
  <conditionalFormatting sqref="J32:K32">
    <cfRule type="expression" dxfId="208" priority="130">
      <formula>$J$32&lt;&gt;0</formula>
    </cfRule>
  </conditionalFormatting>
  <conditionalFormatting sqref="M32:O32">
    <cfRule type="expression" dxfId="207" priority="129">
      <formula>$M$32&lt;&gt;0</formula>
    </cfRule>
  </conditionalFormatting>
  <conditionalFormatting sqref="L32">
    <cfRule type="expression" dxfId="206" priority="128">
      <formula>$J$32&lt;&gt;0</formula>
    </cfRule>
  </conditionalFormatting>
  <conditionalFormatting sqref="P32:Q32">
    <cfRule type="expression" dxfId="205" priority="127">
      <formula>$M$32&lt;&gt;0</formula>
    </cfRule>
  </conditionalFormatting>
  <conditionalFormatting sqref="J8:K8">
    <cfRule type="expression" dxfId="204" priority="31">
      <formula>$J$6&lt;&gt;""</formula>
    </cfRule>
    <cfRule type="expression" dxfId="203" priority="97">
      <formula>AND($L$77=1,OR($O$77=1,$O$77=2),$M$77=1)</formula>
    </cfRule>
    <cfRule type="expression" dxfId="202" priority="118">
      <formula>AND($L$77=2,$M$77&lt;&gt;1)</formula>
    </cfRule>
    <cfRule type="expression" dxfId="201" priority="120">
      <formula>AND($L$77=1,$M$77=1)</formula>
    </cfRule>
  </conditionalFormatting>
  <conditionalFormatting sqref="A29:D29">
    <cfRule type="expression" dxfId="200" priority="117">
      <formula>AND($L$77=1,$M$77=2)</formula>
    </cfRule>
  </conditionalFormatting>
  <conditionalFormatting sqref="B67 B65">
    <cfRule type="expression" dxfId="199" priority="103">
      <formula>AND($L$77=1,$M$77=1)</formula>
    </cfRule>
    <cfRule type="expression" dxfId="198" priority="105">
      <formula>$L$77=""</formula>
    </cfRule>
  </conditionalFormatting>
  <conditionalFormatting sqref="M50:Q52">
    <cfRule type="expression" dxfId="197" priority="92">
      <formula>AND($L$77=1,$M$77=2,$O$77=2)</formula>
    </cfRule>
  </conditionalFormatting>
  <conditionalFormatting sqref="A90:A92">
    <cfRule type="expression" dxfId="196" priority="91">
      <formula>OR($J$32&lt;&gt;0,$M$32&lt;&gt;0)</formula>
    </cfRule>
  </conditionalFormatting>
  <conditionalFormatting sqref="K50:L50">
    <cfRule type="expression" dxfId="195" priority="720">
      <formula>AND($K$50&gt;0,$O$77=1)</formula>
    </cfRule>
    <cfRule type="expression" dxfId="194" priority="721">
      <formula>AND($L$77=1,$M$77=2)</formula>
    </cfRule>
  </conditionalFormatting>
  <conditionalFormatting sqref="J23:K23">
    <cfRule type="expression" dxfId="193" priority="722">
      <formula>AND($L$77=1,$M$77=2)</formula>
    </cfRule>
    <cfRule type="expression" dxfId="192" priority="723">
      <formula>AND($H$22&gt;0,$O$77=2)</formula>
    </cfRule>
  </conditionalFormatting>
  <conditionalFormatting sqref="P53:Q53">
    <cfRule type="expression" dxfId="191" priority="87">
      <formula>$L$77&lt;&gt;1</formula>
    </cfRule>
  </conditionalFormatting>
  <conditionalFormatting sqref="A19:Q19">
    <cfRule type="expression" dxfId="190" priority="77">
      <formula>AND($O$77=1,$M$77=3)</formula>
    </cfRule>
  </conditionalFormatting>
  <conditionalFormatting sqref="N21">
    <cfRule type="expression" dxfId="189" priority="76">
      <formula>$L$78=2</formula>
    </cfRule>
  </conditionalFormatting>
  <conditionalFormatting sqref="J7:O7">
    <cfRule type="expression" dxfId="188" priority="864">
      <formula>AND(OR($H$22&gt;0,$K$50&gt;0),OR($O$77=1,$O$77=2),$L$77&lt;1)</formula>
    </cfRule>
  </conditionalFormatting>
  <conditionalFormatting sqref="P7:Q8 J7:K8">
    <cfRule type="expression" dxfId="187" priority="865">
      <formula>AND(OR($H$22&gt;0,$K$50&gt;0),OR($O$77=1,$O$77=2),$L$77&lt;1)</formula>
    </cfRule>
  </conditionalFormatting>
  <conditionalFormatting sqref="C51:L52">
    <cfRule type="expression" dxfId="186" priority="867">
      <formula>AND($O$77=2,$K$50&gt;$H$22,$H$22&gt;0)</formula>
    </cfRule>
  </conditionalFormatting>
  <conditionalFormatting sqref="J28:O28 E26">
    <cfRule type="expression" dxfId="185" priority="868">
      <formula>AND($O$77=1,$H$22&gt;$K$50,$K$50&gt;0)</formula>
    </cfRule>
  </conditionalFormatting>
  <conditionalFormatting sqref="J8:O8">
    <cfRule type="expression" dxfId="184" priority="869">
      <formula>AND(OR($H$22&gt;0,$K$50&gt;0),OR($O$77=1,$O$77=2),$L$77&lt;1)</formula>
    </cfRule>
  </conditionalFormatting>
  <conditionalFormatting sqref="A103:O103">
    <cfRule type="expression" dxfId="183" priority="916">
      <formula>OR(AND($J$39&lt;&gt;0,$M$39&lt;&gt;0,$J$39&lt;$M$39,$O$76=FALSE,$F$44&gt;0), AND($J$39&lt;&gt;0,$M$39&lt;&gt;0,$J$39&lt;$M$39,$O$76=TRUE,$F$44&gt;12),AND($J$39&lt;&gt;0,$M$29&lt;&gt;0,$J$39&lt;$M$39,$F$44&gt;12),AND($J$39&lt;&gt;0,$M$39&lt;&gt;0,$J$39&gt;$M$39,$F$44&lt;&gt;$G$48,$F$44&lt;&gt;""),AND($J$39&lt;&gt;0,$M$39&lt;&gt;0,$M$39=$J$39,$F$44&gt;12,$F$44&lt;&gt;"",$O$76=TRUE),AND($J$39&lt;&gt;0,$M$39&lt;&gt;0,$M$39=$J$39,$F$44&lt;&gt;$G$48,$F$44&lt;&gt;"",$O$76=FALSE),AND($J$39&lt;&gt;0,$M$39&lt;&gt;0,$J$39&gt;$M$39,$O$76=TRUE),AND($J$39&lt;&gt;0,$M$39&lt;&gt;$J$39&lt;$M$39,$F$44&lt;&gt;"",$O$76=FALSE),AND($J$39&lt;&gt;0,$M$39&lt;&gt;0,$J$39=$M$39,$F$44=12,$F$44&lt;&gt;"",$O$76=FALSE),AND($J$39&lt;&gt;0,$M$39&lt;&gt;0,$J$39=$M$39,$F$44=$G$48,$F$44&lt;&gt;"",$F$44&lt;&gt;12,$O$76=TRUE),AND($J$39&lt;&gt;0,$M$39&lt;&gt;0,$J$39&lt;$M$39,$F$44&lt;&gt;"",$O$76&lt;&gt;TRUE))</formula>
    </cfRule>
  </conditionalFormatting>
  <conditionalFormatting sqref="B48:C48">
    <cfRule type="expression" dxfId="182" priority="72">
      <formula>AND($B$48="",$D$48&lt;&gt;"")</formula>
    </cfRule>
  </conditionalFormatting>
  <conditionalFormatting sqref="D48">
    <cfRule type="expression" dxfId="181" priority="71">
      <formula>AND($D$48="",$B$48&lt;&gt;"")</formula>
    </cfRule>
  </conditionalFormatting>
  <conditionalFormatting sqref="E48">
    <cfRule type="expression" dxfId="180" priority="70">
      <formula>AND($E$48="",$F$48&lt;&gt;"")</formula>
    </cfRule>
  </conditionalFormatting>
  <conditionalFormatting sqref="F48">
    <cfRule type="expression" dxfId="179" priority="69">
      <formula>AND($F$48="",$E$48&lt;&gt;"")</formula>
    </cfRule>
  </conditionalFormatting>
  <conditionalFormatting sqref="B40">
    <cfRule type="expression" dxfId="178" priority="27" stopIfTrue="1">
      <formula>$P$75=TRUE</formula>
    </cfRule>
    <cfRule type="expression" dxfId="177" priority="66">
      <formula>AND($J$39&lt;&gt;0,$M$39&lt;&gt;0,$J$39=$M$39,$F$44=$G$48,$F$44&lt;&gt;"",$F$44&lt;&gt;12,$O$76=TRUE)</formula>
    </cfRule>
    <cfRule type="expression" dxfId="176" priority="67">
      <formula>OR(AND($J$39&lt;&gt;0,$M$39&lt;&gt;0,$J$39&gt;$M$39,$O$76=TRUE),AND($J$39&lt;&gt;0,$M$39&lt;&gt;$J$39&lt;$M$39,$F$44&lt;&gt;"",$O$76=FALSE),AND($J$39&lt;&gt;0,$M$39&lt;&gt;0,$J$39=$M$39,$F$44=12,$F$44&lt;&gt;"",$O$76=FALSE),AND($J$39&lt;&gt;0,$M$39&lt;&gt;0,$J$39&lt;$M$39,$F$44&lt;&gt;"",$O$76&lt;&gt;TRUE))</formula>
    </cfRule>
    <cfRule type="expression" dxfId="175" priority="68">
      <formula>AND($J$39&lt;&gt;0,$M$39&lt;&gt;0,$J$39&lt;$M$39)</formula>
    </cfRule>
  </conditionalFormatting>
  <conditionalFormatting sqref="F44">
    <cfRule type="expression" dxfId="174" priority="26">
      <formula>AND($F$44&gt;12,$P$75=TRUE)</formula>
    </cfRule>
    <cfRule type="expression" dxfId="173" priority="65">
      <formula>OR(AND($J$39&lt;&gt;0,$M$39&lt;&gt;0,$J$39&lt;$M$39,$F$44&gt;12),AND($J$39&lt;&gt;0,$M$39&lt;&gt;0,$J$39&gt;$M$39,$F$44&lt;&gt;$G$48,$F$44&lt;&gt;""),AND($J$39&lt;&gt;0,$M$39&lt;&gt;0,$M$39=$J$39,$F$44&gt;12,$F$44&lt;&gt;"",$O$76=TRUE),AND($J$39&lt;&gt;0,$M$39&lt;&gt;0,$M$39=$J$39,$F$44&lt;&gt;$G$48,$F$44&lt;&gt;"",$O$76=FALSE))</formula>
    </cfRule>
  </conditionalFormatting>
  <conditionalFormatting sqref="K40">
    <cfRule type="expression" dxfId="172" priority="61">
      <formula>$M$39=0</formula>
    </cfRule>
    <cfRule type="expression" dxfId="171" priority="62">
      <formula>AND($J$39&lt;&gt;0,$M$39&lt;&gt;0,$J$39&lt;$M$39)</formula>
    </cfRule>
    <cfRule type="expression" dxfId="170" priority="63">
      <formula>AND(OR($F$44=12,$F$44=24,$F$254=0),$J$39&lt;&gt;0,$M$39&lt;&gt;0,$J$39&lt;$M$39)</formula>
    </cfRule>
  </conditionalFormatting>
  <conditionalFormatting sqref="K40:N40">
    <cfRule type="expression" dxfId="169" priority="64">
      <formula>OR(AND($J$39&lt;&gt;0,$M$39&lt;&gt;0,$J$39&lt;$M$39,$O$76=FALSE,$F$44&gt;0), AND($J$39&lt;&gt;0,$M$39&lt;&gt;0,$J$39&lt;$M$39,$O$76=TRUE,$F$44&gt;12))</formula>
    </cfRule>
  </conditionalFormatting>
  <conditionalFormatting sqref="G39:I39">
    <cfRule type="expression" dxfId="168" priority="60">
      <formula>OR($G$48="",$G$48=12,$G$48=24)</formula>
    </cfRule>
  </conditionalFormatting>
  <conditionalFormatting sqref="J39:K39">
    <cfRule type="expression" dxfId="167" priority="59">
      <formula>AND($F$49&lt;12,$F$49&lt;&gt;"")</formula>
    </cfRule>
  </conditionalFormatting>
  <conditionalFormatting sqref="M39:O39">
    <cfRule type="expression" dxfId="166" priority="58">
      <formula>AND($D$49&lt;12,$D$49&lt;&gt;"")</formula>
    </cfRule>
  </conditionalFormatting>
  <conditionalFormatting sqref="AA9:AF19">
    <cfRule type="expression" dxfId="165" priority="52">
      <formula>$AF$77=1</formula>
    </cfRule>
  </conditionalFormatting>
  <conditionalFormatting sqref="M18:N18">
    <cfRule type="expression" dxfId="164" priority="51">
      <formula>AND(L78=1,L83=2)</formula>
    </cfRule>
  </conditionalFormatting>
  <conditionalFormatting sqref="AB47">
    <cfRule type="expression" dxfId="163" priority="935">
      <formula>AND($AB$37&lt;&gt;"",$AB$42&lt;&gt;"",$AB$47&gt;=0)</formula>
    </cfRule>
    <cfRule type="expression" dxfId="162" priority="936">
      <formula>$AB$47&lt;0</formula>
    </cfRule>
  </conditionalFormatting>
  <conditionalFormatting sqref="Z45:AC45 Y46:AC46 Z49:AC49 Y52 Z48:AA48">
    <cfRule type="expression" dxfId="161" priority="937">
      <formula>AND($AB$37&lt;&gt;"",$AB$42&lt;&gt;"",$AB$47&lt;0)</formula>
    </cfRule>
  </conditionalFormatting>
  <conditionalFormatting sqref="AB23:AD23">
    <cfRule type="expression" dxfId="160" priority="50">
      <formula>AND($AB$42&lt;&gt;"",$AB$23="")</formula>
    </cfRule>
  </conditionalFormatting>
  <conditionalFormatting sqref="Z29:AB29">
    <cfRule type="expression" dxfId="159" priority="49">
      <formula>AND($AB$42&lt;&gt;"",$Z$29="")</formula>
    </cfRule>
  </conditionalFormatting>
  <conditionalFormatting sqref="Y52:AB53">
    <cfRule type="expression" dxfId="158" priority="48">
      <formula>$Y$52="Error: Lines 1     &amp; 2 Required"</formula>
    </cfRule>
  </conditionalFormatting>
  <conditionalFormatting sqref="L9">
    <cfRule type="expression" dxfId="157" priority="12">
      <formula>$J$9=""</formula>
    </cfRule>
    <cfRule type="expression" dxfId="156" priority="14">
      <formula>$L$78=2</formula>
    </cfRule>
    <cfRule type="expression" dxfId="155" priority="47">
      <formula>$J$9&lt;&gt;""</formula>
    </cfRule>
  </conditionalFormatting>
  <conditionalFormatting sqref="J9:K10">
    <cfRule type="expression" dxfId="154" priority="46">
      <formula>AND($J$9&lt;&gt;"",$L$9="")</formula>
    </cfRule>
  </conditionalFormatting>
  <conditionalFormatting sqref="M9">
    <cfRule type="expression" dxfId="153" priority="1603">
      <formula>AND(L77=1,L78=2,OR($M$1="FHA",$O$1=""))</formula>
    </cfRule>
  </conditionalFormatting>
  <conditionalFormatting sqref="K13 K15">
    <cfRule type="expression" dxfId="152" priority="1604">
      <formula>$A$13&lt;&gt;""</formula>
    </cfRule>
  </conditionalFormatting>
  <conditionalFormatting sqref="M8:O8">
    <cfRule type="expression" dxfId="151" priority="19">
      <formula>$J$6="Loan type below does not match I&amp;D Worksheet"</formula>
    </cfRule>
    <cfRule type="expression" dxfId="150" priority="1622">
      <formula>AND($L$78="",$K$59&lt;&gt;0)</formula>
    </cfRule>
    <cfRule type="expression" dxfId="149" priority="1623">
      <formula>AND(OR($L$77=2,$L$77=1),$L$78="")</formula>
    </cfRule>
  </conditionalFormatting>
  <conditionalFormatting sqref="K55:L59">
    <cfRule type="expression" dxfId="148" priority="39">
      <formula>$L$77&lt;&gt;2</formula>
    </cfRule>
  </conditionalFormatting>
  <conditionalFormatting sqref="M55:O59">
    <cfRule type="expression" dxfId="147" priority="38">
      <formula>$L$77=2</formula>
    </cfRule>
  </conditionalFormatting>
  <conditionalFormatting sqref="F61:J61 C60">
    <cfRule type="expression" dxfId="146" priority="37">
      <formula>$C$60="Enter figures here as positive numbers, not negative amounts"</formula>
    </cfRule>
  </conditionalFormatting>
  <conditionalFormatting sqref="O23:P25">
    <cfRule type="expression" dxfId="145" priority="36">
      <formula>$O$23&lt;&gt;""</formula>
    </cfRule>
  </conditionalFormatting>
  <conditionalFormatting sqref="M45:P49">
    <cfRule type="expression" dxfId="144" priority="34">
      <formula>$M$45&lt;&gt;""</formula>
    </cfRule>
  </conditionalFormatting>
  <conditionalFormatting sqref="D8:H10">
    <cfRule type="expression" dxfId="143" priority="33">
      <formula>$D$8&lt;&gt;""</formula>
    </cfRule>
  </conditionalFormatting>
  <conditionalFormatting sqref="J5:O5">
    <cfRule type="expression" dxfId="142" priority="30">
      <formula>AND($A$78&lt;&gt;"Primary with rent inc.",$A$78&lt;&gt;"Primary with rent inc. (2)")</formula>
    </cfRule>
  </conditionalFormatting>
  <conditionalFormatting sqref="M30:O37 B48:D48">
    <cfRule type="expression" dxfId="141" priority="29" stopIfTrue="1">
      <formula>$P$75=TRUE</formula>
    </cfRule>
  </conditionalFormatting>
  <conditionalFormatting sqref="M29:O29">
    <cfRule type="expression" dxfId="140" priority="28">
      <formula>$P$75=TRUE</formula>
    </cfRule>
  </conditionalFormatting>
  <conditionalFormatting sqref="L12:M14">
    <cfRule type="expression" dxfId="139" priority="25">
      <formula>AND($A$13="Required:",$K$13="Rents")</formula>
    </cfRule>
  </conditionalFormatting>
  <conditionalFormatting sqref="O13">
    <cfRule type="expression" dxfId="138" priority="24">
      <formula>AND($A$13="Required:",$K$13="Rents")</formula>
    </cfRule>
  </conditionalFormatting>
  <conditionalFormatting sqref="N12:N14 O14 P12:P14 O12">
    <cfRule type="expression" dxfId="137" priority="23">
      <formula>AND($A$13="Required:",$K$13="Rents",$O$13="")</formula>
    </cfRule>
  </conditionalFormatting>
  <conditionalFormatting sqref="O15">
    <cfRule type="expression" dxfId="136" priority="1824">
      <formula>AND(M83=1,M84=2)</formula>
    </cfRule>
  </conditionalFormatting>
  <conditionalFormatting sqref="C17:O17">
    <cfRule type="expression" dxfId="135" priority="5">
      <formula>$C$17="For FHA ADU, after completing this wkst, the total must be entered on the '30% of Income' wkst. Proceed below"</formula>
    </cfRule>
    <cfRule type="expression" dxfId="134" priority="6">
      <formula>$C$17="For Freddie ADU, after completing this wkst, the total must be entered on the '30% of Income' wkst. Proceed below"</formula>
    </cfRule>
    <cfRule type="expression" dxfId="133" priority="7">
      <formula>$C$17="There is no restriction on the amount of rental income that can be used. Proceed below"</formula>
    </cfRule>
    <cfRule type="expression" dxfId="132" priority="8">
      <formula>AND(L9="Fannie",M77=3,L77=1,L78=1)</formula>
    </cfRule>
    <cfRule type="expression" dxfId="131" priority="9">
      <formula>"AND(L9=""Fannie"",M77=3,L77=1,L78=1)"</formula>
    </cfRule>
    <cfRule type="expression" dxfId="130" priority="10">
      <formula>$C$17="Loan type above does not match I&amp;D worksheet"</formula>
    </cfRule>
    <cfRule type="expression" dxfId="129" priority="11">
      <formula>$C$17="Selections above do not match I&amp;D worksheet"</formula>
    </cfRule>
    <cfRule type="expression" dxfId="128" priority="21">
      <formula>OR($L$9="Freddie",$A$13="Required:",AND($J$9&lt;&gt;"",$L$9=""))</formula>
    </cfRule>
  </conditionalFormatting>
  <conditionalFormatting sqref="J8:K10">
    <cfRule type="expression" dxfId="127" priority="20" stopIfTrue="1">
      <formula>$J$6="Loan type below does not match I&amp;D Worksheet"</formula>
    </cfRule>
  </conditionalFormatting>
  <conditionalFormatting sqref="U1:AD1">
    <cfRule type="expression" dxfId="126" priority="17">
      <formula>$U$1&lt;&gt;""</formula>
    </cfRule>
  </conditionalFormatting>
  <conditionalFormatting sqref="J6:O6">
    <cfRule type="expression" dxfId="125" priority="16">
      <formula>$J$6&lt;&gt;""</formula>
    </cfRule>
  </conditionalFormatting>
  <conditionalFormatting sqref="M15:N16">
    <cfRule type="expression" dxfId="124" priority="2042">
      <formula>AND(L78=1,L83=2)</formula>
    </cfRule>
  </conditionalFormatting>
  <conditionalFormatting sqref="O18">
    <cfRule type="expression" dxfId="123" priority="2048">
      <formula>AND(M82=1,M83=2)</formula>
    </cfRule>
  </conditionalFormatting>
  <conditionalFormatting sqref="L78">
    <cfRule type="expression" dxfId="122" priority="15">
      <formula>$O$79=2</formula>
    </cfRule>
  </conditionalFormatting>
  <conditionalFormatting sqref="L11">
    <cfRule type="expression" dxfId="121" priority="13">
      <formula>$J$11=""</formula>
    </cfRule>
  </conditionalFormatting>
  <conditionalFormatting sqref="B67:M67">
    <cfRule type="expression" dxfId="120" priority="1">
      <formula>$B$67&lt;&gt;""</formula>
    </cfRule>
  </conditionalFormatting>
  <dataValidations disablePrompts="1" count="4">
    <dataValidation type="list" allowBlank="1" showInputMessage="1" showErrorMessage="1" sqref="K15" xr:uid="{2F37A431-A574-4621-A9DD-78DEC6A6D260}">
      <formula1>"Yes, No"</formula1>
    </dataValidation>
    <dataValidation type="list" allowBlank="1" showInputMessage="1" showErrorMessage="1" sqref="K13" xr:uid="{AD129296-F82A-4239-B262-6C60478AF41B}">
      <formula1>"Owns,Rents,Rent Free"</formula1>
    </dataValidation>
    <dataValidation type="list" allowBlank="1" showInputMessage="1" showErrorMessage="1" sqref="L9" xr:uid="{F3511F11-EEA0-443F-AFBC-DFEAFC0432B7}">
      <formula1>"Fannie,Freddie"</formula1>
    </dataValidation>
    <dataValidation type="list" allowBlank="1" showInputMessage="1" showErrorMessage="1" sqref="L11" xr:uid="{91C9A662-555E-496C-9185-A40F41BBA331}">
      <formula1>"Yes,No"</formula1>
    </dataValidation>
  </dataValidations>
  <printOptions horizontalCentered="1"/>
  <pageMargins left="0.25" right="0.25" top="0.25" bottom="0.25" header="0.3" footer="0.3"/>
  <pageSetup paperSize="5" scale="85" fitToWidth="0" fitToHeight="0" orientation="portrait" r:id="rId1"/>
  <rowBreaks count="1" manualBreakCount="1">
    <brk id="8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07905" r:id="rId4" name="Check Box 1">
              <controlPr defaultSize="0" autoFill="0" autoLine="0" autoPict="0">
                <anchor moveWithCells="1">
                  <from>
                    <xdr:col>1</xdr:col>
                    <xdr:colOff>15240</xdr:colOff>
                    <xdr:row>38</xdr:row>
                    <xdr:rowOff>68580</xdr:rowOff>
                  </from>
                  <to>
                    <xdr:col>7</xdr:col>
                    <xdr:colOff>327660</xdr:colOff>
                    <xdr:row>40</xdr:row>
                    <xdr:rowOff>45720</xdr:rowOff>
                  </to>
                </anchor>
              </controlPr>
            </control>
          </mc:Choice>
        </mc:AlternateContent>
        <mc:AlternateContent xmlns:mc="http://schemas.openxmlformats.org/markup-compatibility/2006">
          <mc:Choice Requires="x14">
            <control shapeId="507923" r:id="rId5" name="Drop Down 19">
              <controlPr defaultSize="0" autoLine="0" autoPict="0">
                <anchor moveWithCells="1">
                  <from>
                    <xdr:col>9</xdr:col>
                    <xdr:colOff>68580</xdr:colOff>
                    <xdr:row>7</xdr:row>
                    <xdr:rowOff>53340</xdr:rowOff>
                  </from>
                  <to>
                    <xdr:col>10</xdr:col>
                    <xdr:colOff>533400</xdr:colOff>
                    <xdr:row>7</xdr:row>
                    <xdr:rowOff>220980</xdr:rowOff>
                  </to>
                </anchor>
              </controlPr>
            </control>
          </mc:Choice>
        </mc:AlternateContent>
        <mc:AlternateContent xmlns:mc="http://schemas.openxmlformats.org/markup-compatibility/2006">
          <mc:Choice Requires="x14">
            <control shapeId="507924" r:id="rId6" name="Option Button 20">
              <controlPr defaultSize="0" autoFill="0" autoLine="0" autoPict="0">
                <anchor moveWithCells="1">
                  <from>
                    <xdr:col>9</xdr:col>
                    <xdr:colOff>160020</xdr:colOff>
                    <xdr:row>5</xdr:row>
                    <xdr:rowOff>175260</xdr:rowOff>
                  </from>
                  <to>
                    <xdr:col>10</xdr:col>
                    <xdr:colOff>365760</xdr:colOff>
                    <xdr:row>7</xdr:row>
                    <xdr:rowOff>0</xdr:rowOff>
                  </to>
                </anchor>
              </controlPr>
            </control>
          </mc:Choice>
        </mc:AlternateContent>
        <mc:AlternateContent xmlns:mc="http://schemas.openxmlformats.org/markup-compatibility/2006">
          <mc:Choice Requires="x14">
            <control shapeId="507925" r:id="rId7" name="Option Button 21">
              <controlPr defaultSize="0" autoFill="0" autoLine="0" autoPict="0">
                <anchor moveWithCells="1">
                  <from>
                    <xdr:col>11</xdr:col>
                    <xdr:colOff>373380</xdr:colOff>
                    <xdr:row>5</xdr:row>
                    <xdr:rowOff>175260</xdr:rowOff>
                  </from>
                  <to>
                    <xdr:col>14</xdr:col>
                    <xdr:colOff>441960</xdr:colOff>
                    <xdr:row>7</xdr:row>
                    <xdr:rowOff>0</xdr:rowOff>
                  </to>
                </anchor>
              </controlPr>
            </control>
          </mc:Choice>
        </mc:AlternateContent>
        <mc:AlternateContent xmlns:mc="http://schemas.openxmlformats.org/markup-compatibility/2006">
          <mc:Choice Requires="x14">
            <control shapeId="507926" r:id="rId8" name="Option Button 22">
              <controlPr defaultSize="0" autoFill="0" autoLine="0" autoPict="0">
                <anchor moveWithCells="1">
                  <from>
                    <xdr:col>11</xdr:col>
                    <xdr:colOff>121920</xdr:colOff>
                    <xdr:row>21</xdr:row>
                    <xdr:rowOff>76200</xdr:rowOff>
                  </from>
                  <to>
                    <xdr:col>12</xdr:col>
                    <xdr:colOff>419100</xdr:colOff>
                    <xdr:row>22</xdr:row>
                    <xdr:rowOff>190500</xdr:rowOff>
                  </to>
                </anchor>
              </controlPr>
            </control>
          </mc:Choice>
        </mc:AlternateContent>
        <mc:AlternateContent xmlns:mc="http://schemas.openxmlformats.org/markup-compatibility/2006">
          <mc:Choice Requires="x14">
            <control shapeId="507927" r:id="rId9" name="Option Button 23">
              <controlPr defaultSize="0" autoFill="0" autoLine="0" autoPict="0">
                <anchor moveWithCells="1">
                  <from>
                    <xdr:col>12</xdr:col>
                    <xdr:colOff>160020</xdr:colOff>
                    <xdr:row>48</xdr:row>
                    <xdr:rowOff>38100</xdr:rowOff>
                  </from>
                  <to>
                    <xdr:col>12</xdr:col>
                    <xdr:colOff>426720</xdr:colOff>
                    <xdr:row>49</xdr:row>
                    <xdr:rowOff>190500</xdr:rowOff>
                  </to>
                </anchor>
              </controlPr>
            </control>
          </mc:Choice>
        </mc:AlternateContent>
        <mc:AlternateContent xmlns:mc="http://schemas.openxmlformats.org/markup-compatibility/2006">
          <mc:Choice Requires="x14">
            <control shapeId="507933" r:id="rId10" name="Option Button 29">
              <controlPr defaultSize="0" autoFill="0" autoLine="0" autoPict="0" macro="[0]!Primwrent_OptionButton29_Click">
                <anchor moveWithCells="1">
                  <from>
                    <xdr:col>12</xdr:col>
                    <xdr:colOff>60960</xdr:colOff>
                    <xdr:row>7</xdr:row>
                    <xdr:rowOff>68580</xdr:rowOff>
                  </from>
                  <to>
                    <xdr:col>12</xdr:col>
                    <xdr:colOff>518160</xdr:colOff>
                    <xdr:row>7</xdr:row>
                    <xdr:rowOff>213360</xdr:rowOff>
                  </to>
                </anchor>
              </controlPr>
            </control>
          </mc:Choice>
        </mc:AlternateContent>
        <mc:AlternateContent xmlns:mc="http://schemas.openxmlformats.org/markup-compatibility/2006">
          <mc:Choice Requires="x14">
            <control shapeId="507934" r:id="rId11" name="Option Button 30">
              <controlPr defaultSize="0" autoFill="0" autoLine="0" autoPict="0" macro="[0]!Primwrent_OptionButton30_Click">
                <anchor moveWithCells="1">
                  <from>
                    <xdr:col>14</xdr:col>
                    <xdr:colOff>60960</xdr:colOff>
                    <xdr:row>7</xdr:row>
                    <xdr:rowOff>60960</xdr:rowOff>
                  </from>
                  <to>
                    <xdr:col>14</xdr:col>
                    <xdr:colOff>525780</xdr:colOff>
                    <xdr:row>7</xdr:row>
                    <xdr:rowOff>220980</xdr:rowOff>
                  </to>
                </anchor>
              </controlPr>
            </control>
          </mc:Choice>
        </mc:AlternateContent>
        <mc:AlternateContent xmlns:mc="http://schemas.openxmlformats.org/markup-compatibility/2006">
          <mc:Choice Requires="x14">
            <control shapeId="507937" r:id="rId12" name="Group Box 33">
              <controlPr defaultSize="0" autoFill="0" autoPict="0">
                <anchor moveWithCells="1">
                  <from>
                    <xdr:col>8</xdr:col>
                    <xdr:colOff>358140</xdr:colOff>
                    <xdr:row>5</xdr:row>
                    <xdr:rowOff>121920</xdr:rowOff>
                  </from>
                  <to>
                    <xdr:col>14</xdr:col>
                    <xdr:colOff>441960</xdr:colOff>
                    <xdr:row>7</xdr:row>
                    <xdr:rowOff>7620</xdr:rowOff>
                  </to>
                </anchor>
              </controlPr>
            </control>
          </mc:Choice>
        </mc:AlternateContent>
        <mc:AlternateContent xmlns:mc="http://schemas.openxmlformats.org/markup-compatibility/2006">
          <mc:Choice Requires="x14">
            <control shapeId="507939" r:id="rId13" name="Group Box 35">
              <controlPr defaultSize="0" autoFill="0" autoPict="0">
                <anchor moveWithCells="1">
                  <from>
                    <xdr:col>11</xdr:col>
                    <xdr:colOff>624840</xdr:colOff>
                    <xdr:row>7</xdr:row>
                    <xdr:rowOff>15240</xdr:rowOff>
                  </from>
                  <to>
                    <xdr:col>14</xdr:col>
                    <xdr:colOff>609600</xdr:colOff>
                    <xdr:row>8</xdr:row>
                    <xdr:rowOff>0</xdr:rowOff>
                  </to>
                </anchor>
              </controlPr>
            </control>
          </mc:Choice>
        </mc:AlternateContent>
        <mc:AlternateContent xmlns:mc="http://schemas.openxmlformats.org/markup-compatibility/2006">
          <mc:Choice Requires="x14">
            <control shapeId="507940" r:id="rId14" name="Option Button 36">
              <controlPr defaultSize="0" autoFill="0" autoLine="0" autoPict="0">
                <anchor moveWithCells="1" sizeWithCells="1">
                  <from>
                    <xdr:col>23</xdr:col>
                    <xdr:colOff>7620</xdr:colOff>
                    <xdr:row>15</xdr:row>
                    <xdr:rowOff>7620</xdr:rowOff>
                  </from>
                  <to>
                    <xdr:col>23</xdr:col>
                    <xdr:colOff>518160</xdr:colOff>
                    <xdr:row>17</xdr:row>
                    <xdr:rowOff>7620</xdr:rowOff>
                  </to>
                </anchor>
              </controlPr>
            </control>
          </mc:Choice>
        </mc:AlternateContent>
        <mc:AlternateContent xmlns:mc="http://schemas.openxmlformats.org/markup-compatibility/2006">
          <mc:Choice Requires="x14">
            <control shapeId="507941" r:id="rId15" name="Option Button 37">
              <controlPr defaultSize="0" autoFill="0" autoLine="0" autoPict="0">
                <anchor moveWithCells="1" sizeWithCells="1">
                  <from>
                    <xdr:col>23</xdr:col>
                    <xdr:colOff>541020</xdr:colOff>
                    <xdr:row>15</xdr:row>
                    <xdr:rowOff>7620</xdr:rowOff>
                  </from>
                  <to>
                    <xdr:col>24</xdr:col>
                    <xdr:colOff>312420</xdr:colOff>
                    <xdr:row>17</xdr:row>
                    <xdr:rowOff>7620</xdr:rowOff>
                  </to>
                </anchor>
              </controlPr>
            </control>
          </mc:Choice>
        </mc:AlternateContent>
        <mc:AlternateContent xmlns:mc="http://schemas.openxmlformats.org/markup-compatibility/2006">
          <mc:Choice Requires="x14">
            <control shapeId="507942" r:id="rId16" name="Group Box 38">
              <controlPr defaultSize="0" autoFill="0" autoPict="0">
                <anchor moveWithCells="1" sizeWithCells="1">
                  <from>
                    <xdr:col>22</xdr:col>
                    <xdr:colOff>205740</xdr:colOff>
                    <xdr:row>8</xdr:row>
                    <xdr:rowOff>45720</xdr:rowOff>
                  </from>
                  <to>
                    <xdr:col>25</xdr:col>
                    <xdr:colOff>15240</xdr:colOff>
                    <xdr:row>20</xdr:row>
                    <xdr:rowOff>30480</xdr:rowOff>
                  </to>
                </anchor>
              </controlPr>
            </control>
          </mc:Choice>
        </mc:AlternateContent>
        <mc:AlternateContent xmlns:mc="http://schemas.openxmlformats.org/markup-compatibility/2006">
          <mc:Choice Requires="x14">
            <control shapeId="507947" r:id="rId17" name="Button 43">
              <controlPr defaultSize="0" print="0" autoFill="0" autoPict="0" macro="[0]!IW_Copy">
                <anchor moveWithCells="1" sizeWithCells="1">
                  <from>
                    <xdr:col>1</xdr:col>
                    <xdr:colOff>60960</xdr:colOff>
                    <xdr:row>0</xdr:row>
                    <xdr:rowOff>7620</xdr:rowOff>
                  </from>
                  <to>
                    <xdr:col>2</xdr:col>
                    <xdr:colOff>281940</xdr:colOff>
                    <xdr:row>1</xdr:row>
                    <xdr:rowOff>114300</xdr:rowOff>
                  </to>
                </anchor>
              </controlPr>
            </control>
          </mc:Choice>
        </mc:AlternateContent>
        <mc:AlternateContent xmlns:mc="http://schemas.openxmlformats.org/markup-compatibility/2006">
          <mc:Choice Requires="x14">
            <control shapeId="507948" r:id="rId18" name="Button 44">
              <controlPr defaultSize="0" print="0" autoFill="0" autoPict="0" macro="[0]!IW_Home">
                <anchor moveWithCells="1" sizeWithCells="1">
                  <from>
                    <xdr:col>0</xdr:col>
                    <xdr:colOff>0</xdr:colOff>
                    <xdr:row>0</xdr:row>
                    <xdr:rowOff>7620</xdr:rowOff>
                  </from>
                  <to>
                    <xdr:col>0</xdr:col>
                    <xdr:colOff>434340</xdr:colOff>
                    <xdr:row>1</xdr:row>
                    <xdr:rowOff>114300</xdr:rowOff>
                  </to>
                </anchor>
              </controlPr>
            </control>
          </mc:Choice>
        </mc:AlternateContent>
        <mc:AlternateContent xmlns:mc="http://schemas.openxmlformats.org/markup-compatibility/2006">
          <mc:Choice Requires="x14">
            <control shapeId="507949" r:id="rId19" name="Button 45">
              <controlPr defaultSize="0" print="0" autoFill="0" autoPict="0" macro="[0]!PrimwRent_Clear">
                <anchor moveWithCells="1" sizeWithCells="1">
                  <from>
                    <xdr:col>2</xdr:col>
                    <xdr:colOff>350520</xdr:colOff>
                    <xdr:row>0</xdr:row>
                    <xdr:rowOff>7620</xdr:rowOff>
                  </from>
                  <to>
                    <xdr:col>3</xdr:col>
                    <xdr:colOff>304800</xdr:colOff>
                    <xdr:row>1</xdr:row>
                    <xdr:rowOff>114300</xdr:rowOff>
                  </to>
                </anchor>
              </controlPr>
            </control>
          </mc:Choice>
        </mc:AlternateContent>
        <mc:AlternateContent xmlns:mc="http://schemas.openxmlformats.org/markup-compatibility/2006">
          <mc:Choice Requires="x14">
            <control shapeId="507950" r:id="rId20" name="Button 46">
              <controlPr defaultSize="0" print="0" autoFill="0" autoPict="0" macro="[0]!PrimwRent_OmitHide">
                <anchor moveWithCells="1" sizeWithCells="1">
                  <from>
                    <xdr:col>0</xdr:col>
                    <xdr:colOff>7620</xdr:colOff>
                    <xdr:row>1</xdr:row>
                    <xdr:rowOff>167640</xdr:rowOff>
                  </from>
                  <to>
                    <xdr:col>2</xdr:col>
                    <xdr:colOff>7620</xdr:colOff>
                    <xdr:row>1</xdr:row>
                    <xdr:rowOff>464820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580FA6D0-7328-4B74-8012-A82CFC0BBF6E}">
            <xm:f>AND($F$44&gt;12,OR($L$9="Fannie",$L$9="Freddie",'I&amp;D Worksheet'!$J$8:$N$8="Conventional"))</xm:f>
            <x14:dxf>
              <font>
                <color rgb="FFFF0000"/>
              </font>
              <fill>
                <patternFill>
                  <bgColor rgb="FFFFFF00"/>
                </patternFill>
              </fill>
            </x14:dxf>
          </x14:cfRule>
          <xm:sqref>F44</xm:sqref>
        </x14:conditionalFormatting>
        <x14:conditionalFormatting xmlns:xm="http://schemas.microsoft.com/office/excel/2006/main">
          <x14:cfRule type="expression" priority="18" id="{1D9552FE-3701-404C-8CAB-8786A1289FCF}">
            <xm:f>AND(L77=1,'I&amp;D Worksheet'!$M$70&lt;&gt;3)</xm:f>
            <x14:dxf>
              <fill>
                <patternFill>
                  <bgColor rgb="FFFFFF00"/>
                </patternFill>
              </fill>
              <border>
                <left style="thin">
                  <color rgb="FFFF0000"/>
                </left>
                <right style="thin">
                  <color rgb="FFFF0000"/>
                </right>
                <top style="thin">
                  <color rgb="FFFF0000"/>
                </top>
                <bottom style="thin">
                  <color rgb="FFFF0000"/>
                </bottom>
              </border>
            </x14:dxf>
          </x14:cfRule>
          <xm:sqref>J7:K7</xm:sqref>
        </x14:conditionalFormatting>
        <x14:conditionalFormatting xmlns:xm="http://schemas.microsoft.com/office/excel/2006/main">
          <x14:cfRule type="expression" priority="3" id="{C28CF4E7-B73D-4AA0-B0D9-C4756F5F2154}">
            <xm:f>OR($L$9="Fannie",$L$9="Freddie",'I&amp;D Worksheet'!$J$8:$N$8="Conventional")</xm:f>
            <x14:dxf>
              <font>
                <color theme="0" tint="-0.24994659260841701"/>
              </font>
              <fill>
                <patternFill>
                  <bgColor theme="0" tint="-0.24994659260841701"/>
                </patternFill>
              </fill>
            </x14:dxf>
          </x14:cfRule>
          <xm:sqref>M30:O37</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A54B7-F6CF-4C97-8D3D-A1740446F93F}">
  <sheetPr codeName="Sheet40">
    <tabColor rgb="FFFFFF00"/>
  </sheetPr>
  <dimension ref="A2:O99"/>
  <sheetViews>
    <sheetView showGridLines="0" showRowColHeaders="0" showRuler="0" view="pageLayout" zoomScale="90" zoomScaleNormal="100" zoomScalePageLayoutView="90" workbookViewId="0">
      <selection activeCell="D7" sqref="D7:H7"/>
      <extLst>
        <ext xmlns:xlsdti="http://schemas.microsoft.com/office/spreadsheetml/2023/showDataTypeIcons" uri="{77bfe23e-c014-4d31-8a63-9c772dbf06b6}">
          <xlsdti:showDataTypeIcons visible="0"/>
        </ext>
      </extLst>
    </sheetView>
  </sheetViews>
  <sheetFormatPr defaultColWidth="9.109375" defaultRowHeight="14.4" x14ac:dyDescent="0.3"/>
  <cols>
    <col min="1" max="1" width="8.5546875" customWidth="1"/>
    <col min="2" max="2" width="3" customWidth="1"/>
    <col min="3" max="3" width="6.6640625" customWidth="1"/>
    <col min="4" max="4" width="10.6640625" customWidth="1"/>
    <col min="5" max="5" width="9.5546875" customWidth="1"/>
    <col min="6" max="6" width="9.109375" customWidth="1"/>
    <col min="7" max="7" width="4.109375" customWidth="1"/>
    <col min="8" max="8" width="9.109375" customWidth="1"/>
    <col min="9" max="9" width="8" customWidth="1"/>
    <col min="10" max="10" width="10.5546875" customWidth="1"/>
    <col min="11" max="11" width="7.21875" customWidth="1"/>
    <col min="12" max="12" width="8.88671875" customWidth="1"/>
    <col min="13" max="13" width="8.109375" customWidth="1"/>
    <col min="14" max="14" width="8.33203125" customWidth="1"/>
    <col min="15" max="15" width="3.44140625" customWidth="1"/>
    <col min="16" max="32" width="9.109375" customWidth="1"/>
  </cols>
  <sheetData>
    <row r="2" spans="1:15" ht="36.75" customHeight="1" x14ac:dyDescent="0.5">
      <c r="A2" s="1321" t="s">
        <v>1098</v>
      </c>
      <c r="B2" s="1321"/>
      <c r="C2" s="1321"/>
      <c r="D2" s="1321"/>
      <c r="E2" s="1321"/>
      <c r="F2" s="1321"/>
      <c r="G2" s="1321"/>
      <c r="H2" s="1321"/>
      <c r="I2" s="1321"/>
      <c r="J2" s="1321"/>
      <c r="K2" s="1321"/>
      <c r="L2" s="1321"/>
      <c r="M2" s="1321"/>
      <c r="N2" s="1321"/>
    </row>
    <row r="3" spans="1:15" ht="3.6" customHeight="1" x14ac:dyDescent="0.45">
      <c r="A3" s="1409"/>
      <c r="B3" s="1409"/>
      <c r="C3" s="1409"/>
      <c r="D3" s="1409"/>
      <c r="E3" s="1409"/>
      <c r="F3" s="1409"/>
      <c r="G3" s="1409"/>
      <c r="H3" s="1409"/>
      <c r="I3" s="1409"/>
      <c r="J3" s="1409"/>
      <c r="K3" s="1409"/>
      <c r="L3" s="1409"/>
      <c r="M3" s="1409"/>
      <c r="N3" s="1409"/>
    </row>
    <row r="4" spans="1:15" ht="14.4" customHeight="1" x14ac:dyDescent="0.3">
      <c r="A4" s="1791"/>
      <c r="B4" s="1791"/>
      <c r="C4" s="1791"/>
      <c r="D4" s="1791"/>
      <c r="E4" s="1791"/>
      <c r="F4" s="1791"/>
      <c r="G4" s="1791"/>
      <c r="H4" s="1791"/>
      <c r="I4" s="1791"/>
      <c r="J4" s="1791"/>
      <c r="K4" s="2288" t="s">
        <v>1099</v>
      </c>
      <c r="L4" s="2288"/>
      <c r="M4" s="2288"/>
      <c r="N4" s="2288"/>
    </row>
    <row r="5" spans="1:15" ht="21" customHeight="1" x14ac:dyDescent="0.3">
      <c r="A5" s="2"/>
      <c r="B5" s="2"/>
      <c r="C5" s="2"/>
      <c r="D5" s="2"/>
      <c r="E5" s="2"/>
      <c r="F5" s="2"/>
      <c r="G5" s="2"/>
      <c r="H5" s="2"/>
      <c r="I5" s="2"/>
      <c r="J5" s="2"/>
      <c r="K5" s="2288"/>
      <c r="L5" s="2288"/>
      <c r="M5" s="2288"/>
      <c r="N5" s="2288"/>
    </row>
    <row r="6" spans="1:15" ht="13.8" customHeight="1" x14ac:dyDescent="0.3">
      <c r="A6" s="2"/>
      <c r="B6" s="2"/>
      <c r="C6" s="2"/>
      <c r="D6" s="2"/>
      <c r="H6" s="2"/>
      <c r="J6" s="1912" t="str">
        <f>IF(AND(L74="",OR(C20&lt;&gt;"",J27&lt;&gt;"",M27&lt;&gt;"",N74&lt;&gt;"")),"Selections Needed to complete wkst",IF(OR(AND(L74=1,M74=2,'I&amp;D Worksheet'!O70&lt;&gt;3),AND(L74=1,M74=3,'I&amp;D Worksheet'!O70&lt;&gt;7)),"Selection below does not match I&amp;D worksheet",""))</f>
        <v/>
      </c>
      <c r="K6" s="1912"/>
      <c r="L6" s="1912"/>
      <c r="M6" s="1912"/>
      <c r="N6" s="1912"/>
    </row>
    <row r="7" spans="1:15" ht="15.75" customHeight="1" x14ac:dyDescent="0.3">
      <c r="A7" s="2160" t="s">
        <v>575</v>
      </c>
      <c r="B7" s="2160"/>
      <c r="C7" s="2160"/>
      <c r="D7" s="1979"/>
      <c r="E7" s="1979"/>
      <c r="F7" s="1979"/>
      <c r="G7" s="1979"/>
      <c r="H7" s="1979"/>
      <c r="I7" s="208"/>
      <c r="J7" s="1812" t="s">
        <v>579</v>
      </c>
      <c r="K7" s="1812"/>
      <c r="L7" s="2"/>
      <c r="M7" s="1812" t="s">
        <v>574</v>
      </c>
      <c r="N7" s="1812"/>
      <c r="O7" s="8"/>
    </row>
    <row r="8" spans="1:15" ht="21.75" customHeight="1" x14ac:dyDescent="0.3">
      <c r="A8" s="2"/>
      <c r="B8" s="2"/>
      <c r="C8" s="2"/>
      <c r="D8" s="2304"/>
      <c r="E8" s="2304"/>
      <c r="F8" s="2304"/>
      <c r="G8" s="2304"/>
      <c r="H8" s="2304"/>
      <c r="I8" s="46" t="s">
        <v>582</v>
      </c>
      <c r="J8" s="2260"/>
      <c r="K8" s="2260"/>
      <c r="L8" s="713" t="str">
        <f>IF(AND(L74=2,M74&gt;1),"N/A","")</f>
        <v/>
      </c>
      <c r="M8" s="2"/>
      <c r="N8" s="2"/>
    </row>
    <row r="9" spans="1:15" ht="12" customHeight="1" x14ac:dyDescent="0.3">
      <c r="A9" s="2"/>
      <c r="B9" s="2"/>
      <c r="C9" s="2"/>
      <c r="D9" s="1855"/>
      <c r="E9" s="1855"/>
      <c r="F9" s="1855"/>
      <c r="G9" s="1855"/>
      <c r="H9" s="1855"/>
      <c r="I9" s="46" t="s">
        <v>583</v>
      </c>
      <c r="J9" s="1801" t="str">
        <f>IF(AND(L74=1,M74=2,L75=1),"Fannie or Freddie?","")</f>
        <v/>
      </c>
      <c r="K9" s="1801"/>
      <c r="L9" s="707"/>
      <c r="M9" s="423"/>
      <c r="N9" s="423"/>
    </row>
    <row r="10" spans="1:15" ht="3.6" customHeight="1" x14ac:dyDescent="0.3">
      <c r="A10" s="2"/>
      <c r="B10" s="2"/>
      <c r="C10" s="2"/>
      <c r="D10" s="2"/>
      <c r="E10" s="2"/>
      <c r="F10" s="2"/>
      <c r="G10" s="2"/>
      <c r="H10" s="2"/>
      <c r="I10" s="46"/>
      <c r="J10" s="709"/>
      <c r="K10" s="709"/>
      <c r="L10" s="709"/>
      <c r="M10" s="423"/>
      <c r="N10" s="423"/>
    </row>
    <row r="11" spans="1:15" ht="12.6" customHeight="1" x14ac:dyDescent="0.3">
      <c r="A11" s="1366" t="str">
        <f>IF(AND(L9="Fannie",M74=2,L74=1,L75=1),"Required:","")</f>
        <v/>
      </c>
      <c r="B11" s="1366"/>
      <c r="C11" s="2312" t="str">
        <f>IF(AND(A11="Required:",L9="Fannie"),"1. Borrower Currently owns a principal residence (or has a current housing expense)?",IF(AND(A11="Required:",L9="Freddie"),"1. Borrower Currently owns a principal residence?",""))</f>
        <v/>
      </c>
      <c r="D11" s="2312"/>
      <c r="E11" s="2312"/>
      <c r="F11" s="2312"/>
      <c r="G11" s="2312"/>
      <c r="H11" s="2312"/>
      <c r="I11" s="2312"/>
      <c r="J11" s="2312"/>
      <c r="K11" s="707"/>
      <c r="L11" s="2"/>
      <c r="M11" s="423"/>
      <c r="N11" s="423"/>
    </row>
    <row r="12" spans="1:15" ht="12.6" customHeight="1" x14ac:dyDescent="0.3">
      <c r="A12" s="2271" t="str">
        <f>IF(A11="Required:","-See Agency Guidelines","")</f>
        <v/>
      </c>
      <c r="B12" s="2272"/>
      <c r="C12" s="2312" t="str">
        <f>IF(AND(A11="Required:",L9="Fannie"),"2. Has at least 1 yr history of receiving rent income or documented property management exp.?",IF(AND(A11="Required:",L9="Freddie"),"2. Has a minimum of one-year property management experience?",""))</f>
        <v/>
      </c>
      <c r="D12" s="2312"/>
      <c r="E12" s="2312"/>
      <c r="F12" s="2312"/>
      <c r="G12" s="2312"/>
      <c r="H12" s="2312"/>
      <c r="I12" s="2312"/>
      <c r="J12" s="2312"/>
      <c r="K12" s="707"/>
      <c r="M12" s="423"/>
      <c r="N12" s="710"/>
    </row>
    <row r="13" spans="1:15" ht="4.8" customHeight="1" x14ac:dyDescent="0.3">
      <c r="A13" s="2272"/>
      <c r="B13" s="2272"/>
      <c r="C13" s="2"/>
      <c r="D13" s="711"/>
      <c r="E13" s="711"/>
      <c r="F13" s="711"/>
      <c r="G13" s="711"/>
      <c r="H13" s="711"/>
      <c r="I13" s="711"/>
      <c r="J13" s="711"/>
      <c r="K13" s="711"/>
      <c r="M13" s="423"/>
      <c r="N13" s="710"/>
    </row>
    <row r="14" spans="1:15" ht="15.6" customHeight="1" x14ac:dyDescent="0.3">
      <c r="A14" s="2272"/>
      <c r="B14" s="2272"/>
      <c r="C14" s="2204" t="str">
        <f>IF(AND(J9&lt;&gt;"",L9=""),"Answer 'Fannie or Freddie' above to determine if any rent income limitations exist.",
IF(AND(A11="Required:",OR(K11="",K12="")),"Answer 'Required' questions above to determine if any rent income limitations exist.",
IF(AND(A11="Required:",L9="Fannie",K11="Yes",K12="Yes"),"There is no restriction on the amount of rental income that can be used, Proceed",
IF(AND(A11="Required:",L9="Fannie",K11="Yes",K12="No"),"Rental income in an amount up to but not exceeding the PITIA of this property can be added to the borrowers gross income",
IF(AND(A11="Required:",L9="Fannie",K11="No",K12&lt;&gt;""),"Rental income from this property can not be used in any amount",
IF(L9="Freddie","There is no restriction on the amount of rental income that can be used, Proceed",""
))))))</f>
        <v/>
      </c>
      <c r="D14" s="2204"/>
      <c r="E14" s="2204"/>
      <c r="F14" s="2204"/>
      <c r="G14" s="2204"/>
      <c r="H14" s="2204"/>
      <c r="I14" s="2204"/>
      <c r="J14" s="2204"/>
      <c r="K14" s="2204"/>
      <c r="L14" s="2204"/>
      <c r="M14" s="2204"/>
      <c r="N14" s="716" t="str">
        <f>IF(AND(A11="Required:",OR(K11="",K12="")),"",
IF(AND(A11="Required:",L9="Fannie",K11="Yes",K12="Yes"),1,
IF(AND(A11="Required:",L9="Fannie",K11="Yes",K12="No"),2,
IF(AND(A11="Required:",L9="Fannie",K11="No",K12&lt;&gt;""),3,
IF(AND(A11="Required:",L9="Freddie",K11="Yes",K12="Yes"),1,
IF(AND(A11="Required:",L9="Freddie",K11="Yes",K12="No"),2,
IF(AND(A11="Required:",L9="Freddie",K11="No",K12&lt;&gt;""),3,"")))))))</f>
        <v/>
      </c>
    </row>
    <row r="15" spans="1:15" ht="16.2" customHeight="1" x14ac:dyDescent="0.3">
      <c r="A15" s="1364" t="str">
        <f>IF(AND(L74=1,M74=2),"    Lease Agreement or Market Rent from Appraisal (Form 1025) from newly non-occupied unit(s):","    Lease Agreement from newly non-occupied unit(s):")</f>
        <v xml:space="preserve">    Lease Agreement from newly non-occupied unit(s):</v>
      </c>
      <c r="B15" s="1364"/>
      <c r="C15" s="1364"/>
      <c r="D15" s="1364"/>
      <c r="E15" s="1364"/>
      <c r="F15" s="1364"/>
      <c r="G15" s="1364"/>
      <c r="H15" s="1364"/>
      <c r="I15" s="1364"/>
      <c r="J15" s="1364"/>
      <c r="K15" s="1364"/>
      <c r="L15" s="1364"/>
      <c r="M15" s="710"/>
      <c r="N15" s="710"/>
    </row>
    <row r="16" spans="1:15" ht="21.75" customHeight="1" x14ac:dyDescent="0.3">
      <c r="A16" s="2201" t="s">
        <v>577</v>
      </c>
      <c r="B16" s="1416"/>
      <c r="C16" s="1416"/>
      <c r="D16" s="1416"/>
      <c r="E16" s="1416"/>
      <c r="F16" s="1416"/>
      <c r="G16" s="1416"/>
      <c r="H16" s="1416"/>
      <c r="I16" s="1416"/>
      <c r="J16" s="1416"/>
      <c r="K16" s="1416"/>
      <c r="L16" s="1416"/>
      <c r="M16" s="1416"/>
      <c r="N16" s="1416"/>
      <c r="O16" s="1416"/>
    </row>
    <row r="17" spans="1:15" ht="7.2" customHeight="1" x14ac:dyDescent="0.3">
      <c r="A17" s="498"/>
      <c r="B17" s="499"/>
      <c r="C17" s="499"/>
      <c r="D17" s="499"/>
      <c r="E17" s="499"/>
      <c r="F17" s="499"/>
      <c r="G17" s="499"/>
      <c r="H17" s="499"/>
      <c r="I17" s="499"/>
      <c r="J17" s="499"/>
      <c r="K17" s="499"/>
      <c r="L17" s="499"/>
      <c r="M17" s="499"/>
      <c r="N17" s="499"/>
      <c r="O17" s="499"/>
    </row>
    <row r="18" spans="1:15" ht="15.6" customHeight="1" x14ac:dyDescent="0.3">
      <c r="A18" s="498"/>
      <c r="B18" s="501" t="s">
        <v>456</v>
      </c>
      <c r="C18" s="2308"/>
      <c r="D18" s="2308"/>
      <c r="E18" s="2202" t="s">
        <v>883</v>
      </c>
      <c r="F18" s="2202"/>
      <c r="G18" s="2202"/>
      <c r="H18" s="2202"/>
      <c r="I18" s="2202"/>
      <c r="J18" s="2202"/>
      <c r="K18" s="2202"/>
      <c r="L18" s="2202"/>
      <c r="M18" s="2202"/>
      <c r="N18" s="499"/>
      <c r="O18" s="499"/>
    </row>
    <row r="19" spans="1:15" ht="9.6" customHeight="1" x14ac:dyDescent="0.3">
      <c r="A19" s="2"/>
      <c r="B19" s="208"/>
      <c r="E19" s="2"/>
      <c r="F19" s="2"/>
      <c r="G19" s="2"/>
      <c r="H19" s="2230">
        <f>IF(C20&gt;0,C20*0.75,0)</f>
        <v>0</v>
      </c>
      <c r="I19" s="2230"/>
      <c r="J19" s="2"/>
      <c r="K19" s="2"/>
      <c r="L19" s="2"/>
      <c r="M19" s="2"/>
      <c r="N19" s="2"/>
    </row>
    <row r="20" spans="1:15" ht="15.75" customHeight="1" thickBot="1" x14ac:dyDescent="0.35">
      <c r="A20" s="2"/>
      <c r="B20" s="501" t="s">
        <v>457</v>
      </c>
      <c r="C20" s="1957"/>
      <c r="D20" s="1957"/>
      <c r="E20" s="358" t="s">
        <v>576</v>
      </c>
      <c r="F20" s="357">
        <v>0.25</v>
      </c>
      <c r="G20" s="357"/>
      <c r="H20" s="2232" t="str">
        <f>IF(L75=2,CONCATENATE("=    $ ",H19),"=")</f>
        <v>=</v>
      </c>
      <c r="I20" s="2232"/>
      <c r="J20" s="2309">
        <f>IF(OR(L74="",L75="",AND(J9="Fannie or Freddie?",L9="")),0,IF(AND(L75&lt;2,C20&gt;0),C20*0.75,IF(AND(L75=2,C18&gt;0,C20&gt;0,C18&lt;=H19),C18,IF(AND(L75=2,C18&gt;0,C20&gt;0,C18&gt;H19),H19,0))))</f>
        <v>0</v>
      </c>
      <c r="K20" s="2309"/>
      <c r="L20" s="2310" t="s">
        <v>1101</v>
      </c>
      <c r="M20" s="2311"/>
      <c r="N20" s="2231" t="str">
        <f>IF(OR(AND(OR(L74="",L75=""),OR(C20&lt;&gt;"",J27&lt;&gt;"",M27&lt;&gt;"",N74&lt;&gt;"")),AND(A11="Required:",N14="",N74&gt;=1)),"Top Section Required",
IF(AND(J9="Fannie or Freddie?",L9="",N74&gt;=1),"Fannie or Freddie Required",
IF(AND(A11="Required:",N14=2,L74=1),CONCATENATE("Limited to PITIA ($",M56,")"),
IF(AND(A11="Required:",N14=2,L74=2),CONCATENATE("Limited to PITIA ($",K56,")"),
IF(AND(A11="Required:",N14=3),"Rent income Not Eligible, $0 will be added","")))))</f>
        <v/>
      </c>
      <c r="O20" s="2231"/>
    </row>
    <row r="21" spans="1:15" ht="14.25" customHeight="1" thickTop="1" x14ac:dyDescent="0.3">
      <c r="A21" s="2"/>
      <c r="B21" s="2"/>
      <c r="C21" s="2249" t="str">
        <f>IF(L75=2,"2 = Lesser of Gross Monthly Rent from Lease(s) or Market Rent on Form 1025","Lesser of Gross Monthly Rent from Lease(s) or Market Rent on Form 1025")</f>
        <v>Lesser of Gross Monthly Rent from Lease(s) or Market Rent on Form 1025</v>
      </c>
      <c r="D21" s="2249"/>
      <c r="E21" s="2"/>
      <c r="F21" s="1508" t="s">
        <v>578</v>
      </c>
      <c r="G21" s="504"/>
      <c r="H21" s="1508" t="str">
        <f>IF(L75=2,"Adjusted Monthly
Rental Income","")</f>
        <v/>
      </c>
      <c r="I21" s="2246"/>
      <c r="J21" s="2247"/>
      <c r="K21" s="2247"/>
      <c r="L21" s="2311"/>
      <c r="M21" s="2311"/>
      <c r="N21" s="2231"/>
      <c r="O21" s="2231"/>
    </row>
    <row r="22" spans="1:15" ht="14.25" customHeight="1" x14ac:dyDescent="0.3">
      <c r="A22" s="2"/>
      <c r="B22" s="2"/>
      <c r="C22" s="2250"/>
      <c r="D22" s="2250"/>
      <c r="E22" s="2"/>
      <c r="F22" s="1508"/>
      <c r="G22" s="504"/>
      <c r="H22" s="2246"/>
      <c r="I22" s="2246"/>
      <c r="J22" s="2247"/>
      <c r="K22" s="2247"/>
      <c r="L22" s="2311"/>
      <c r="M22" s="2311"/>
      <c r="N22" s="2231"/>
      <c r="O22" s="2231"/>
    </row>
    <row r="23" spans="1:15" ht="34.799999999999997" customHeight="1" x14ac:dyDescent="0.3">
      <c r="C23" s="2250"/>
      <c r="D23" s="2250"/>
      <c r="E23" s="2307" t="s">
        <v>1100</v>
      </c>
      <c r="F23" s="2307"/>
      <c r="G23" s="2307"/>
      <c r="H23" s="2307"/>
      <c r="I23" s="2307"/>
      <c r="J23" s="2307"/>
      <c r="K23" s="2307"/>
      <c r="L23" s="2307"/>
      <c r="M23" s="2307"/>
      <c r="N23" s="2307"/>
      <c r="O23" s="706"/>
    </row>
    <row r="24" spans="1:15" ht="7.2" customHeight="1" x14ac:dyDescent="0.3">
      <c r="A24" s="58" t="str">
        <f>IF(A11="Required","1.","")</f>
        <v/>
      </c>
      <c r="J24" s="706"/>
      <c r="K24" s="706"/>
      <c r="L24" s="706"/>
      <c r="M24" s="706"/>
      <c r="N24" s="706"/>
      <c r="O24" s="706"/>
    </row>
    <row r="25" spans="1:15" ht="7.2" customHeight="1" x14ac:dyDescent="0.3">
      <c r="A25" s="708" t="str">
        <f>IF(A11="Required","2.","")</f>
        <v/>
      </c>
      <c r="J25" s="706"/>
      <c r="K25" s="706"/>
      <c r="L25" s="706"/>
      <c r="M25" s="706"/>
      <c r="N25" s="706"/>
    </row>
    <row r="26" spans="1:15" ht="15.75" customHeight="1" x14ac:dyDescent="0.3">
      <c r="A26" s="1812" t="s">
        <v>580</v>
      </c>
      <c r="B26" s="1812"/>
      <c r="C26" s="1812"/>
      <c r="D26" s="1812"/>
      <c r="E26" s="2259" t="str">
        <f>IF(AND(L74=1,M74=2),"- Not Applicable on Purchases","")</f>
        <v/>
      </c>
      <c r="F26" s="2259"/>
      <c r="G26" s="2259"/>
      <c r="H26" s="2259"/>
      <c r="I26" s="2259"/>
      <c r="J26" s="1988">
        <v>2021</v>
      </c>
      <c r="K26" s="1988"/>
      <c r="L26" s="2"/>
      <c r="M26" s="1987">
        <f>J26-1</f>
        <v>2020</v>
      </c>
      <c r="N26" s="1987"/>
    </row>
    <row r="27" spans="1:15" ht="15.75" customHeight="1" x14ac:dyDescent="0.3">
      <c r="A27" s="4" t="s">
        <v>1</v>
      </c>
      <c r="B27" s="1701" t="s">
        <v>207</v>
      </c>
      <c r="C27" s="1701"/>
      <c r="D27" s="1701"/>
      <c r="E27" s="1701"/>
      <c r="F27" s="1701"/>
      <c r="G27" s="1701"/>
      <c r="H27" s="1701"/>
      <c r="I27" s="2"/>
      <c r="J27" s="1957"/>
      <c r="K27" s="1957"/>
      <c r="L27" s="2"/>
      <c r="M27" s="1957"/>
      <c r="N27" s="1957"/>
    </row>
    <row r="28" spans="1:15" ht="15.75" customHeight="1" x14ac:dyDescent="0.3">
      <c r="A28" s="4" t="s">
        <v>2</v>
      </c>
      <c r="B28" s="1701" t="s">
        <v>74</v>
      </c>
      <c r="C28" s="1701"/>
      <c r="D28" s="1701"/>
      <c r="E28" s="1701"/>
      <c r="F28" s="1701"/>
      <c r="G28" s="1701"/>
      <c r="H28" s="1701"/>
      <c r="I28" s="2"/>
      <c r="J28" s="1957"/>
      <c r="K28" s="1957"/>
      <c r="L28" s="2"/>
      <c r="M28" s="1957"/>
      <c r="N28" s="1957"/>
    </row>
    <row r="29" spans="1:15" ht="15.75" customHeight="1" x14ac:dyDescent="0.3">
      <c r="A29" s="4" t="s">
        <v>3</v>
      </c>
      <c r="B29" s="1701" t="s">
        <v>226</v>
      </c>
      <c r="C29" s="1701"/>
      <c r="D29" s="1701"/>
      <c r="E29" s="1701"/>
      <c r="F29" s="1701"/>
      <c r="G29" s="1701"/>
      <c r="H29" s="1701"/>
      <c r="I29" s="1701"/>
      <c r="J29" s="1985"/>
      <c r="K29" s="1985"/>
      <c r="L29" s="212" t="s">
        <v>255</v>
      </c>
      <c r="M29" s="1985"/>
      <c r="N29" s="1985"/>
      <c r="O29" s="213" t="s">
        <v>255</v>
      </c>
    </row>
    <row r="30" spans="1:15" ht="15.75" customHeight="1" x14ac:dyDescent="0.3">
      <c r="A30" s="4" t="s">
        <v>4</v>
      </c>
      <c r="B30" s="1701" t="s">
        <v>492</v>
      </c>
      <c r="C30" s="1701"/>
      <c r="D30" s="1701"/>
      <c r="E30" s="1701"/>
      <c r="F30" s="1701"/>
      <c r="G30" s="1701"/>
      <c r="H30" s="1701"/>
      <c r="I30" s="2"/>
      <c r="J30" s="1957"/>
      <c r="K30" s="1957"/>
      <c r="L30" s="2"/>
      <c r="M30" s="1957"/>
      <c r="N30" s="1957"/>
    </row>
    <row r="31" spans="1:15" ht="15.75" customHeight="1" x14ac:dyDescent="0.3">
      <c r="A31" s="4" t="s">
        <v>5</v>
      </c>
      <c r="B31" s="1701" t="s">
        <v>493</v>
      </c>
      <c r="C31" s="1701"/>
      <c r="D31" s="1701"/>
      <c r="E31" s="1701"/>
      <c r="F31" s="1701"/>
      <c r="G31" s="1701"/>
      <c r="H31" s="1701"/>
      <c r="I31" s="2"/>
      <c r="J31" s="1957"/>
      <c r="K31" s="1957"/>
      <c r="L31" s="2"/>
      <c r="M31" s="1957"/>
      <c r="N31" s="1957"/>
    </row>
    <row r="32" spans="1:15" ht="15.75" customHeight="1" x14ac:dyDescent="0.3">
      <c r="A32" s="4" t="s">
        <v>6</v>
      </c>
      <c r="B32" s="1701" t="s">
        <v>75</v>
      </c>
      <c r="C32" s="1701"/>
      <c r="D32" s="1701"/>
      <c r="E32" s="1701"/>
      <c r="F32" s="1701"/>
      <c r="G32" s="1701"/>
      <c r="H32" s="1701"/>
      <c r="I32" s="2"/>
      <c r="J32" s="1957"/>
      <c r="K32" s="1957"/>
      <c r="L32" s="2"/>
      <c r="M32" s="1957"/>
      <c r="N32" s="1957"/>
    </row>
    <row r="33" spans="1:15" ht="15.75" customHeight="1" x14ac:dyDescent="0.3">
      <c r="A33" s="4" t="s">
        <v>7</v>
      </c>
      <c r="B33" s="1701" t="s">
        <v>552</v>
      </c>
      <c r="C33" s="1701"/>
      <c r="D33" s="1701"/>
      <c r="E33" s="1701"/>
      <c r="F33" s="1701"/>
      <c r="G33" s="1701"/>
      <c r="H33" s="1701"/>
      <c r="I33" s="1701"/>
      <c r="J33" s="1957"/>
      <c r="K33" s="1957"/>
      <c r="L33" s="2"/>
      <c r="M33" s="1957"/>
      <c r="N33" s="1957"/>
    </row>
    <row r="34" spans="1:15" ht="15.75" customHeight="1" x14ac:dyDescent="0.3">
      <c r="A34" s="4" t="s">
        <v>8</v>
      </c>
      <c r="B34" s="1701" t="s">
        <v>239</v>
      </c>
      <c r="C34" s="1701"/>
      <c r="D34" s="2313"/>
      <c r="E34" s="2313"/>
      <c r="F34" s="2313"/>
      <c r="G34" s="2313"/>
      <c r="H34" s="2313"/>
      <c r="I34" s="2"/>
      <c r="J34" s="1957"/>
      <c r="K34" s="1957"/>
      <c r="L34" s="2"/>
      <c r="M34" s="1957"/>
      <c r="N34" s="1957"/>
    </row>
    <row r="35" spans="1:15" ht="15.75" customHeight="1" thickBot="1" x14ac:dyDescent="0.35">
      <c r="A35" s="4" t="s">
        <v>9</v>
      </c>
      <c r="B35" s="1427" t="s">
        <v>209</v>
      </c>
      <c r="C35" s="1427"/>
      <c r="D35" s="1427"/>
      <c r="E35" s="1427"/>
      <c r="F35" s="1427"/>
      <c r="G35" s="1427"/>
      <c r="H35" s="1427"/>
      <c r="I35" s="2"/>
      <c r="J35" s="1959">
        <f>SUM(J27:K34)</f>
        <v>0</v>
      </c>
      <c r="K35" s="1959"/>
      <c r="L35" s="2"/>
      <c r="M35" s="1959">
        <f>SUM(M27:N34)</f>
        <v>0</v>
      </c>
      <c r="N35" s="1959"/>
    </row>
    <row r="36" spans="1:15" ht="9" customHeight="1" thickTop="1" x14ac:dyDescent="0.3">
      <c r="A36" s="4"/>
      <c r="B36" s="3"/>
      <c r="C36" s="3"/>
      <c r="D36" s="3"/>
      <c r="E36" s="3"/>
      <c r="F36" s="3"/>
      <c r="G36" s="1958" t="s">
        <v>814</v>
      </c>
      <c r="H36" s="1958"/>
      <c r="I36" s="1958"/>
      <c r="J36" s="1989">
        <f>IF(AND(F46&lt;12,F46&lt;&gt;""),(J35/F46)*12,J35)</f>
        <v>0</v>
      </c>
      <c r="K36" s="1989"/>
      <c r="L36" s="8"/>
      <c r="M36" s="1989">
        <f>IF(AND(D46&lt;12,D46&lt;&gt;""),(M35/D46)*12,M35)</f>
        <v>0</v>
      </c>
      <c r="N36" s="1989"/>
    </row>
    <row r="37" spans="1:15" ht="16.8" customHeight="1" x14ac:dyDescent="0.3">
      <c r="A37" s="4"/>
      <c r="B37" s="30"/>
      <c r="C37" s="2209" t="str">
        <f>CONCATENATE("Exclude ", M26, " from Total Adjusted Net Rental Income Below")</f>
        <v>Exclude 2020 from Total Adjusted Net Rental Income Below</v>
      </c>
      <c r="D37" s="2209"/>
      <c r="E37" s="2209"/>
      <c r="F37" s="2209"/>
      <c r="G37" s="2209"/>
      <c r="H37" s="2209"/>
      <c r="I37" s="2209"/>
      <c r="J37" s="2209"/>
      <c r="K37" s="1991" t="str">
        <f>IF(AND(J36&lt;M36,OR(G45="",G45=12,G45=24)),CONCATENATE(ROUND(((M36-J36)/M36)*100,2),"%"," Decline from ",M26," to ",J26,),
IF(AND(G45&gt;12,G45&lt;24,J36&lt;M36),CONCATENATE(ROUND(((M36-J36)/M36)*100,2),"%"," Decline from ",M26," to ",J26,),
IF(J36&lt;M36,(CONCATENATE("Decline from ",M26," to ",J26,)),
IF(AND(J36&gt;M36,OR(G45="",G45=12,G45=24)),CONCATENATE(ROUND(((J36-M36)/M36)*100,2),"%"," Increase from ",M26," to ",J26,),
IF(AND(G45&gt;12,G45&lt;24,J36&gt;M36),CONCATENATE(ROUND(((J36-M36)/M36)*100,2),"%"," Increase from ",M26," to ",J26,),"")))))</f>
        <v/>
      </c>
      <c r="L37" s="1991"/>
      <c r="M37" s="1991"/>
      <c r="N37" s="25"/>
    </row>
    <row r="38" spans="1:15" ht="7.8" customHeight="1" x14ac:dyDescent="0.3">
      <c r="A38" s="4"/>
      <c r="B38" s="2"/>
      <c r="C38" s="2"/>
      <c r="D38" s="2"/>
      <c r="E38" s="2"/>
      <c r="F38" s="2"/>
      <c r="G38" s="2"/>
      <c r="H38" s="2"/>
      <c r="I38" s="2"/>
      <c r="J38" s="2"/>
      <c r="K38" s="2"/>
      <c r="L38" s="2"/>
      <c r="M38" s="2"/>
      <c r="N38" s="2"/>
    </row>
    <row r="39" spans="1:15" ht="15.75" customHeight="1" x14ac:dyDescent="0.3">
      <c r="A39" s="4" t="s">
        <v>10</v>
      </c>
      <c r="B39" s="1701" t="s">
        <v>208</v>
      </c>
      <c r="C39" s="1701"/>
      <c r="D39" s="1701"/>
      <c r="E39" s="1701"/>
      <c r="F39" s="1701"/>
      <c r="G39" s="1701"/>
      <c r="H39" s="1701"/>
      <c r="I39" s="3"/>
      <c r="J39" s="2"/>
      <c r="K39" s="2210">
        <f>IF(N73=TRUE,J35,J35+M35)</f>
        <v>0</v>
      </c>
      <c r="L39" s="2210"/>
      <c r="M39" s="5"/>
    </row>
    <row r="40" spans="1:15" ht="4.8" customHeight="1" x14ac:dyDescent="0.3">
      <c r="A40" s="4"/>
      <c r="B40" s="2"/>
      <c r="C40" s="2"/>
      <c r="D40" s="2"/>
      <c r="E40" s="2"/>
      <c r="F40" s="2"/>
      <c r="G40" s="2"/>
      <c r="H40" s="2"/>
      <c r="I40" s="3"/>
      <c r="J40" s="2"/>
      <c r="K40" s="717">
        <f>IF(AND(L74=1,M74&gt;1,N74=1),J20,IF(AND(L74=1,M74=3,N74=2),K47,IF(AND(L74=1,M74=2,N74=2),0,0)))</f>
        <v>0</v>
      </c>
      <c r="L40" s="717">
        <f>IF(AND(L74=2,N74=1),J20,IF(AND(L74=2,N74=2),K47,0))</f>
        <v>0</v>
      </c>
      <c r="M40" s="133"/>
    </row>
    <row r="41" spans="1:15" ht="15.75" customHeight="1" x14ac:dyDescent="0.3">
      <c r="A41" s="4" t="s">
        <v>11</v>
      </c>
      <c r="B41" s="1701" t="s">
        <v>888</v>
      </c>
      <c r="C41" s="1701"/>
      <c r="D41" s="1701"/>
      <c r="E41" s="1701"/>
      <c r="F41" s="420"/>
      <c r="I41" s="2"/>
      <c r="J41" s="45"/>
      <c r="K41" s="718">
        <f>IF(AND(M74=2,L9="Fannie",L74=1,N14=2,K40&gt;M56,A11="Required:"),M56,
IF(AND(M74=2,L9="Fannie",L74=1,N14=3,A11="Required:"),0,
IF(AND(M74=2,L9="Fannie",L74=1,N14="",A11="Required:"),0,
IF(AND(M74=2,L9="Freddie",L74=1,N14=2,K40&gt;M56,A11="Required:"),M56,
IF(AND(M74=2,L9="Freddie",L74=1,N14=3,A11="Required:"),0,
IF(AND(M74=2,L9="Freddie",L74=1,N14="",A11="Required:"),0,K40))))))</f>
        <v>0</v>
      </c>
      <c r="L41" s="719">
        <f>IF(AND(L74=2,N74=1),J20,IF(AND(L74=2,N74=2),K47,0))</f>
        <v>0</v>
      </c>
      <c r="M41" s="714"/>
    </row>
    <row r="42" spans="1:15" ht="4.2" customHeight="1" thickBot="1" x14ac:dyDescent="0.35">
      <c r="A42" s="4"/>
      <c r="B42" s="2"/>
      <c r="C42" s="2"/>
      <c r="D42" s="2"/>
      <c r="E42" s="2"/>
      <c r="H42" s="12"/>
      <c r="I42" s="2255" t="str">
        <f>IF(OR(AND(D46&lt;&gt;"",D46&gt;12),AND(F46&lt;&gt;"",F46&gt;12)),"Error: Greater than 12 months           in one year entered","")</f>
        <v/>
      </c>
      <c r="J42" s="2255"/>
      <c r="K42" s="2255"/>
      <c r="L42" s="2255"/>
      <c r="M42" s="1855" t="str">
        <f>IF(OR(AND(OR(L74="",L75=""),OR(C20&lt;&gt;"",J27&lt;&gt;"",M27&lt;&gt;"",N74&lt;&gt;"")),AND(A11="Required:",N14="",N74&gt;=1)),"Top Section Required",
IF(AND(J9="Fannie or Freddie?",L9="",N74&gt;=1),"Fannie or Freddie Required",
IF(AND(A11="Required:",N14=2,L74=1),CONCATENATE("Limited to PITIA ($",M56,")"),
IF(AND(A11="Required:",N14=2,L74=2),CONCATENATE("Limited to PITIA ($",K56,")"),
IF(AND(A11="Required:",N14=3),"Rent income Not Eligible, $0 will be added","")))))</f>
        <v/>
      </c>
      <c r="N42" s="1855"/>
      <c r="O42" s="1855"/>
    </row>
    <row r="43" spans="1:15" ht="10.199999999999999" customHeight="1" thickBot="1" x14ac:dyDescent="0.35">
      <c r="A43" s="4"/>
      <c r="B43" s="2256" t="s">
        <v>299</v>
      </c>
      <c r="C43" s="2257"/>
      <c r="D43" s="2257"/>
      <c r="E43" s="2257"/>
      <c r="F43" s="2257"/>
      <c r="G43" s="2257"/>
      <c r="H43" s="2258"/>
      <c r="I43" s="2255"/>
      <c r="J43" s="2255"/>
      <c r="K43" s="2255"/>
      <c r="L43" s="2255"/>
      <c r="M43" s="1855"/>
      <c r="N43" s="1855"/>
      <c r="O43" s="1855"/>
    </row>
    <row r="44" spans="1:15" ht="10.8" customHeight="1" x14ac:dyDescent="0.3">
      <c r="A44" s="4"/>
      <c r="B44" s="1996" t="str">
        <f>CONCATENATE(M26," Start:")</f>
        <v>2020 Start:</v>
      </c>
      <c r="C44" s="1997"/>
      <c r="D44" s="405" t="str">
        <f>CONCATENATE(M26," End:")</f>
        <v>2020 End:</v>
      </c>
      <c r="E44" s="406" t="str">
        <f>CONCATENATE(J26," Start:")</f>
        <v>2021 Start:</v>
      </c>
      <c r="F44" s="506" t="str">
        <f>CONCATENATE(J26," End:")</f>
        <v>2021 End:</v>
      </c>
      <c r="G44" s="2225" t="s">
        <v>178</v>
      </c>
      <c r="H44" s="2226"/>
      <c r="I44" s="2255"/>
      <c r="J44" s="2255"/>
      <c r="K44" s="2255"/>
      <c r="L44" s="2255"/>
      <c r="M44" s="1855"/>
      <c r="N44" s="1855"/>
      <c r="O44" s="1855"/>
    </row>
    <row r="45" spans="1:15" ht="11.4" customHeight="1" thickBot="1" x14ac:dyDescent="0.35">
      <c r="A45" s="4"/>
      <c r="B45" s="1998"/>
      <c r="C45" s="1999"/>
      <c r="D45" s="408"/>
      <c r="E45" s="409"/>
      <c r="F45" s="507"/>
      <c r="G45" s="2227" t="str">
        <f>G46</f>
        <v/>
      </c>
      <c r="H45" s="2228"/>
      <c r="I45" s="2255"/>
      <c r="J45" s="2255"/>
      <c r="K45" s="2255"/>
      <c r="L45" s="2255"/>
      <c r="M45" s="1855"/>
      <c r="N45" s="1855"/>
      <c r="O45" s="1855"/>
    </row>
    <row r="46" spans="1:15" ht="3" customHeight="1" x14ac:dyDescent="0.3">
      <c r="A46" s="4"/>
      <c r="B46" s="1981" t="str">
        <f>IF(AND(B45="",D45="",M35&lt;&gt;0),1,IF(AND(B45="",D45="",M35=0),"",IF(AND(B45="",D45&lt;&gt;""),"",IF(AND(B45&lt;&gt;"",D45=""),"",YEARFRAC(B45,D45+1,4)))))</f>
        <v/>
      </c>
      <c r="C46" s="1981"/>
      <c r="D46" s="412" t="str">
        <f>IF(B46="","",ROUND(B46*12,2))</f>
        <v/>
      </c>
      <c r="E46" s="413" t="str">
        <f>IF(AND(E45="",F45="",J35&lt;&gt;0),1,IF(AND(E45="",F45="",J35=0),"",IF(AND(E45="",F45&lt;&gt;""),"",IF(AND(E45&lt;&gt;"",F45=""),"",YEARFRAC(E45,F45+1,4)))))</f>
        <v/>
      </c>
      <c r="F46" s="412" t="str">
        <f>IF(E46="","",ROUND(E46*12,2))</f>
        <v/>
      </c>
      <c r="G46" s="2224" t="str">
        <f>IF(AND(D46&lt;&gt;"",F46&lt;&gt;""),F46+D46,IF(AND(D46&lt;&gt;"",F46=""),D46,IF(AND(D46="",F46&lt;&gt;""),F46,"")))</f>
        <v/>
      </c>
      <c r="H46" s="2224"/>
      <c r="I46" s="2255"/>
      <c r="J46" s="2255"/>
      <c r="K46" s="2255"/>
      <c r="L46" s="2255"/>
      <c r="M46" s="1855"/>
      <c r="N46" s="1855"/>
      <c r="O46" s="1855"/>
    </row>
    <row r="47" spans="1:15" ht="15.75" customHeight="1" thickBot="1" x14ac:dyDescent="0.35">
      <c r="A47" s="4" t="s">
        <v>39</v>
      </c>
      <c r="B47" s="1427" t="s">
        <v>213</v>
      </c>
      <c r="C47" s="1427"/>
      <c r="D47" s="1427"/>
      <c r="E47" s="1427"/>
      <c r="F47" s="1427"/>
      <c r="G47" s="1427"/>
      <c r="H47" s="1427"/>
      <c r="I47" s="1427"/>
      <c r="J47" s="1427"/>
      <c r="K47" s="2252">
        <f>IF(OR(L74="",L75="",AND(J9="Fannie or Freddie?",L9="")),0,IF(F41&gt;0,K39/F41,))</f>
        <v>0</v>
      </c>
      <c r="L47" s="2252"/>
      <c r="M47" s="2314" t="s">
        <v>1102</v>
      </c>
      <c r="N47" s="2315"/>
      <c r="O47" s="2315"/>
    </row>
    <row r="48" spans="1:15" ht="15.75" customHeight="1" thickTop="1" x14ac:dyDescent="0.3">
      <c r="A48" s="9"/>
      <c r="B48" s="2"/>
      <c r="C48" s="2164" t="s">
        <v>586</v>
      </c>
      <c r="D48" s="2164"/>
      <c r="E48" s="2164"/>
      <c r="F48" s="2164"/>
      <c r="G48" s="2164"/>
      <c r="H48" s="2164"/>
      <c r="I48" s="2164"/>
      <c r="J48" s="2164"/>
      <c r="K48" s="2164"/>
      <c r="L48" s="2164"/>
      <c r="M48" s="2315"/>
      <c r="N48" s="2315"/>
      <c r="O48" s="2315"/>
    </row>
    <row r="49" spans="1:15" ht="15" customHeight="1" x14ac:dyDescent="0.3">
      <c r="A49" s="9"/>
      <c r="B49" s="2"/>
      <c r="C49" s="2164"/>
      <c r="D49" s="2164"/>
      <c r="E49" s="2164"/>
      <c r="F49" s="2164"/>
      <c r="G49" s="2164"/>
      <c r="H49" s="2164"/>
      <c r="I49" s="2164"/>
      <c r="J49" s="2164"/>
      <c r="K49" s="2164"/>
      <c r="L49" s="2164"/>
      <c r="M49" s="2315"/>
      <c r="N49" s="2315"/>
      <c r="O49" s="2315"/>
    </row>
    <row r="50" spans="1:15" ht="24" customHeight="1" x14ac:dyDescent="0.3">
      <c r="A50" s="2240" t="str">
        <f>IF(L74=2,"Required for Non-Subject Owner Multi-Unit","PITIA from I&amp;D Worksheet below Required to be correct for accurate results")</f>
        <v>PITIA from I&amp;D Worksheet below Required to be correct for accurate results</v>
      </c>
      <c r="B50" s="2240"/>
      <c r="C50" s="2240"/>
      <c r="D50" s="2240"/>
      <c r="E50" s="2240"/>
      <c r="F50" s="2240"/>
      <c r="G50" s="2240"/>
      <c r="H50" s="2240"/>
      <c r="I50" s="2240"/>
      <c r="J50" s="2240"/>
      <c r="K50" s="2240"/>
      <c r="L50" s="2240"/>
      <c r="M50" s="2240"/>
      <c r="N50" s="2240"/>
      <c r="O50" s="712"/>
    </row>
    <row r="51" spans="1:15" ht="15.75" customHeight="1" x14ac:dyDescent="0.3">
      <c r="A51" s="1812" t="s">
        <v>581</v>
      </c>
      <c r="B51" s="1812"/>
      <c r="C51" s="1812"/>
      <c r="D51" s="1812"/>
      <c r="E51" s="1812"/>
      <c r="F51" s="2106" t="str">
        <f>IF(L74=1,"(From PITIA entered on Income and Debt worksheet, ensure it is entered and correct for accurate results)",IF(L74=2,"(Carries forward to the Income and Debt worksheet)",""))</f>
        <v/>
      </c>
      <c r="G51" s="2106"/>
      <c r="H51" s="2106"/>
      <c r="I51" s="2106"/>
      <c r="J51" s="2106"/>
      <c r="K51" s="2106"/>
      <c r="L51" s="2106"/>
      <c r="M51" s="2106"/>
      <c r="N51" s="2106"/>
      <c r="O51" s="2106"/>
    </row>
    <row r="52" spans="1:15" ht="15.75" customHeight="1" x14ac:dyDescent="0.3">
      <c r="A52" s="4" t="s">
        <v>142</v>
      </c>
      <c r="B52" s="1701" t="str">
        <f>IF(L74=2,"Minus current mortgage payment (from credit or mtg stmt)****","Subject P &amp; I")</f>
        <v>Subject P &amp; I</v>
      </c>
      <c r="C52" s="1701"/>
      <c r="D52" s="1701"/>
      <c r="E52" s="1701"/>
      <c r="F52" s="1701"/>
      <c r="G52" s="1701"/>
      <c r="H52" s="1701"/>
      <c r="I52" s="1701"/>
      <c r="J52" s="1701"/>
      <c r="K52" s="1946"/>
      <c r="L52" s="1946"/>
      <c r="M52" s="2241">
        <f>'I&amp;D Worksheet'!E21</f>
        <v>0</v>
      </c>
      <c r="N52" s="2241"/>
    </row>
    <row r="53" spans="1:15" ht="15.75" customHeight="1" x14ac:dyDescent="0.3">
      <c r="A53" s="4"/>
      <c r="B53" s="9" t="s">
        <v>240</v>
      </c>
      <c r="C53" s="1701" t="str">
        <f>IF(L74=2,"taxes (current) if not included in mortgage payment above","Taxes")</f>
        <v>Taxes</v>
      </c>
      <c r="D53" s="1701"/>
      <c r="E53" s="1701"/>
      <c r="F53" s="1701"/>
      <c r="G53" s="1701"/>
      <c r="H53" s="1701"/>
      <c r="I53" s="1701"/>
      <c r="J53" s="1701"/>
      <c r="K53" s="1837"/>
      <c r="L53" s="1837"/>
      <c r="M53" s="2245">
        <f>'I&amp;D Worksheet'!E26</f>
        <v>0</v>
      </c>
      <c r="N53" s="2245"/>
    </row>
    <row r="54" spans="1:15" ht="15.75" customHeight="1" x14ac:dyDescent="0.3">
      <c r="A54" s="4"/>
      <c r="B54" s="9" t="s">
        <v>240</v>
      </c>
      <c r="C54" s="1701" t="str">
        <f>IF(L74=2,"insurance (current) if not included in mortgage payment above","Hazard Insurance")</f>
        <v>Hazard Insurance</v>
      </c>
      <c r="D54" s="1701"/>
      <c r="E54" s="1701"/>
      <c r="F54" s="1701"/>
      <c r="G54" s="1701"/>
      <c r="H54" s="1701"/>
      <c r="I54" s="1701"/>
      <c r="J54" s="1701"/>
      <c r="K54" s="1837"/>
      <c r="L54" s="1837"/>
      <c r="M54" s="2245">
        <f>'I&amp;D Worksheet'!E24</f>
        <v>0</v>
      </c>
      <c r="N54" s="2245"/>
    </row>
    <row r="55" spans="1:15" ht="15.75" customHeight="1" x14ac:dyDescent="0.3">
      <c r="A55" s="4"/>
      <c r="B55" s="9" t="s">
        <v>240</v>
      </c>
      <c r="C55" s="1701" t="str">
        <f>IF(L74=2,"HOA dues (current monthly amount)","Other items from subject PITIA indicated on the I&amp;D Worksheet")</f>
        <v>Other items from subject PITIA indicated on the I&amp;D Worksheet</v>
      </c>
      <c r="D55" s="1701"/>
      <c r="E55" s="1701"/>
      <c r="F55" s="1701"/>
      <c r="G55" s="1701"/>
      <c r="H55" s="1701"/>
      <c r="I55" s="1701"/>
      <c r="J55" s="1701"/>
      <c r="K55" s="2279"/>
      <c r="L55" s="2279"/>
      <c r="M55" s="2278">
        <f>'I&amp;D Worksheet'!E22+'I&amp;D Worksheet'!E23+'I&amp;D Worksheet'!E25+'I&amp;D Worksheet'!E27+'I&amp;D Worksheet'!E28</f>
        <v>0</v>
      </c>
      <c r="N55" s="2278"/>
    </row>
    <row r="56" spans="1:15" ht="16.5" customHeight="1" thickBot="1" x14ac:dyDescent="0.35">
      <c r="A56" s="4" t="s">
        <v>143</v>
      </c>
      <c r="B56" s="1427" t="str">
        <f>IF(L74=2,"Total Monthly Housing Expense","Total Subject Monthly Housing Expense (from I&amp;D Worksheets)")</f>
        <v>Total Subject Monthly Housing Expense (from I&amp;D Worksheets)</v>
      </c>
      <c r="C56" s="1427"/>
      <c r="D56" s="1427"/>
      <c r="E56" s="1427"/>
      <c r="F56" s="1427"/>
      <c r="G56" s="1427"/>
      <c r="H56" s="1427"/>
      <c r="I56" s="1427"/>
      <c r="J56" s="1427"/>
      <c r="K56" s="2320">
        <f>K52+K53+K54+K55</f>
        <v>0</v>
      </c>
      <c r="L56" s="2320"/>
      <c r="M56" s="1854">
        <f>'I&amp;D Worksheet'!E29</f>
        <v>0</v>
      </c>
      <c r="N56" s="1854"/>
    </row>
    <row r="57" spans="1:15" ht="10.5" customHeight="1" thickTop="1" x14ac:dyDescent="0.3">
      <c r="A57" s="4"/>
      <c r="B57" s="3"/>
      <c r="C57" s="2316" t="str">
        <f>IF(L74=1,"Edit Subject PITIA on I&amp;D Worksheet if needed to ensure it is correct here",IF(AND(L74=2,OR(K52&lt;0,K53&lt;0,K54&lt;0,K55&lt;0)),"Enter figures here as positive numbers, not negative amounts",""))</f>
        <v/>
      </c>
      <c r="D57" s="2316"/>
      <c r="E57" s="2316"/>
      <c r="F57" s="2316"/>
      <c r="G57" s="2316"/>
      <c r="H57" s="2316"/>
      <c r="I57" s="2316"/>
      <c r="J57" s="2316"/>
      <c r="K57" s="2283">
        <f>IF(AND(L74=2,L75=1),K56*-1,0)</f>
        <v>0</v>
      </c>
      <c r="L57" s="2283"/>
      <c r="M57" s="2300"/>
      <c r="N57" s="2300"/>
    </row>
    <row r="58" spans="1:15" ht="8.25" customHeight="1" x14ac:dyDescent="0.3">
      <c r="A58" s="9"/>
      <c r="B58" s="361"/>
      <c r="C58" s="2316"/>
      <c r="D58" s="2316"/>
      <c r="E58" s="2316"/>
      <c r="F58" s="2316"/>
      <c r="G58" s="2316"/>
      <c r="H58" s="2316"/>
      <c r="I58" s="2316"/>
      <c r="J58" s="2316"/>
      <c r="K58" s="2284">
        <f>IF(AND(L74=2,L75=2),K56*-1,0)</f>
        <v>0</v>
      </c>
      <c r="L58" s="2284"/>
      <c r="M58" s="1948"/>
      <c r="N58" s="1948"/>
    </row>
    <row r="59" spans="1:15" ht="5.25" customHeight="1" x14ac:dyDescent="0.3">
      <c r="A59" s="9"/>
      <c r="B59" s="217" t="str">
        <f>CONCATENATE("Caution: Declining income is detected and ", M26, " is not being excluded and/or the number of months reviewed is greater than 12.  Generally with declining income ", M26, " should be excluded and the number of months reviewed should be 12.  Review above and correct to clear the alert or explain the justification in your notes below for not excluding ", M26, " and/or using more than 12 months reviewed.")</f>
        <v>Caution: Declining income is detected and 2020 is not being excluded and/or the number of months reviewed is greater than 12.  Generally with declining income 2020 should be excluded and the number of months reviewed should be 12.  Review above and correct to clear the alert or explain the justification in your notes below for not excluding 2020 and/or using more than 12 months reviewed.</v>
      </c>
      <c r="C59" s="217" t="str">
        <f>CONCATENATE("Caution: Rental income increased but ", M26, " is being excluded and/or the number of months reviewed is less than 24.  Generally when income increases ", M26, " should be included and a 24 month average of this income should be used.  Review above and correct to clear the alert or explain the justification in your notes below for not including ", M26, " and/or using less than 24 month reviewed.")</f>
        <v>Caution: Rental income increased but 2020 is being excluded and/or the number of months reviewed is less than 24.  Generally when income increases 2020 should be included and a 24 month average of this income should be used.  Review above and correct to clear the alert or explain the justification in your notes below for not including 2020 and/or using less than 24 month reviewed.</v>
      </c>
      <c r="D59" s="2"/>
      <c r="E59" s="2"/>
      <c r="F59" s="2"/>
      <c r="G59" s="2"/>
      <c r="H59" s="2"/>
      <c r="I59" s="2"/>
      <c r="J59" s="2"/>
      <c r="K59" s="2"/>
      <c r="L59" s="2"/>
      <c r="M59" s="2"/>
      <c r="N59" s="2"/>
    </row>
    <row r="60" spans="1:15" ht="31.2" customHeight="1" x14ac:dyDescent="0.3">
      <c r="A60" s="9"/>
      <c r="B60" s="2317" t="s">
        <v>585</v>
      </c>
      <c r="C60" s="2318"/>
      <c r="D60" s="2318"/>
      <c r="E60" s="2318"/>
      <c r="F60" s="2318"/>
      <c r="G60" s="2318"/>
      <c r="H60" s="2318"/>
      <c r="I60" s="2318"/>
      <c r="J60" s="2318"/>
      <c r="K60" s="2318"/>
      <c r="L60" s="2318"/>
      <c r="M60" s="2319"/>
      <c r="N60" s="2"/>
    </row>
    <row r="61" spans="1:15" ht="18.600000000000001" customHeight="1" x14ac:dyDescent="0.3">
      <c r="A61" s="2"/>
      <c r="B61" s="2214" t="str">
        <f>IF(AND(L74=1,M74=2),"PCL Instructions:  'Subject Property' screen",IF(OR(AND(L74=1,M74=1),L74=""),"PCL Instructions:","PCL Instructions:  Property Information screen"))</f>
        <v>PCL Instructions:</v>
      </c>
      <c r="C61" s="2215"/>
      <c r="D61" s="2215"/>
      <c r="E61" s="2215"/>
      <c r="F61" s="2215"/>
      <c r="G61" s="2215"/>
      <c r="H61" s="2215"/>
      <c r="I61" s="2215"/>
      <c r="J61" s="2215"/>
      <c r="K61" s="2215"/>
      <c r="L61" s="2215"/>
      <c r="M61" s="2216"/>
      <c r="N61" s="2"/>
    </row>
    <row r="62" spans="1:15" ht="15.75" customHeight="1" x14ac:dyDescent="0.3">
      <c r="A62" s="8"/>
      <c r="B62" s="2321" t="str">
        <f>IF(M74=2,"   -Open the 'Subject Property' screen.","   -Leave the 'Tax Returns Value' box unchecked.")</f>
        <v xml:space="preserve">   -Leave the 'Tax Returns Value' box unchecked.</v>
      </c>
      <c r="C62" s="1701"/>
      <c r="D62" s="1701"/>
      <c r="E62" s="1701"/>
      <c r="F62" s="1701"/>
      <c r="G62" s="1701"/>
      <c r="H62" s="1701"/>
      <c r="I62" s="1701"/>
      <c r="J62" s="1701"/>
      <c r="K62" s="1701"/>
      <c r="L62" s="1701"/>
      <c r="M62" s="2322"/>
      <c r="N62" s="35"/>
    </row>
    <row r="63" spans="1:15" ht="18" customHeight="1" x14ac:dyDescent="0.3">
      <c r="A63" s="4"/>
      <c r="B63" s="2323" t="s">
        <v>214</v>
      </c>
      <c r="C63" s="2260"/>
      <c r="D63" s="552">
        <f>IF(L74=1,K41,IF(L74=2,L41,0))</f>
        <v>0</v>
      </c>
      <c r="E63" s="1878" t="str">
        <f>IF(AND(L74=1,M74=2),"in the 'Rental Income' box and enter 0% for the 'Vacancy Factor.'","in the 'Net Rental Income' box.")</f>
        <v>in the 'Net Rental Income' box.</v>
      </c>
      <c r="F63" s="1878"/>
      <c r="G63" s="1878"/>
      <c r="H63" s="1878"/>
      <c r="I63" s="1878"/>
      <c r="J63" s="1878"/>
      <c r="K63" s="1878"/>
      <c r="L63" s="1878"/>
      <c r="M63" s="2324"/>
      <c r="N63" s="6"/>
    </row>
    <row r="64" spans="1:15" ht="15.6" x14ac:dyDescent="0.3">
      <c r="A64" s="4"/>
      <c r="B64" s="2321" t="str">
        <f>IF(AND(L74=1,M74=2),"","   -Select escrow boxes accuratly per existing mortgage for Taxes, Insurance, and Association dues…")</f>
        <v xml:space="preserve">   -Select escrow boxes accuratly per existing mortgage for Taxes, Insurance, and Association dues…</v>
      </c>
      <c r="C64" s="1701"/>
      <c r="D64" s="1701"/>
      <c r="E64" s="1701"/>
      <c r="F64" s="1701"/>
      <c r="G64" s="1701"/>
      <c r="H64" s="1701"/>
      <c r="I64" s="1701"/>
      <c r="J64" s="1701"/>
      <c r="K64" s="1701"/>
      <c r="L64" s="1701"/>
      <c r="M64" s="2322"/>
      <c r="N64" s="6"/>
    </row>
    <row r="65" spans="1:15" ht="7.5" customHeight="1" x14ac:dyDescent="0.3">
      <c r="A65" s="4"/>
      <c r="B65" s="2220" t="s">
        <v>212</v>
      </c>
      <c r="C65" s="2221"/>
      <c r="D65" s="2221"/>
      <c r="E65" s="2221"/>
      <c r="F65" s="2221"/>
      <c r="G65" s="2221"/>
      <c r="H65" s="2221"/>
      <c r="I65" s="2221"/>
      <c r="J65" s="2221"/>
      <c r="K65" s="2221"/>
      <c r="L65" s="2221"/>
      <c r="M65" s="2222"/>
      <c r="N65" s="6"/>
    </row>
    <row r="66" spans="1:15" ht="12" customHeight="1" x14ac:dyDescent="0.3"/>
    <row r="67" spans="1:15" ht="12" customHeight="1" x14ac:dyDescent="0.3">
      <c r="A67" s="1475" t="s">
        <v>1073</v>
      </c>
      <c r="B67" s="1475"/>
      <c r="C67" s="1475"/>
      <c r="D67" s="1475"/>
      <c r="E67" s="1475"/>
      <c r="F67" s="19"/>
      <c r="G67" s="19"/>
      <c r="H67" s="19"/>
      <c r="I67" s="19"/>
      <c r="J67" s="19"/>
      <c r="K67" s="19"/>
      <c r="L67" s="19"/>
      <c r="M67" s="19"/>
      <c r="N67" s="19"/>
    </row>
    <row r="68" spans="1:15" x14ac:dyDescent="0.3">
      <c r="A68" s="1325"/>
      <c r="B68" s="1325"/>
      <c r="C68" s="1325"/>
      <c r="D68" s="1325"/>
      <c r="E68" s="1325"/>
      <c r="F68" s="1325"/>
      <c r="G68" s="1325"/>
      <c r="H68" s="1325"/>
      <c r="I68" s="1325"/>
      <c r="J68" s="1325"/>
      <c r="K68" s="1325"/>
      <c r="L68" s="1325"/>
      <c r="M68" s="1325"/>
      <c r="N68" s="1325"/>
      <c r="O68" s="1325"/>
    </row>
    <row r="69" spans="1:15" x14ac:dyDescent="0.3">
      <c r="A69" s="1325"/>
      <c r="B69" s="1325"/>
      <c r="C69" s="1325"/>
      <c r="D69" s="1325"/>
      <c r="E69" s="1325"/>
      <c r="F69" s="1325"/>
      <c r="G69" s="1325"/>
      <c r="H69" s="1325"/>
      <c r="I69" s="1325"/>
      <c r="J69" s="1325"/>
      <c r="K69" s="1325"/>
      <c r="L69" s="1325"/>
      <c r="M69" s="1325"/>
      <c r="N69" s="1325"/>
      <c r="O69" s="1325"/>
    </row>
    <row r="70" spans="1:15" x14ac:dyDescent="0.3">
      <c r="A70" s="1325"/>
      <c r="B70" s="1325"/>
      <c r="C70" s="1325"/>
      <c r="D70" s="1325"/>
      <c r="E70" s="1325"/>
      <c r="F70" s="1325"/>
      <c r="G70" s="1325"/>
      <c r="H70" s="1325"/>
      <c r="I70" s="1325"/>
      <c r="J70" s="1325"/>
      <c r="K70" s="1325"/>
      <c r="L70" s="1325"/>
      <c r="M70" s="1325"/>
      <c r="N70" s="1325"/>
      <c r="O70" s="1325"/>
    </row>
    <row r="71" spans="1:15" x14ac:dyDescent="0.3">
      <c r="A71" s="1325"/>
      <c r="B71" s="1325"/>
      <c r="C71" s="1325"/>
      <c r="D71" s="1325"/>
      <c r="E71" s="1325"/>
      <c r="F71" s="1325"/>
      <c r="G71" s="1325"/>
      <c r="H71" s="1325"/>
      <c r="I71" s="1325"/>
      <c r="J71" s="1325"/>
      <c r="K71" s="1325"/>
      <c r="L71" s="1325"/>
      <c r="M71" s="1325"/>
      <c r="N71" s="1325"/>
      <c r="O71" s="1325"/>
    </row>
    <row r="72" spans="1:15" ht="7.8" customHeight="1" x14ac:dyDescent="0.3">
      <c r="A72" s="43"/>
      <c r="L72" s="36"/>
      <c r="M72" s="36"/>
      <c r="N72" s="36"/>
    </row>
    <row r="73" spans="1:15" x14ac:dyDescent="0.3">
      <c r="K73" s="38"/>
      <c r="L73" s="544"/>
      <c r="M73" s="544"/>
      <c r="N73" s="715"/>
      <c r="O73" s="38"/>
    </row>
    <row r="74" spans="1:15" x14ac:dyDescent="0.3">
      <c r="K74" s="38"/>
      <c r="L74" s="43"/>
      <c r="M74" s="43">
        <v>1</v>
      </c>
      <c r="N74" s="43"/>
      <c r="O74" s="38"/>
    </row>
    <row r="75" spans="1:15" ht="15.6" x14ac:dyDescent="0.3">
      <c r="A75" s="1482" t="str">
        <f ca="1">REPLACE(CELL("filename",A75),1,FIND("]",CELL("filename",A75)),"")</f>
        <v>Owner Multi-Unit conv to Inv.</v>
      </c>
      <c r="B75" s="1482"/>
      <c r="C75" s="1482"/>
      <c r="D75" s="1482"/>
      <c r="K75" s="38"/>
      <c r="L75" s="475"/>
      <c r="M75" s="1235" t="str">
        <f>Version</f>
        <v>Version 2026.1</v>
      </c>
      <c r="N75" s="1235"/>
      <c r="O75" s="38"/>
    </row>
    <row r="76" spans="1:15" ht="20.25" customHeight="1" x14ac:dyDescent="0.3"/>
    <row r="77" spans="1:15" ht="30.75" customHeight="1" x14ac:dyDescent="0.5">
      <c r="A77" s="1321" t="s">
        <v>564</v>
      </c>
      <c r="B77" s="1321"/>
      <c r="C77" s="1321"/>
      <c r="D77" s="1321"/>
      <c r="E77" s="1321"/>
      <c r="F77" s="1321"/>
      <c r="G77" s="1321"/>
      <c r="H77" s="1321"/>
      <c r="I77" s="1321"/>
      <c r="J77" s="1321"/>
      <c r="K77" s="1321"/>
      <c r="L77" s="1321"/>
      <c r="M77" s="1321"/>
      <c r="N77" s="1321"/>
      <c r="O77" s="1321"/>
    </row>
    <row r="78" spans="1:15" ht="27.75" customHeight="1" x14ac:dyDescent="0.45">
      <c r="A78" s="1409"/>
      <c r="B78" s="1409"/>
      <c r="C78" s="1409"/>
      <c r="D78" s="1409"/>
      <c r="E78" s="1409"/>
      <c r="F78" s="1409"/>
      <c r="G78" s="1409"/>
      <c r="H78" s="1409"/>
      <c r="I78" s="1409"/>
      <c r="J78" s="1409"/>
      <c r="K78" s="1409"/>
      <c r="L78" s="1409"/>
      <c r="M78" s="1409"/>
      <c r="N78" s="1409"/>
      <c r="O78" s="1409"/>
    </row>
    <row r="79" spans="1:15" ht="15" customHeight="1" x14ac:dyDescent="0.45">
      <c r="A79" s="132"/>
      <c r="B79" s="132"/>
      <c r="C79" s="132"/>
      <c r="D79" s="132"/>
      <c r="E79" s="132"/>
      <c r="F79" s="132"/>
      <c r="G79" s="132"/>
      <c r="H79" s="132"/>
      <c r="I79" s="132"/>
      <c r="J79" s="132"/>
      <c r="K79" s="132"/>
      <c r="L79" s="132"/>
      <c r="M79" s="132"/>
      <c r="N79" s="132"/>
      <c r="O79" s="132"/>
    </row>
    <row r="80" spans="1:15" ht="15" customHeight="1" x14ac:dyDescent="0.45">
      <c r="A80" s="132"/>
      <c r="B80" s="132"/>
      <c r="C80" s="132"/>
      <c r="D80" s="132"/>
      <c r="E80" s="132"/>
      <c r="F80" s="132"/>
      <c r="G80" s="132"/>
      <c r="H80" s="132"/>
      <c r="I80" s="132"/>
      <c r="J80" s="132"/>
      <c r="K80" s="132"/>
      <c r="L80" s="132"/>
      <c r="M80" s="132"/>
      <c r="N80" s="132"/>
      <c r="O80" s="132"/>
    </row>
    <row r="81" spans="1:15" ht="15" customHeight="1" x14ac:dyDescent="0.3">
      <c r="A81" s="1324" t="s">
        <v>223</v>
      </c>
      <c r="B81" s="1324"/>
      <c r="C81" s="1324"/>
      <c r="D81" s="1324"/>
      <c r="E81" s="1324"/>
      <c r="F81" s="1324"/>
      <c r="G81" s="1324"/>
      <c r="H81" s="1324"/>
      <c r="I81" s="1324"/>
      <c r="J81" s="1324"/>
      <c r="K81" s="1324"/>
      <c r="L81" s="1324"/>
      <c r="M81" s="1324"/>
      <c r="N81" s="1324"/>
      <c r="O81" s="1324"/>
    </row>
    <row r="82" spans="1:15" ht="9" customHeight="1" x14ac:dyDescent="0.3">
      <c r="A82" s="196"/>
      <c r="B82" s="196"/>
      <c r="C82" s="196"/>
      <c r="D82" s="196"/>
      <c r="E82" s="196"/>
      <c r="F82" s="196"/>
      <c r="G82" s="196"/>
      <c r="H82" s="196"/>
      <c r="I82" s="196"/>
      <c r="J82" s="196"/>
      <c r="K82" s="196"/>
      <c r="L82" s="196"/>
      <c r="M82" s="196"/>
      <c r="N82" s="196"/>
      <c r="O82" s="196"/>
    </row>
    <row r="83" spans="1:15" x14ac:dyDescent="0.3">
      <c r="A83" s="1791" t="s">
        <v>241</v>
      </c>
      <c r="B83" s="1791"/>
      <c r="C83" s="1791"/>
      <c r="D83" s="1791"/>
      <c r="E83" s="1791"/>
      <c r="F83" s="1791"/>
      <c r="G83" s="1791"/>
      <c r="H83" s="1791"/>
      <c r="I83" s="1791"/>
      <c r="J83" s="1791"/>
      <c r="K83" s="1791"/>
      <c r="L83" s="1791"/>
      <c r="M83" s="1791"/>
      <c r="N83" s="1791"/>
      <c r="O83" s="1791"/>
    </row>
    <row r="84" spans="1:15" x14ac:dyDescent="0.3">
      <c r="A84" s="1791" t="s">
        <v>258</v>
      </c>
      <c r="B84" s="1791"/>
      <c r="C84" s="1791"/>
      <c r="D84" s="1791"/>
      <c r="E84" s="1791"/>
      <c r="F84" s="1791"/>
      <c r="G84" s="1791"/>
      <c r="H84" s="1791"/>
      <c r="I84" s="1791"/>
      <c r="J84" s="1791"/>
      <c r="K84" s="1791"/>
      <c r="L84" s="1791"/>
      <c r="M84" s="1791"/>
      <c r="N84" s="1791"/>
      <c r="O84" s="1791"/>
    </row>
    <row r="85" spans="1:15" x14ac:dyDescent="0.3">
      <c r="A85" s="1791" t="s">
        <v>249</v>
      </c>
      <c r="B85" s="1791"/>
      <c r="C85" s="1791"/>
      <c r="D85" s="1791"/>
      <c r="E85" s="1791"/>
      <c r="F85" s="1791"/>
      <c r="G85" s="1791"/>
      <c r="H85" s="1791"/>
      <c r="I85" s="1791"/>
      <c r="J85" s="1791"/>
      <c r="K85" s="1791"/>
      <c r="L85" s="1791"/>
      <c r="M85" s="1791"/>
      <c r="N85" s="1791"/>
      <c r="O85" s="1791"/>
    </row>
    <row r="86" spans="1:15" ht="9" customHeight="1" x14ac:dyDescent="0.3">
      <c r="A86" s="29"/>
      <c r="B86" s="29"/>
      <c r="C86" s="29"/>
      <c r="D86" s="29"/>
      <c r="E86" s="29"/>
      <c r="F86" s="29"/>
      <c r="G86" s="29"/>
      <c r="H86" s="29"/>
      <c r="I86" s="29"/>
      <c r="J86" s="29"/>
      <c r="K86" s="29"/>
      <c r="L86" s="29"/>
      <c r="M86" s="29"/>
    </row>
    <row r="87" spans="1:15" x14ac:dyDescent="0.3">
      <c r="A87" s="1903" t="s">
        <v>1056</v>
      </c>
      <c r="B87" s="1903"/>
      <c r="C87" s="1903"/>
      <c r="D87" s="1903"/>
      <c r="E87" s="1903"/>
      <c r="F87" s="1903"/>
      <c r="G87" s="1903"/>
      <c r="H87" s="1903"/>
      <c r="I87" s="1903"/>
      <c r="J87" s="1903"/>
      <c r="K87" s="1903"/>
      <c r="L87" s="1903"/>
      <c r="M87" s="1903"/>
      <c r="N87" s="1903"/>
    </row>
    <row r="88" spans="1:15" x14ac:dyDescent="0.3">
      <c r="A88" s="1903" t="s">
        <v>293</v>
      </c>
      <c r="B88" s="1903"/>
      <c r="C88" s="1903"/>
      <c r="D88" s="1903"/>
      <c r="E88" s="1903"/>
      <c r="F88" s="1903"/>
      <c r="G88" s="1903"/>
      <c r="H88" s="1903"/>
      <c r="I88" s="1903"/>
      <c r="J88" s="1903"/>
      <c r="K88" s="1903"/>
      <c r="L88" s="1903"/>
      <c r="M88" s="1903"/>
      <c r="N88" s="1903"/>
      <c r="O88" s="1903"/>
    </row>
    <row r="89" spans="1:15" ht="9.6" customHeight="1" x14ac:dyDescent="0.3">
      <c r="A89" s="29"/>
      <c r="B89" s="29"/>
      <c r="C89" s="29"/>
      <c r="D89" s="29"/>
      <c r="E89" s="29"/>
      <c r="F89" s="29"/>
      <c r="G89" s="29"/>
      <c r="H89" s="29"/>
      <c r="I89" s="29"/>
      <c r="J89" s="29"/>
      <c r="K89" s="29"/>
      <c r="L89" s="29"/>
      <c r="M89" s="29"/>
      <c r="N89" s="29"/>
      <c r="O89" s="29"/>
    </row>
    <row r="90" spans="1:15" x14ac:dyDescent="0.3">
      <c r="A90" s="29" t="s">
        <v>890</v>
      </c>
      <c r="B90" s="29"/>
      <c r="C90" s="29"/>
      <c r="D90" s="29"/>
      <c r="E90" s="29"/>
      <c r="F90" s="29"/>
      <c r="G90" s="29"/>
      <c r="H90" s="29"/>
      <c r="I90" s="29"/>
      <c r="J90" s="29"/>
      <c r="K90" s="29"/>
      <c r="L90" s="29"/>
      <c r="M90" s="29"/>
      <c r="N90" s="29"/>
      <c r="O90" s="29"/>
    </row>
    <row r="91" spans="1:15" x14ac:dyDescent="0.3">
      <c r="A91" s="29" t="s">
        <v>891</v>
      </c>
      <c r="B91" s="29"/>
      <c r="C91" s="29"/>
      <c r="D91" s="29"/>
      <c r="E91" s="29"/>
      <c r="F91" s="29"/>
      <c r="G91" s="29"/>
      <c r="H91" s="29"/>
      <c r="I91" s="29"/>
      <c r="J91" s="29"/>
      <c r="K91" s="29"/>
      <c r="L91" s="29"/>
      <c r="M91" s="29"/>
      <c r="N91" s="29"/>
      <c r="O91" s="29"/>
    </row>
    <row r="92" spans="1:15" ht="9.6" customHeight="1" x14ac:dyDescent="0.3">
      <c r="A92" s="29"/>
      <c r="B92" s="29"/>
      <c r="C92" s="29"/>
      <c r="D92" s="29"/>
      <c r="E92" s="29"/>
      <c r="F92" s="29"/>
      <c r="G92" s="29"/>
      <c r="H92" s="29"/>
      <c r="I92" s="29"/>
      <c r="J92" s="29"/>
      <c r="K92" s="29"/>
      <c r="L92" s="29"/>
      <c r="M92" s="29"/>
      <c r="N92" s="29"/>
      <c r="O92" s="29"/>
    </row>
    <row r="93" spans="1:15" x14ac:dyDescent="0.3">
      <c r="A93" s="29" t="s">
        <v>889</v>
      </c>
      <c r="B93" s="29"/>
      <c r="C93" s="29"/>
      <c r="D93" s="29"/>
      <c r="E93" s="29"/>
      <c r="F93" s="29"/>
      <c r="G93" s="29"/>
      <c r="H93" s="29"/>
      <c r="I93" s="29"/>
      <c r="J93" s="29"/>
      <c r="K93" s="29"/>
      <c r="L93" s="29"/>
      <c r="M93" s="29"/>
      <c r="N93" s="29"/>
      <c r="O93" s="29"/>
    </row>
    <row r="94" spans="1:15" x14ac:dyDescent="0.3">
      <c r="A94" t="s">
        <v>892</v>
      </c>
    </row>
    <row r="96" spans="1:15" ht="56.25" customHeight="1" x14ac:dyDescent="0.3">
      <c r="A96" s="1948" t="str">
        <f>IF(J26&lt;M26,A97,IF(J26=M26,A99,A98))</f>
        <v>Caution: Rental income increased but  is being excluded and/or the number of months reviewed is other than .  Generally when income increases  should be included and a  month average of this income should be used.  Review above and correct to clear the alert or explain the justification in your notes below for not including  and/or using other than  month reviewed.</v>
      </c>
      <c r="B96" s="1948"/>
      <c r="C96" s="1948"/>
      <c r="D96" s="1948"/>
      <c r="E96" s="1948"/>
      <c r="F96" s="1948"/>
      <c r="G96" s="1948"/>
      <c r="H96" s="1948"/>
      <c r="I96" s="1948"/>
      <c r="J96" s="1948"/>
      <c r="K96" s="1948"/>
      <c r="L96" s="1948"/>
      <c r="M96" s="1948"/>
      <c r="N96" s="1948"/>
    </row>
    <row r="97" spans="1:2" ht="15" customHeight="1" x14ac:dyDescent="0.3">
      <c r="A97" s="217" t="str">
        <f>CONCATENATE("Caution: Declining rental income is detected and ",K72, " is not being excluded and/or the number of months reviewed is greater than 12.  Generally with declining income ",K72, " should be excluded and the number of months reviewed should be 12.  Review above and correct to clear the alert or explain the justification in your notes below for not excluding ",K72, " and/or using more than 12 months reviewed.")</f>
        <v>Caution: Declining rental income is detected and  is not being excluded and/or the number of months reviewed is greater than 12.  Generally with declining income  should be excluded and the number of months reviewed should be 12.  Review above and correct to clear the alert or explain the justification in your notes below for not excluding  and/or using more than 12 months reviewed.</v>
      </c>
      <c r="B97" s="217" t="str">
        <f>CONCATENATE("Caution: Rental income increased but ", M26, " is being excluded and/or the number of months reviewed is less than 24.  Generally when income increases ", M26, " should be included and a 24 month average of this income should be used.  Review above and correct to clear the alert or explain the justification in your notes below for not including ", M26, " and/or using less than 24 month reviewed.")</f>
        <v>Caution: Rental income increased but 2020 is being excluded and/or the number of months reviewed is less than 24.  Generally when income increases 2020 should be included and a 24 month average of this income should be used.  Review above and correct to clear the alert or explain the justification in your notes below for not including 2020 and/or using less than 24 month reviewed.</v>
      </c>
    </row>
    <row r="98" spans="1:2" ht="13.2" customHeight="1" x14ac:dyDescent="0.3">
      <c r="A98" s="217" t="str">
        <f>CONCATENATE("Caution: Rental income increased but ",K72, " is being excluded and/or the number of months reviewed is other than ",E91,".  Generally when income increases ",K72, " should be included and a ",E91," month average of this income should be used.  Review above and correct to clear the alert or explain the justification in your notes below for not including ",K72, " and/or using other than ",E91," month reviewed.")</f>
        <v>Caution: Rental income increased but  is being excluded and/or the number of months reviewed is other than .  Generally when income increases  should be included and a  month average of this income should be used.  Review above and correct to clear the alert or explain the justification in your notes below for not including  and/or using other than  month reviewed.</v>
      </c>
    </row>
    <row r="99" spans="1:2" ht="13.8" customHeight="1" x14ac:dyDescent="0.3">
      <c r="A99" s="411" t="str">
        <f>CONCATENATE("Caution: Rental income stable but ",K72, " is being excluded and/or the number of months reviewed is less than ",E91,".  Generally when income is stable ",K72, " should be included and a ",E91," month average of this income should be used, or you must omit the priot year to average over 12 months.  Review above and correct to clear the alert or explain in your notes.")</f>
        <v>Caution: Rental income stable but  is being excluded and/or the number of months reviewed is less than .  Generally when income is stable  should be included and a  month average of this income should be used, or you must omit the priot year to average over 12 months.  Review above and correct to clear the alert or explain in your notes.</v>
      </c>
    </row>
  </sheetData>
  <sheetProtection selectLockedCells="1"/>
  <mergeCells count="128">
    <mergeCell ref="A87:N87"/>
    <mergeCell ref="A88:O88"/>
    <mergeCell ref="A96:N96"/>
    <mergeCell ref="A77:O77"/>
    <mergeCell ref="A78:O78"/>
    <mergeCell ref="A81:O81"/>
    <mergeCell ref="A83:O83"/>
    <mergeCell ref="A84:O84"/>
    <mergeCell ref="A85:O85"/>
    <mergeCell ref="A67:E67"/>
    <mergeCell ref="A68:O71"/>
    <mergeCell ref="A75:D75"/>
    <mergeCell ref="M75:N75"/>
    <mergeCell ref="B61:M61"/>
    <mergeCell ref="B62:M62"/>
    <mergeCell ref="B63:C63"/>
    <mergeCell ref="E63:M63"/>
    <mergeCell ref="B64:M64"/>
    <mergeCell ref="B65:M65"/>
    <mergeCell ref="C57:J58"/>
    <mergeCell ref="K57:L57"/>
    <mergeCell ref="M57:N57"/>
    <mergeCell ref="K58:L58"/>
    <mergeCell ref="M58:N58"/>
    <mergeCell ref="B60:M60"/>
    <mergeCell ref="C55:J55"/>
    <mergeCell ref="K55:L55"/>
    <mergeCell ref="M55:N55"/>
    <mergeCell ref="B56:J56"/>
    <mergeCell ref="K56:L56"/>
    <mergeCell ref="M56:N56"/>
    <mergeCell ref="C53:J53"/>
    <mergeCell ref="K53:L53"/>
    <mergeCell ref="M53:N53"/>
    <mergeCell ref="C54:J54"/>
    <mergeCell ref="K54:L54"/>
    <mergeCell ref="M54:N54"/>
    <mergeCell ref="A50:N50"/>
    <mergeCell ref="A51:E51"/>
    <mergeCell ref="F51:O51"/>
    <mergeCell ref="B52:J52"/>
    <mergeCell ref="K52:L52"/>
    <mergeCell ref="M52:N52"/>
    <mergeCell ref="B47:J47"/>
    <mergeCell ref="K47:L47"/>
    <mergeCell ref="M47:O49"/>
    <mergeCell ref="C48:L49"/>
    <mergeCell ref="B45:C45"/>
    <mergeCell ref="G45:H45"/>
    <mergeCell ref="B46:C46"/>
    <mergeCell ref="G46:H46"/>
    <mergeCell ref="B41:E41"/>
    <mergeCell ref="I42:L46"/>
    <mergeCell ref="M42:O46"/>
    <mergeCell ref="B43:H43"/>
    <mergeCell ref="B44:C44"/>
    <mergeCell ref="G44:H44"/>
    <mergeCell ref="C37:J37"/>
    <mergeCell ref="K37:M37"/>
    <mergeCell ref="B39:H39"/>
    <mergeCell ref="K39:L39"/>
    <mergeCell ref="B35:H35"/>
    <mergeCell ref="J35:K35"/>
    <mergeCell ref="M35:N35"/>
    <mergeCell ref="G36:I36"/>
    <mergeCell ref="J36:K36"/>
    <mergeCell ref="M36:N36"/>
    <mergeCell ref="B33:I33"/>
    <mergeCell ref="J33:K33"/>
    <mergeCell ref="M33:N33"/>
    <mergeCell ref="B34:C34"/>
    <mergeCell ref="D34:H34"/>
    <mergeCell ref="J34:K34"/>
    <mergeCell ref="M34:N34"/>
    <mergeCell ref="B31:H31"/>
    <mergeCell ref="J31:K31"/>
    <mergeCell ref="M31:N31"/>
    <mergeCell ref="B32:H32"/>
    <mergeCell ref="J32:K32"/>
    <mergeCell ref="M32:N32"/>
    <mergeCell ref="B29:I29"/>
    <mergeCell ref="J29:K29"/>
    <mergeCell ref="M29:N29"/>
    <mergeCell ref="B30:H30"/>
    <mergeCell ref="J30:K30"/>
    <mergeCell ref="M30:N30"/>
    <mergeCell ref="B27:H27"/>
    <mergeCell ref="J27:K27"/>
    <mergeCell ref="M27:N27"/>
    <mergeCell ref="B28:H28"/>
    <mergeCell ref="J28:K28"/>
    <mergeCell ref="M28:N28"/>
    <mergeCell ref="A26:D26"/>
    <mergeCell ref="E26:I26"/>
    <mergeCell ref="J26:K26"/>
    <mergeCell ref="M26:N26"/>
    <mergeCell ref="C21:D23"/>
    <mergeCell ref="F21:F22"/>
    <mergeCell ref="H21:I22"/>
    <mergeCell ref="J21:K22"/>
    <mergeCell ref="E23:N23"/>
    <mergeCell ref="C18:D18"/>
    <mergeCell ref="E18:M18"/>
    <mergeCell ref="H19:I19"/>
    <mergeCell ref="C20:D20"/>
    <mergeCell ref="H20:I20"/>
    <mergeCell ref="J20:K20"/>
    <mergeCell ref="L20:M22"/>
    <mergeCell ref="N20:O22"/>
    <mergeCell ref="A11:B11"/>
    <mergeCell ref="C11:J11"/>
    <mergeCell ref="A12:B14"/>
    <mergeCell ref="C12:J12"/>
    <mergeCell ref="C14:M14"/>
    <mergeCell ref="A15:L15"/>
    <mergeCell ref="A2:N2"/>
    <mergeCell ref="A3:N3"/>
    <mergeCell ref="A4:J4"/>
    <mergeCell ref="K4:N5"/>
    <mergeCell ref="D8:H9"/>
    <mergeCell ref="J8:K8"/>
    <mergeCell ref="J9:K9"/>
    <mergeCell ref="A16:O16"/>
    <mergeCell ref="J6:N6"/>
    <mergeCell ref="A7:C7"/>
    <mergeCell ref="D7:H7"/>
    <mergeCell ref="J7:K7"/>
    <mergeCell ref="M7:N7"/>
  </mergeCells>
  <conditionalFormatting sqref="J29:K29">
    <cfRule type="expression" dxfId="116" priority="48">
      <formula>$J$29&lt;&gt;0</formula>
    </cfRule>
  </conditionalFormatting>
  <conditionalFormatting sqref="M29:N29">
    <cfRule type="expression" dxfId="115" priority="47">
      <formula>$M$29&lt;&gt;0</formula>
    </cfRule>
  </conditionalFormatting>
  <conditionalFormatting sqref="L29">
    <cfRule type="expression" dxfId="114" priority="46">
      <formula>$J$29&lt;&gt;0</formula>
    </cfRule>
  </conditionalFormatting>
  <conditionalFormatting sqref="O29">
    <cfRule type="expression" dxfId="113" priority="45">
      <formula>$M$29&lt;&gt;0</formula>
    </cfRule>
  </conditionalFormatting>
  <conditionalFormatting sqref="J8:K8">
    <cfRule type="expression" dxfId="112" priority="1">
      <formula>$J$6&lt;&gt;""</formula>
    </cfRule>
    <cfRule type="expression" dxfId="111" priority="37">
      <formula>AND($L$74=1,OR($N$74=1,$N$74=2),$M$74=1)</formula>
    </cfRule>
    <cfRule type="expression" dxfId="110" priority="43">
      <formula>AND($L$74=2,$M$74&lt;&gt;1)</formula>
    </cfRule>
    <cfRule type="expression" dxfId="109" priority="44">
      <formula>AND($L$74=1,$M$74=1)</formula>
    </cfRule>
  </conditionalFormatting>
  <conditionalFormatting sqref="B64 B62 B63:E63">
    <cfRule type="expression" dxfId="108" priority="39">
      <formula>AND($L$74=1,$M$74=1)</formula>
    </cfRule>
    <cfRule type="expression" dxfId="107" priority="41">
      <formula>$L$74=""</formula>
    </cfRule>
  </conditionalFormatting>
  <conditionalFormatting sqref="D63">
    <cfRule type="expression" dxfId="106" priority="38">
      <formula>AND($L$74=1,$M$74=1)</formula>
    </cfRule>
    <cfRule type="expression" dxfId="105" priority="40">
      <formula>$L$74=""</formula>
    </cfRule>
  </conditionalFormatting>
  <conditionalFormatting sqref="M47:O49">
    <cfRule type="expression" dxfId="104" priority="36">
      <formula>AND($L$74=1,$M$74=2,$N$74=2)</formula>
    </cfRule>
  </conditionalFormatting>
  <conditionalFormatting sqref="A83:A85">
    <cfRule type="expression" dxfId="103" priority="35">
      <formula>OR($J$29&lt;&gt;0,$M$29&lt;&gt;0)</formula>
    </cfRule>
  </conditionalFormatting>
  <conditionalFormatting sqref="J20:K20">
    <cfRule type="expression" dxfId="102" priority="51">
      <formula>AND($L$74=1,$M$74=2)</formula>
    </cfRule>
    <cfRule type="expression" dxfId="101" priority="52">
      <formula>AND($H$19&gt;0,$N$74=2)</formula>
    </cfRule>
  </conditionalFormatting>
  <conditionalFormatting sqref="O50">
    <cfRule type="expression" dxfId="100" priority="34">
      <formula>$L$74&lt;&gt;1</formula>
    </cfRule>
  </conditionalFormatting>
  <conditionalFormatting sqref="A16:O16">
    <cfRule type="expression" dxfId="99" priority="33">
      <formula>AND($N$74=1,$M$74=3)</formula>
    </cfRule>
  </conditionalFormatting>
  <conditionalFormatting sqref="B20 B18:M18">
    <cfRule type="expression" dxfId="98" priority="32">
      <formula>$L$75=2</formula>
    </cfRule>
  </conditionalFormatting>
  <conditionalFormatting sqref="C18:D18">
    <cfRule type="expression" dxfId="97" priority="31">
      <formula>$L$75&lt;&gt;2</formula>
    </cfRule>
  </conditionalFormatting>
  <conditionalFormatting sqref="J7:N7">
    <cfRule type="expression" dxfId="96" priority="53">
      <formula>AND(OR($H$19&gt;0,$K$47&gt;0),OR($N$74=1,$N$74=2),$L$74&lt;1)</formula>
    </cfRule>
  </conditionalFormatting>
  <conditionalFormatting sqref="O7:O8 J7:K8">
    <cfRule type="expression" dxfId="95" priority="54">
      <formula>AND(OR($H$19&gt;0,$K$47&gt;0),OR($N$74=1,$N$74=2),$L$74&lt;1)</formula>
    </cfRule>
  </conditionalFormatting>
  <conditionalFormatting sqref="C48:L49">
    <cfRule type="expression" dxfId="94" priority="55">
      <formula>AND($N$74=2,$K$47&gt;$H$19,$H$19&gt;0)</formula>
    </cfRule>
  </conditionalFormatting>
  <conditionalFormatting sqref="J25:N25 E23">
    <cfRule type="expression" dxfId="93" priority="56">
      <formula>AND($N$74=1,$H$19&gt;$K$47,$K$47&gt;0)</formula>
    </cfRule>
  </conditionalFormatting>
  <conditionalFormatting sqref="J8:N8">
    <cfRule type="expression" dxfId="92" priority="57">
      <formula>AND(OR($H$19&gt;0,$K$47&gt;0),OR($N$74=1,$N$74=2),$L$74&lt;1)</formula>
    </cfRule>
  </conditionalFormatting>
  <conditionalFormatting sqref="A96:N96">
    <cfRule type="expression" dxfId="91" priority="58">
      <formula>OR(AND($J$36&lt;&gt;0,$M$36&lt;&gt;0,$J$36&lt;$M$36,$N$73=FALSE,$F$41&gt;0), AND($J$36&lt;&gt;0,$M$36&lt;&gt;0,$J$36&lt;$M$36,$N$73=TRUE,$F$41&gt;12),AND($J$36&lt;&gt;0,$M$26&lt;&gt;0,$J$36&lt;$M$36,$F$41&gt;12),AND($J$36&lt;&gt;0,$M$36&lt;&gt;0,$J$36&gt;$M$36,$F$41&lt;&gt;$G$45,$F$41&lt;&gt;""),AND($J$36&lt;&gt;0,$M$36&lt;&gt;0,$M$36=$J$36,$F$41&gt;12,$F$41&lt;&gt;"",$N$73=TRUE),AND($J$36&lt;&gt;0,$M$36&lt;&gt;0,$M$36=$J$36,$F$41&lt;&gt;$G$45,$F$41&lt;&gt;"",$N$73=FALSE),AND($J$36&lt;&gt;0,$M$36&lt;&gt;0,$J$36&gt;$M$36,$N$73=TRUE),AND($J$36&lt;&gt;0,$M$36&lt;&gt;$J$36&lt;$M$36,$F$41&lt;&gt;"",$N$73=FALSE),AND($J$36&lt;&gt;0,$M$36&lt;&gt;0,$J$36=$M$36,$F$41=12,$F$41&lt;&gt;"",$N$73=FALSE),AND($J$36&lt;&gt;0,$M$36&lt;&gt;0,$J$36=$M$36,$F$41=$G$45,$F$41&lt;&gt;"",$F$41&lt;&gt;12,$N$73=TRUE),AND($J$36&lt;&gt;0,$M$36&lt;&gt;0,$J$36&lt;$M$36,$F$41&lt;&gt;"",$N$73&lt;&gt;TRUE))</formula>
    </cfRule>
  </conditionalFormatting>
  <conditionalFormatting sqref="B45:C45">
    <cfRule type="expression" dxfId="90" priority="30">
      <formula>AND($B$45="",$D$45&lt;&gt;"")</formula>
    </cfRule>
  </conditionalFormatting>
  <conditionalFormatting sqref="D45">
    <cfRule type="expression" dxfId="89" priority="29">
      <formula>AND($D$45="",$B$45&lt;&gt;"")</formula>
    </cfRule>
  </conditionalFormatting>
  <conditionalFormatting sqref="E45">
    <cfRule type="expression" dxfId="88" priority="28">
      <formula>AND($E$45="",$F$45&lt;&gt;"")</formula>
    </cfRule>
  </conditionalFormatting>
  <conditionalFormatting sqref="F45">
    <cfRule type="expression" dxfId="87" priority="27">
      <formula>AND($F$45="",$E$45&lt;&gt;"")</formula>
    </cfRule>
  </conditionalFormatting>
  <conditionalFormatting sqref="B37">
    <cfRule type="expression" dxfId="86" priority="24">
      <formula>AND($J$36&lt;&gt;0,$M$36&lt;&gt;0,$J$36=$M$36,$F$41=$G$45,$F$41&lt;&gt;"",$F$41&lt;&gt;12,$N$73=TRUE)</formula>
    </cfRule>
    <cfRule type="expression" dxfId="85" priority="25">
      <formula>OR(AND($J$36&lt;&gt;0,$M$36&lt;&gt;0,$J$36&gt;$M$36,$N$73=TRUE),AND($J$36&lt;&gt;0,$M$36&lt;&gt;$J$36&lt;$M$36,$F$41&lt;&gt;"",$N$73=FALSE),AND($J$36&lt;&gt;0,$M$36&lt;&gt;0,$J$36=$M$36,$F$41=12,$F$41&lt;&gt;"",$N$73=FALSE),AND($J$36&lt;&gt;0,$M$36&lt;&gt;0,$J$36&lt;$M$36,$F$41&lt;&gt;"",$N$73&lt;&gt;TRUE))</formula>
    </cfRule>
    <cfRule type="expression" dxfId="84" priority="26">
      <formula>AND($J$36&lt;&gt;0,$M$36&lt;&gt;0,$J$36&lt;$M$36)</formula>
    </cfRule>
  </conditionalFormatting>
  <conditionalFormatting sqref="F41">
    <cfRule type="expression" dxfId="83" priority="23">
      <formula>OR(AND($J$36&lt;&gt;0,$M$36&lt;&gt;0,$J$36&lt;$M$36,$F$41&gt;12),AND($J$36&lt;&gt;0,$M$36&lt;&gt;0,$J$36&gt;$M$36,$F$41&lt;&gt;$G$45,$F$41&lt;&gt;""),AND($J$36&lt;&gt;0,$M$36&lt;&gt;0,$M$36=$J$36,$F$41&gt;12,$F$41&lt;&gt;"",$N$73=TRUE),AND($J$36&lt;&gt;0,$M$36&lt;&gt;0,$M$36=$J$36,$F$41&lt;&gt;$G$45,$F$41&lt;&gt;"",$N$73=FALSE))</formula>
    </cfRule>
  </conditionalFormatting>
  <conditionalFormatting sqref="K37">
    <cfRule type="expression" dxfId="82" priority="19">
      <formula>$M$36=0</formula>
    </cfRule>
    <cfRule type="expression" dxfId="81" priority="20">
      <formula>AND($J$36&lt;&gt;0,$M$36&lt;&gt;0,$J$36&lt;$M$36)</formula>
    </cfRule>
    <cfRule type="expression" dxfId="80" priority="21">
      <formula>AND(OR($F$41=12,$F$41=24,$F$247=0),$J$36&lt;&gt;0,$M$36&lt;&gt;0,$J$36&lt;$M$36)</formula>
    </cfRule>
  </conditionalFormatting>
  <conditionalFormatting sqref="K37:M37">
    <cfRule type="expression" dxfId="79" priority="22">
      <formula>OR(AND($J$36&lt;&gt;0,$M$36&lt;&gt;0,$J$36&lt;$M$36,$N$73=FALSE,$F$41&gt;0), AND($J$36&lt;&gt;0,$M$36&lt;&gt;0,$J$36&lt;$M$36,$N$73=TRUE,$F$41&gt;12))</formula>
    </cfRule>
  </conditionalFormatting>
  <conditionalFormatting sqref="G36:I36">
    <cfRule type="expression" dxfId="78" priority="18">
      <formula>OR($G$45="",$G$45=12,$G$45=24)</formula>
    </cfRule>
  </conditionalFormatting>
  <conditionalFormatting sqref="J36:K36">
    <cfRule type="expression" dxfId="77" priority="17">
      <formula>AND($F$46&lt;12,$F$46&lt;&gt;"")</formula>
    </cfRule>
  </conditionalFormatting>
  <conditionalFormatting sqref="M36:N36">
    <cfRule type="expression" dxfId="76" priority="16">
      <formula>AND($D$46&lt;12,$D$46&lt;&gt;"")</formula>
    </cfRule>
  </conditionalFormatting>
  <conditionalFormatting sqref="M15:N15">
    <cfRule type="expression" dxfId="75" priority="14">
      <formula>AND(L75=1,L76=2)</formula>
    </cfRule>
  </conditionalFormatting>
  <conditionalFormatting sqref="L9">
    <cfRule type="expression" dxfId="74" priority="10">
      <formula>$J$9&lt;&gt;""</formula>
    </cfRule>
  </conditionalFormatting>
  <conditionalFormatting sqref="J9:K9">
    <cfRule type="expression" dxfId="73" priority="9">
      <formula>AND($J$9&lt;&gt;"",$L$9="")</formula>
    </cfRule>
  </conditionalFormatting>
  <conditionalFormatting sqref="N14">
    <cfRule type="expression" dxfId="72" priority="62">
      <formula>AND(M75=1,M76=2)</formula>
    </cfRule>
  </conditionalFormatting>
  <conditionalFormatting sqref="M12:N13">
    <cfRule type="expression" dxfId="71" priority="63">
      <formula>AND(L75=1,L76=2)</formula>
    </cfRule>
  </conditionalFormatting>
  <conditionalFormatting sqref="K11:K12">
    <cfRule type="expression" dxfId="70" priority="65">
      <formula>$A$11&lt;&gt;""</formula>
    </cfRule>
  </conditionalFormatting>
  <conditionalFormatting sqref="C14:M14">
    <cfRule type="expression" dxfId="69" priority="66">
      <formula>OR($L$9="Freddie",$A$11="Required:",AND($J$9&lt;&gt;"",$L$9=""))</formula>
    </cfRule>
  </conditionalFormatting>
  <conditionalFormatting sqref="M8:N8">
    <cfRule type="expression" dxfId="68" priority="67">
      <formula>AND($L$75="",$K$56&lt;&gt;0)</formula>
    </cfRule>
    <cfRule type="expression" dxfId="67" priority="68">
      <formula>AND(OR($L$74=2,$L$74=1),$L$75="")</formula>
    </cfRule>
  </conditionalFormatting>
  <conditionalFormatting sqref="K52:L56">
    <cfRule type="expression" dxfId="66" priority="8">
      <formula>$L$74&lt;&gt;2</formula>
    </cfRule>
  </conditionalFormatting>
  <conditionalFormatting sqref="M52:N56">
    <cfRule type="expression" dxfId="65" priority="7">
      <formula>$L$74=2</formula>
    </cfRule>
  </conditionalFormatting>
  <conditionalFormatting sqref="C57:J58">
    <cfRule type="expression" dxfId="64" priority="6">
      <formula>$C$57="Enter figures here as positive numbers, not negative amounts"</formula>
    </cfRule>
  </conditionalFormatting>
  <conditionalFormatting sqref="N20:O22">
    <cfRule type="expression" dxfId="63" priority="5">
      <formula>$N$20&lt;&gt;""</formula>
    </cfRule>
  </conditionalFormatting>
  <conditionalFormatting sqref="M42:O46">
    <cfRule type="expression" dxfId="62" priority="4">
      <formula>$M$42&lt;&gt;""</formula>
    </cfRule>
  </conditionalFormatting>
  <conditionalFormatting sqref="D8:H9">
    <cfRule type="expression" dxfId="61" priority="3">
      <formula>$D$8&lt;&gt;""</formula>
    </cfRule>
  </conditionalFormatting>
  <conditionalFormatting sqref="K4:N5">
    <cfRule type="expression" dxfId="60" priority="2">
      <formula>AND($A$75&lt;&gt;"Owner Multi-Unit",$A$75&lt;&gt;"Owner Multi-Unit (2)")</formula>
    </cfRule>
  </conditionalFormatting>
  <dataValidations disablePrompts="1" count="2">
    <dataValidation type="list" allowBlank="1" showInputMessage="1" showErrorMessage="1" sqref="K11:K12" xr:uid="{6DDEBE7D-3C7D-4F34-82CD-B5B90E74B8E9}">
      <formula1>"Yes, No"</formula1>
    </dataValidation>
    <dataValidation type="list" allowBlank="1" showInputMessage="1" showErrorMessage="1" sqref="L9" xr:uid="{455C8033-2D16-400D-A89C-CF89A987CBF0}">
      <formula1>"Fannie,Freddie"</formula1>
    </dataValidation>
  </dataValidations>
  <printOptions horizontalCentered="1"/>
  <pageMargins left="0.25" right="0.25" top="0.25" bottom="0.25" header="0.3" footer="0.3"/>
  <pageSetup paperSize="5" scale="87" fitToWidth="0" fitToHeight="0" orientation="portrait" r:id="rId1"/>
  <rowBreaks count="1" manualBreakCount="1">
    <brk id="7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44129" r:id="rId4" name="Check Box 1">
              <controlPr defaultSize="0" autoFill="0" autoLine="0" autoPict="0">
                <anchor moveWithCells="1">
                  <from>
                    <xdr:col>1</xdr:col>
                    <xdr:colOff>15240</xdr:colOff>
                    <xdr:row>35</xdr:row>
                    <xdr:rowOff>68580</xdr:rowOff>
                  </from>
                  <to>
                    <xdr:col>7</xdr:col>
                    <xdr:colOff>327660</xdr:colOff>
                    <xdr:row>37</xdr:row>
                    <xdr:rowOff>45720</xdr:rowOff>
                  </to>
                </anchor>
              </controlPr>
            </control>
          </mc:Choice>
        </mc:AlternateContent>
        <mc:AlternateContent xmlns:mc="http://schemas.openxmlformats.org/markup-compatibility/2006">
          <mc:Choice Requires="x14">
            <control shapeId="944130" r:id="rId5" name="Drop Down 2">
              <controlPr defaultSize="0" autoLine="0" autoPict="0">
                <anchor moveWithCells="1">
                  <from>
                    <xdr:col>9</xdr:col>
                    <xdr:colOff>38100</xdr:colOff>
                    <xdr:row>7</xdr:row>
                    <xdr:rowOff>60960</xdr:rowOff>
                  </from>
                  <to>
                    <xdr:col>10</xdr:col>
                    <xdr:colOff>396240</xdr:colOff>
                    <xdr:row>7</xdr:row>
                    <xdr:rowOff>228600</xdr:rowOff>
                  </to>
                </anchor>
              </controlPr>
            </control>
          </mc:Choice>
        </mc:AlternateContent>
        <mc:AlternateContent xmlns:mc="http://schemas.openxmlformats.org/markup-compatibility/2006">
          <mc:Choice Requires="x14">
            <control shapeId="944131" r:id="rId6" name="Option Button 3">
              <controlPr defaultSize="0" autoFill="0" autoLine="0" autoPict="0">
                <anchor moveWithCells="1">
                  <from>
                    <xdr:col>9</xdr:col>
                    <xdr:colOff>160020</xdr:colOff>
                    <xdr:row>5</xdr:row>
                    <xdr:rowOff>175260</xdr:rowOff>
                  </from>
                  <to>
                    <xdr:col>10</xdr:col>
                    <xdr:colOff>259080</xdr:colOff>
                    <xdr:row>7</xdr:row>
                    <xdr:rowOff>0</xdr:rowOff>
                  </to>
                </anchor>
              </controlPr>
            </control>
          </mc:Choice>
        </mc:AlternateContent>
        <mc:AlternateContent xmlns:mc="http://schemas.openxmlformats.org/markup-compatibility/2006">
          <mc:Choice Requires="x14">
            <control shapeId="944132" r:id="rId7" name="Option Button 4">
              <controlPr defaultSize="0" autoFill="0" autoLine="0" autoPict="0">
                <anchor moveWithCells="1">
                  <from>
                    <xdr:col>11</xdr:col>
                    <xdr:colOff>373380</xdr:colOff>
                    <xdr:row>5</xdr:row>
                    <xdr:rowOff>175260</xdr:rowOff>
                  </from>
                  <to>
                    <xdr:col>13</xdr:col>
                    <xdr:colOff>464820</xdr:colOff>
                    <xdr:row>7</xdr:row>
                    <xdr:rowOff>0</xdr:rowOff>
                  </to>
                </anchor>
              </controlPr>
            </control>
          </mc:Choice>
        </mc:AlternateContent>
        <mc:AlternateContent xmlns:mc="http://schemas.openxmlformats.org/markup-compatibility/2006">
          <mc:Choice Requires="x14">
            <control shapeId="944139" r:id="rId8" name="Option Button 11">
              <controlPr defaultSize="0" autoFill="0" autoLine="0" autoPict="0">
                <anchor moveWithCells="1">
                  <from>
                    <xdr:col>12</xdr:col>
                    <xdr:colOff>60960</xdr:colOff>
                    <xdr:row>7</xdr:row>
                    <xdr:rowOff>68580</xdr:rowOff>
                  </from>
                  <to>
                    <xdr:col>12</xdr:col>
                    <xdr:colOff>518160</xdr:colOff>
                    <xdr:row>7</xdr:row>
                    <xdr:rowOff>213360</xdr:rowOff>
                  </to>
                </anchor>
              </controlPr>
            </control>
          </mc:Choice>
        </mc:AlternateContent>
        <mc:AlternateContent xmlns:mc="http://schemas.openxmlformats.org/markup-compatibility/2006">
          <mc:Choice Requires="x14">
            <control shapeId="944140" r:id="rId9" name="Option Button 12">
              <controlPr defaultSize="0" autoFill="0" autoLine="0" autoPict="0">
                <anchor moveWithCells="1">
                  <from>
                    <xdr:col>13</xdr:col>
                    <xdr:colOff>60960</xdr:colOff>
                    <xdr:row>7</xdr:row>
                    <xdr:rowOff>60960</xdr:rowOff>
                  </from>
                  <to>
                    <xdr:col>13</xdr:col>
                    <xdr:colOff>525780</xdr:colOff>
                    <xdr:row>7</xdr:row>
                    <xdr:rowOff>220980</xdr:rowOff>
                  </to>
                </anchor>
              </controlPr>
            </control>
          </mc:Choice>
        </mc:AlternateContent>
        <mc:AlternateContent xmlns:mc="http://schemas.openxmlformats.org/markup-compatibility/2006">
          <mc:Choice Requires="x14">
            <control shapeId="944141" r:id="rId10" name="Group Box 13">
              <controlPr defaultSize="0" autoFill="0" autoPict="0">
                <anchor moveWithCells="1">
                  <from>
                    <xdr:col>8</xdr:col>
                    <xdr:colOff>358140</xdr:colOff>
                    <xdr:row>5</xdr:row>
                    <xdr:rowOff>121920</xdr:rowOff>
                  </from>
                  <to>
                    <xdr:col>14</xdr:col>
                    <xdr:colOff>22860</xdr:colOff>
                    <xdr:row>7</xdr:row>
                    <xdr:rowOff>7620</xdr:rowOff>
                  </to>
                </anchor>
              </controlPr>
            </control>
          </mc:Choice>
        </mc:AlternateContent>
        <mc:AlternateContent xmlns:mc="http://schemas.openxmlformats.org/markup-compatibility/2006">
          <mc:Choice Requires="x14">
            <control shapeId="944142" r:id="rId11" name="Group Box 14">
              <controlPr defaultSize="0" autoFill="0" autoPict="0">
                <anchor moveWithCells="1">
                  <from>
                    <xdr:col>11</xdr:col>
                    <xdr:colOff>624840</xdr:colOff>
                    <xdr:row>7</xdr:row>
                    <xdr:rowOff>15240</xdr:rowOff>
                  </from>
                  <to>
                    <xdr:col>14</xdr:col>
                    <xdr:colOff>22860</xdr:colOff>
                    <xdr:row>8</xdr:row>
                    <xdr:rowOff>0</xdr:rowOff>
                  </to>
                </anchor>
              </controlPr>
            </control>
          </mc:Choice>
        </mc:AlternateContent>
        <mc:AlternateContent xmlns:mc="http://schemas.openxmlformats.org/markup-compatibility/2006">
          <mc:Choice Requires="x14">
            <control shapeId="944150" r:id="rId12" name="Check Box 22">
              <controlPr defaultSize="0" autoFill="0" autoLine="0" autoPict="0">
                <anchor moveWithCells="1">
                  <from>
                    <xdr:col>11</xdr:col>
                    <xdr:colOff>83820</xdr:colOff>
                    <xdr:row>18</xdr:row>
                    <xdr:rowOff>68580</xdr:rowOff>
                  </from>
                  <to>
                    <xdr:col>11</xdr:col>
                    <xdr:colOff>304800</xdr:colOff>
                    <xdr:row>20</xdr:row>
                    <xdr:rowOff>7620</xdr:rowOff>
                  </to>
                </anchor>
              </controlPr>
            </control>
          </mc:Choice>
        </mc:AlternateContent>
        <mc:AlternateContent xmlns:mc="http://schemas.openxmlformats.org/markup-compatibility/2006">
          <mc:Choice Requires="x14">
            <control shapeId="944151" r:id="rId13" name="Check Box 23">
              <controlPr defaultSize="0" autoFill="0" autoLine="0" autoPict="0">
                <anchor moveWithCells="1">
                  <from>
                    <xdr:col>12</xdr:col>
                    <xdr:colOff>91440</xdr:colOff>
                    <xdr:row>44</xdr:row>
                    <xdr:rowOff>137160</xdr:rowOff>
                  </from>
                  <to>
                    <xdr:col>12</xdr:col>
                    <xdr:colOff>312420</xdr:colOff>
                    <xdr:row>47</xdr:row>
                    <xdr:rowOff>7620</xdr:rowOff>
                  </to>
                </anchor>
              </controlPr>
            </control>
          </mc:Choice>
        </mc:AlternateContent>
        <mc:AlternateContent xmlns:mc="http://schemas.openxmlformats.org/markup-compatibility/2006">
          <mc:Choice Requires="x14">
            <control shapeId="944152" r:id="rId14" name="Button 24">
              <controlPr defaultSize="0" print="0" autoFill="0" autoPict="0" macro="[0]!IW_Copy">
                <anchor moveWithCells="1" sizeWithCells="1">
                  <from>
                    <xdr:col>0</xdr:col>
                    <xdr:colOff>487680</xdr:colOff>
                    <xdr:row>0</xdr:row>
                    <xdr:rowOff>7620</xdr:rowOff>
                  </from>
                  <to>
                    <xdr:col>2</xdr:col>
                    <xdr:colOff>99060</xdr:colOff>
                    <xdr:row>1</xdr:row>
                    <xdr:rowOff>114300</xdr:rowOff>
                  </to>
                </anchor>
              </controlPr>
            </control>
          </mc:Choice>
        </mc:AlternateContent>
        <mc:AlternateContent xmlns:mc="http://schemas.openxmlformats.org/markup-compatibility/2006">
          <mc:Choice Requires="x14">
            <control shapeId="944153" r:id="rId15" name="Button 25">
              <controlPr defaultSize="0" print="0" autoFill="0" autoPict="0" macro="[0]!IW_Home">
                <anchor moveWithCells="1" sizeWithCells="1">
                  <from>
                    <xdr:col>0</xdr:col>
                    <xdr:colOff>0</xdr:colOff>
                    <xdr:row>0</xdr:row>
                    <xdr:rowOff>7620</xdr:rowOff>
                  </from>
                  <to>
                    <xdr:col>0</xdr:col>
                    <xdr:colOff>434340</xdr:colOff>
                    <xdr:row>1</xdr:row>
                    <xdr:rowOff>114300</xdr:rowOff>
                  </to>
                </anchor>
              </controlPr>
            </control>
          </mc:Choice>
        </mc:AlternateContent>
        <mc:AlternateContent xmlns:mc="http://schemas.openxmlformats.org/markup-compatibility/2006">
          <mc:Choice Requires="x14">
            <control shapeId="944154" r:id="rId16" name="Button 26">
              <controlPr defaultSize="0" print="0" autoFill="0" autoPict="0" macro="[0]!OwnerMulti_Clear">
                <anchor moveWithCells="1" sizeWithCells="1">
                  <from>
                    <xdr:col>2</xdr:col>
                    <xdr:colOff>152400</xdr:colOff>
                    <xdr:row>0</xdr:row>
                    <xdr:rowOff>7620</xdr:rowOff>
                  </from>
                  <to>
                    <xdr:col>3</xdr:col>
                    <xdr:colOff>106680</xdr:colOff>
                    <xdr:row>1</xdr:row>
                    <xdr:rowOff>114300</xdr:rowOff>
                  </to>
                </anchor>
              </controlPr>
            </control>
          </mc:Choice>
        </mc:AlternateContent>
        <mc:AlternateContent xmlns:mc="http://schemas.openxmlformats.org/markup-compatibility/2006">
          <mc:Choice Requires="x14">
            <control shapeId="944155" r:id="rId17" name="Button 27">
              <controlPr defaultSize="0" print="0" autoFill="0" autoPict="0" macro="[0]!OwnerMulti_OmitHide">
                <anchor moveWithCells="1" sizeWithCells="1">
                  <from>
                    <xdr:col>0</xdr:col>
                    <xdr:colOff>7620</xdr:colOff>
                    <xdr:row>1</xdr:row>
                    <xdr:rowOff>167640</xdr:rowOff>
                  </from>
                  <to>
                    <xdr:col>2</xdr:col>
                    <xdr:colOff>7620</xdr:colOff>
                    <xdr:row>2</xdr:row>
                    <xdr:rowOff>7620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8">
    <tabColor rgb="FF92D050"/>
  </sheetPr>
  <dimension ref="A1:Q113"/>
  <sheetViews>
    <sheetView showGridLines="0" showRowColHeaders="0" showRuler="0" view="pageLayout" zoomScale="90" zoomScaleNormal="100" zoomScalePageLayoutView="90" workbookViewId="0">
      <selection activeCell="D5" sqref="D5:H5"/>
    </sheetView>
  </sheetViews>
  <sheetFormatPr defaultColWidth="9.109375" defaultRowHeight="14.4" x14ac:dyDescent="0.3"/>
  <cols>
    <col min="1" max="1" width="4.88671875" style="15" customWidth="1"/>
    <col min="2" max="2" width="3.33203125" customWidth="1"/>
    <col min="3" max="3" width="5.44140625" customWidth="1"/>
    <col min="4" max="4" width="11.44140625" customWidth="1"/>
    <col min="5" max="5" width="7" customWidth="1"/>
    <col min="6" max="6" width="10.5546875" customWidth="1"/>
    <col min="7" max="7" width="7.88671875" customWidth="1"/>
    <col min="8" max="9" width="5.44140625" customWidth="1"/>
    <col min="10" max="10" width="8.5546875" customWidth="1"/>
    <col min="11" max="11" width="8.109375" customWidth="1"/>
    <col min="12" max="12" width="9.109375" customWidth="1"/>
    <col min="13" max="13" width="8.6640625" customWidth="1"/>
    <col min="14" max="14" width="8.109375" customWidth="1"/>
    <col min="15" max="15" width="1.6640625" customWidth="1"/>
    <col min="16" max="17" width="0" hidden="1" customWidth="1"/>
  </cols>
  <sheetData>
    <row r="1" spans="1:17" x14ac:dyDescent="0.3">
      <c r="E1" s="1801" t="str">
        <f>IF(OR('I&amp;D Worksheet'!J8="Conventional"),CONCATENATE("This worksheet is not applicable for the selected Loan Type (",'I&amp;D Worksheet'!J8,")"),"")</f>
        <v/>
      </c>
      <c r="F1" s="1801"/>
      <c r="G1" s="1801"/>
      <c r="H1" s="1801"/>
      <c r="I1" s="1801"/>
      <c r="J1" s="1801"/>
      <c r="K1" s="1801"/>
      <c r="M1" s="1509">
        <f>'I&amp;D Worksheet'!J8</f>
        <v>0</v>
      </c>
      <c r="N1" s="1509"/>
    </row>
    <row r="2" spans="1:17" ht="36" customHeight="1" x14ac:dyDescent="0.5">
      <c r="A2" s="1321" t="s">
        <v>597</v>
      </c>
      <c r="B2" s="1321"/>
      <c r="C2" s="1321"/>
      <c r="D2" s="1321"/>
      <c r="E2" s="1321"/>
      <c r="F2" s="1321"/>
      <c r="G2" s="1321"/>
      <c r="H2" s="1321"/>
      <c r="I2" s="1321"/>
      <c r="J2" s="1321"/>
      <c r="K2" s="1321"/>
      <c r="L2" s="1321"/>
      <c r="M2" s="1321"/>
      <c r="N2" s="1321"/>
      <c r="P2" s="364" t="s">
        <v>598</v>
      </c>
      <c r="Q2">
        <v>1</v>
      </c>
    </row>
    <row r="3" spans="1:17" ht="23.4" x14ac:dyDescent="0.45">
      <c r="A3" s="1409"/>
      <c r="B3" s="1409"/>
      <c r="C3" s="1409"/>
      <c r="D3" s="1409"/>
      <c r="E3" s="1409"/>
      <c r="F3" s="1409"/>
      <c r="G3" s="1409"/>
      <c r="H3" s="1409"/>
      <c r="I3" s="1409"/>
      <c r="J3" s="1409"/>
      <c r="K3" s="1409"/>
      <c r="L3" s="1409"/>
      <c r="M3" s="1409"/>
      <c r="N3" s="1409"/>
      <c r="P3" s="364" t="s">
        <v>599</v>
      </c>
      <c r="Q3">
        <v>2</v>
      </c>
    </row>
    <row r="4" spans="1:17" ht="15.6" customHeight="1" x14ac:dyDescent="0.3">
      <c r="A4"/>
      <c r="J4" s="2380" t="str">
        <f>IF(M1="VA","*Note - Social security and Medicare deductions must be doubled from calculated figures on Schedule C and 1065 businesses to account for IRS requirements.","")</f>
        <v/>
      </c>
      <c r="K4" s="2380"/>
      <c r="L4" s="2380"/>
      <c r="M4" s="2380"/>
      <c r="N4" s="2380"/>
      <c r="P4" s="364" t="s">
        <v>600</v>
      </c>
      <c r="Q4">
        <v>3</v>
      </c>
    </row>
    <row r="5" spans="1:17" ht="15.75" customHeight="1" x14ac:dyDescent="0.3">
      <c r="A5" s="1407" t="s">
        <v>37</v>
      </c>
      <c r="B5" s="1407"/>
      <c r="C5" s="1407"/>
      <c r="D5" s="1497"/>
      <c r="E5" s="1497"/>
      <c r="F5" s="1497"/>
      <c r="G5" s="1497"/>
      <c r="H5" s="1497"/>
      <c r="I5" s="46"/>
      <c r="J5" s="2380"/>
      <c r="K5" s="2380"/>
      <c r="L5" s="2380"/>
      <c r="M5" s="2380"/>
      <c r="N5" s="2380"/>
      <c r="P5" s="364" t="s">
        <v>601</v>
      </c>
      <c r="Q5">
        <v>4</v>
      </c>
    </row>
    <row r="6" spans="1:17" ht="7.5" customHeight="1" x14ac:dyDescent="0.3">
      <c r="A6" s="4"/>
      <c r="B6" s="4"/>
      <c r="C6" s="4"/>
      <c r="D6" s="91"/>
      <c r="E6" s="91"/>
      <c r="F6" s="91"/>
      <c r="G6" s="91"/>
      <c r="H6" s="91"/>
      <c r="I6" s="2"/>
      <c r="J6" s="2380"/>
      <c r="K6" s="2380"/>
      <c r="L6" s="2380"/>
      <c r="M6" s="2380"/>
      <c r="N6" s="2380"/>
      <c r="P6" s="364" t="s">
        <v>602</v>
      </c>
      <c r="Q6">
        <v>5</v>
      </c>
    </row>
    <row r="7" spans="1:17" ht="15" customHeight="1" x14ac:dyDescent="0.3">
      <c r="A7" s="4"/>
      <c r="B7" s="4"/>
      <c r="C7" s="4"/>
      <c r="D7" s="91"/>
      <c r="E7" s="91"/>
      <c r="F7" s="91"/>
      <c r="G7" s="91"/>
      <c r="H7" s="91"/>
      <c r="I7" s="2"/>
      <c r="J7" s="2380"/>
      <c r="K7" s="2380"/>
      <c r="L7" s="2380"/>
      <c r="M7" s="2380"/>
      <c r="N7" s="2380"/>
      <c r="P7" s="364" t="s">
        <v>603</v>
      </c>
      <c r="Q7">
        <v>6</v>
      </c>
    </row>
    <row r="8" spans="1:17" ht="18" x14ac:dyDescent="0.35">
      <c r="A8" s="2374" t="s">
        <v>604</v>
      </c>
      <c r="B8" s="2374"/>
      <c r="C8" s="2374"/>
      <c r="D8" s="2374"/>
      <c r="E8" s="2374"/>
      <c r="F8" s="2"/>
      <c r="G8" s="2"/>
      <c r="H8" s="2"/>
      <c r="I8" s="2"/>
      <c r="J8" s="2173"/>
      <c r="K8" s="2173"/>
      <c r="L8" s="2"/>
      <c r="M8" s="1987"/>
      <c r="N8" s="1987"/>
      <c r="P8" s="364" t="s">
        <v>605</v>
      </c>
      <c r="Q8" s="15" t="s">
        <v>606</v>
      </c>
    </row>
    <row r="9" spans="1:17" ht="16.2" thickBot="1" x14ac:dyDescent="0.35">
      <c r="A9" s="4" t="s">
        <v>142</v>
      </c>
      <c r="B9" s="1701" t="s">
        <v>607</v>
      </c>
      <c r="C9" s="1701"/>
      <c r="D9" s="1701"/>
      <c r="E9" s="1701"/>
      <c r="F9" s="1701"/>
      <c r="G9" s="1701"/>
      <c r="H9" s="1701"/>
      <c r="I9" s="3"/>
      <c r="J9" s="2005"/>
      <c r="K9" s="2005"/>
      <c r="L9" s="3"/>
      <c r="M9" s="2371"/>
      <c r="N9" s="2371"/>
      <c r="O9" s="3"/>
      <c r="P9" s="364" t="s">
        <v>608</v>
      </c>
    </row>
    <row r="10" spans="1:17" ht="8.25" customHeight="1" thickTop="1" x14ac:dyDescent="0.3">
      <c r="A10" s="4"/>
      <c r="B10" s="2"/>
      <c r="C10" s="1701"/>
      <c r="D10" s="1701"/>
      <c r="E10" s="1701"/>
      <c r="F10" s="1701"/>
      <c r="G10" s="1701"/>
      <c r="H10" s="2"/>
      <c r="I10" s="3"/>
      <c r="J10" s="2005"/>
      <c r="K10" s="2005"/>
      <c r="L10" s="3"/>
      <c r="M10" s="2379"/>
      <c r="N10" s="2379"/>
      <c r="O10" s="3"/>
      <c r="P10" s="364" t="s">
        <v>609</v>
      </c>
    </row>
    <row r="11" spans="1:17" ht="16.2" thickBot="1" x14ac:dyDescent="0.35">
      <c r="A11" s="4" t="s">
        <v>143</v>
      </c>
      <c r="B11" s="1701" t="s">
        <v>610</v>
      </c>
      <c r="C11" s="1701"/>
      <c r="D11" s="1701"/>
      <c r="E11" s="1701"/>
      <c r="F11" s="1701"/>
      <c r="G11" s="1701"/>
      <c r="H11" s="1701"/>
      <c r="I11" s="3"/>
      <c r="J11" s="2005"/>
      <c r="K11" s="2005"/>
      <c r="L11" s="58" t="s">
        <v>611</v>
      </c>
      <c r="M11" s="2371"/>
      <c r="N11" s="2371"/>
      <c r="O11" s="3" t="s">
        <v>13</v>
      </c>
      <c r="P11" s="364" t="s">
        <v>612</v>
      </c>
    </row>
    <row r="12" spans="1:17" ht="8.25" customHeight="1" thickTop="1" x14ac:dyDescent="0.3">
      <c r="A12" s="4"/>
      <c r="B12" s="2"/>
      <c r="C12" s="2"/>
      <c r="D12" s="2"/>
      <c r="E12" s="2"/>
      <c r="F12" s="2"/>
      <c r="G12" s="2"/>
      <c r="H12" s="2"/>
      <c r="I12" s="3"/>
      <c r="J12" s="2005"/>
      <c r="K12" s="2005"/>
      <c r="L12" s="3"/>
      <c r="M12" s="2005"/>
      <c r="N12" s="2005"/>
      <c r="O12" s="3"/>
      <c r="P12" s="364" t="s">
        <v>613</v>
      </c>
    </row>
    <row r="13" spans="1:17" ht="15.6" x14ac:dyDescent="0.3">
      <c r="A13" s="4" t="s">
        <v>145</v>
      </c>
      <c r="B13" s="1701" t="s">
        <v>614</v>
      </c>
      <c r="C13" s="1701"/>
      <c r="D13" s="1701"/>
      <c r="E13" s="1701"/>
      <c r="F13" s="1701"/>
      <c r="G13" s="1701"/>
      <c r="H13" s="2"/>
      <c r="I13" s="3"/>
      <c r="J13" s="2379"/>
      <c r="K13" s="2379"/>
      <c r="L13" s="3"/>
      <c r="M13" s="2005"/>
      <c r="N13" s="2005"/>
      <c r="O13" s="3"/>
      <c r="P13" s="364" t="s">
        <v>615</v>
      </c>
    </row>
    <row r="14" spans="1:17" ht="15.6" x14ac:dyDescent="0.3">
      <c r="A14" s="4"/>
      <c r="B14" s="15" t="s">
        <v>616</v>
      </c>
      <c r="C14" s="1791" t="s">
        <v>617</v>
      </c>
      <c r="D14" s="1791"/>
      <c r="E14" s="1791"/>
      <c r="F14" s="1791"/>
      <c r="G14" s="1791"/>
      <c r="H14" s="1791"/>
      <c r="I14" s="3"/>
      <c r="J14" s="1957"/>
      <c r="K14" s="1957"/>
      <c r="L14" s="3"/>
      <c r="M14" s="2005"/>
      <c r="N14" s="2005"/>
      <c r="O14" s="3"/>
      <c r="P14" s="364" t="s">
        <v>618</v>
      </c>
    </row>
    <row r="15" spans="1:17" ht="15.6" x14ac:dyDescent="0.3">
      <c r="A15" s="4"/>
      <c r="B15" s="15" t="s">
        <v>619</v>
      </c>
      <c r="C15" s="1791" t="s">
        <v>620</v>
      </c>
      <c r="D15" s="1791"/>
      <c r="E15" s="1791"/>
      <c r="F15" s="1791"/>
      <c r="G15" s="1791"/>
      <c r="H15" s="1791"/>
      <c r="I15" s="3"/>
      <c r="J15" s="1957"/>
      <c r="K15" s="1957"/>
      <c r="L15" s="3"/>
      <c r="M15" s="11"/>
      <c r="N15" s="11"/>
      <c r="O15" s="3"/>
      <c r="P15" s="364" t="s">
        <v>621</v>
      </c>
    </row>
    <row r="16" spans="1:17" ht="15.6" x14ac:dyDescent="0.3">
      <c r="A16" s="4"/>
      <c r="B16" s="15" t="s">
        <v>622</v>
      </c>
      <c r="C16" s="1791" t="s">
        <v>623</v>
      </c>
      <c r="D16" s="1791"/>
      <c r="E16" s="1791"/>
      <c r="F16" s="1791"/>
      <c r="G16" s="1791"/>
      <c r="H16" s="1791"/>
      <c r="I16" s="3"/>
      <c r="J16" s="1957"/>
      <c r="K16" s="1957"/>
      <c r="L16" s="3"/>
      <c r="M16" s="11"/>
      <c r="N16" s="11"/>
      <c r="O16" s="3"/>
      <c r="P16" s="364" t="s">
        <v>624</v>
      </c>
    </row>
    <row r="17" spans="1:16" ht="16.2" thickBot="1" x14ac:dyDescent="0.35">
      <c r="A17" s="4"/>
      <c r="B17" s="1903" t="s">
        <v>625</v>
      </c>
      <c r="C17" s="1903"/>
      <c r="D17" s="1903"/>
      <c r="E17" s="1903"/>
      <c r="F17" s="1903"/>
      <c r="G17" s="1903"/>
      <c r="H17" s="1903"/>
      <c r="I17" s="2"/>
      <c r="J17" s="2378"/>
      <c r="K17" s="2378"/>
      <c r="L17" s="58" t="s">
        <v>611</v>
      </c>
      <c r="M17" s="2375">
        <f>J14+J15+J16</f>
        <v>0</v>
      </c>
      <c r="N17" s="2375"/>
      <c r="O17" s="3" t="s">
        <v>13</v>
      </c>
      <c r="P17" s="364" t="s">
        <v>626</v>
      </c>
    </row>
    <row r="18" spans="1:16" ht="8.25" customHeight="1" thickTop="1" x14ac:dyDescent="0.3">
      <c r="A18" s="4"/>
      <c r="B18" s="1701"/>
      <c r="C18" s="1701"/>
      <c r="D18" s="1701"/>
      <c r="E18" s="1701"/>
      <c r="F18" s="1701"/>
      <c r="G18" s="1701"/>
      <c r="H18" s="1701"/>
      <c r="I18" s="2"/>
      <c r="J18" s="2054"/>
      <c r="K18" s="2054"/>
      <c r="L18" s="2"/>
      <c r="M18" s="2054"/>
      <c r="N18" s="2054"/>
      <c r="P18" s="364" t="s">
        <v>627</v>
      </c>
    </row>
    <row r="19" spans="1:16" ht="15.6" x14ac:dyDescent="0.3">
      <c r="A19" s="4" t="s">
        <v>146</v>
      </c>
      <c r="B19" s="1701" t="s">
        <v>628</v>
      </c>
      <c r="C19" s="1701"/>
      <c r="D19" s="1701"/>
      <c r="E19" s="1701"/>
      <c r="F19" s="1701"/>
      <c r="G19" s="1701"/>
      <c r="H19" s="1701"/>
      <c r="I19" s="2"/>
      <c r="J19" s="2377"/>
      <c r="K19" s="2377"/>
      <c r="L19" s="2"/>
      <c r="M19" s="2377"/>
      <c r="N19" s="2377"/>
      <c r="P19" s="364" t="s">
        <v>629</v>
      </c>
    </row>
    <row r="20" spans="1:16" ht="15.6" x14ac:dyDescent="0.3">
      <c r="A20" s="4"/>
      <c r="B20" s="15" t="s">
        <v>616</v>
      </c>
      <c r="C20" s="1791" t="s">
        <v>630</v>
      </c>
      <c r="D20" s="1791"/>
      <c r="E20" s="1791"/>
      <c r="F20" s="1791"/>
      <c r="G20" s="1791"/>
      <c r="H20" s="1791"/>
      <c r="I20" s="2"/>
      <c r="J20" s="1985"/>
      <c r="K20" s="1985"/>
      <c r="L20" s="216"/>
      <c r="M20" s="2005"/>
      <c r="N20" s="2005"/>
      <c r="O20" s="36"/>
      <c r="P20" s="364" t="s">
        <v>631</v>
      </c>
    </row>
    <row r="21" spans="1:16" ht="15.6" x14ac:dyDescent="0.3">
      <c r="A21" s="4"/>
      <c r="B21" s="15" t="s">
        <v>619</v>
      </c>
      <c r="C21" s="1791" t="s">
        <v>632</v>
      </c>
      <c r="D21" s="1791"/>
      <c r="E21" s="1791"/>
      <c r="F21" s="1791"/>
      <c r="G21" s="1791"/>
      <c r="H21" s="1791"/>
      <c r="J21" s="1957"/>
      <c r="K21" s="1957"/>
      <c r="M21" s="2005"/>
      <c r="N21" s="2005"/>
      <c r="P21" s="364" t="s">
        <v>633</v>
      </c>
    </row>
    <row r="22" spans="1:16" ht="15.6" x14ac:dyDescent="0.3">
      <c r="A22" s="4"/>
      <c r="B22" s="15" t="s">
        <v>622</v>
      </c>
      <c r="C22" s="1791" t="s">
        <v>634</v>
      </c>
      <c r="D22" s="1791"/>
      <c r="E22" s="1791"/>
      <c r="F22" s="1791"/>
      <c r="G22" s="1791"/>
      <c r="H22" s="1791"/>
      <c r="I22" s="3"/>
      <c r="J22" s="1957"/>
      <c r="K22" s="1957"/>
      <c r="L22" s="3"/>
      <c r="M22" s="2376"/>
      <c r="N22" s="2376"/>
      <c r="O22" s="3"/>
      <c r="P22" s="364" t="s">
        <v>635</v>
      </c>
    </row>
    <row r="23" spans="1:16" ht="15.6" x14ac:dyDescent="0.3">
      <c r="A23" s="4"/>
      <c r="B23" s="15" t="s">
        <v>636</v>
      </c>
      <c r="C23" s="1791" t="s">
        <v>637</v>
      </c>
      <c r="D23" s="1791"/>
      <c r="E23" s="1791"/>
      <c r="F23" s="1791"/>
      <c r="G23" s="1791"/>
      <c r="H23" s="1791"/>
      <c r="I23" s="3"/>
      <c r="J23" s="1957"/>
      <c r="K23" s="1957"/>
      <c r="L23" s="3"/>
      <c r="M23" s="25"/>
      <c r="N23" s="25"/>
      <c r="O23" s="3"/>
      <c r="P23" s="364" t="s">
        <v>638</v>
      </c>
    </row>
    <row r="24" spans="1:16" ht="15.6" x14ac:dyDescent="0.3">
      <c r="A24" s="4"/>
      <c r="B24" s="15" t="s">
        <v>639</v>
      </c>
      <c r="C24" s="1791" t="s">
        <v>640</v>
      </c>
      <c r="D24" s="1791"/>
      <c r="E24" s="1791"/>
      <c r="F24" s="1791"/>
      <c r="G24" s="1791"/>
      <c r="H24" s="1791"/>
      <c r="I24" s="186"/>
      <c r="J24" s="1957"/>
      <c r="K24" s="1957"/>
      <c r="L24" s="360"/>
      <c r="M24" s="360"/>
      <c r="N24" s="25"/>
      <c r="O24" s="3"/>
      <c r="P24" s="364" t="s">
        <v>641</v>
      </c>
    </row>
    <row r="25" spans="1:16" ht="15.6" x14ac:dyDescent="0.3">
      <c r="A25" s="4"/>
      <c r="B25" s="15" t="s">
        <v>642</v>
      </c>
      <c r="C25" s="1791" t="s">
        <v>643</v>
      </c>
      <c r="D25" s="1791"/>
      <c r="E25" s="1791"/>
      <c r="F25" s="1791"/>
      <c r="G25" s="1791"/>
      <c r="H25" s="1791"/>
      <c r="I25" s="2"/>
      <c r="J25" s="1957"/>
      <c r="K25" s="1957"/>
      <c r="L25" s="2"/>
      <c r="M25" s="2"/>
      <c r="N25" s="2"/>
      <c r="P25" s="364" t="s">
        <v>644</v>
      </c>
    </row>
    <row r="26" spans="1:16" ht="16.2" thickBot="1" x14ac:dyDescent="0.35">
      <c r="A26" s="4"/>
      <c r="B26" s="1903" t="s">
        <v>645</v>
      </c>
      <c r="C26" s="1903"/>
      <c r="D26" s="1903"/>
      <c r="E26" s="1903"/>
      <c r="F26" s="1903"/>
      <c r="G26" s="1903"/>
      <c r="H26" s="1903"/>
      <c r="I26" s="3"/>
      <c r="J26" s="2"/>
      <c r="K26" s="5"/>
      <c r="L26" s="58" t="s">
        <v>611</v>
      </c>
      <c r="M26" s="2375">
        <f>J20+J21+J22+J23+J24+J25</f>
        <v>0</v>
      </c>
      <c r="N26" s="2375"/>
      <c r="O26" s="3" t="s">
        <v>13</v>
      </c>
      <c r="P26" s="364" t="s">
        <v>646</v>
      </c>
    </row>
    <row r="27" spans="1:16" ht="8.25" customHeight="1" thickTop="1" x14ac:dyDescent="0.3">
      <c r="A27" s="4"/>
      <c r="B27" s="2"/>
      <c r="C27" s="2"/>
      <c r="D27" s="2"/>
      <c r="E27" s="2"/>
      <c r="F27" s="12"/>
      <c r="G27" s="2"/>
      <c r="H27" s="2"/>
      <c r="I27" s="2"/>
      <c r="J27" s="2"/>
      <c r="K27" s="6"/>
      <c r="L27" s="1351"/>
      <c r="M27" s="1351"/>
      <c r="N27" s="2"/>
      <c r="P27" s="364" t="s">
        <v>647</v>
      </c>
    </row>
    <row r="28" spans="1:16" ht="15.6" x14ac:dyDescent="0.3">
      <c r="A28" s="4" t="s">
        <v>147</v>
      </c>
      <c r="B28" s="1701" t="s">
        <v>648</v>
      </c>
      <c r="C28" s="1701"/>
      <c r="D28" s="1701"/>
      <c r="E28" s="1701"/>
      <c r="F28" s="1701"/>
      <c r="G28" s="1701"/>
      <c r="H28" s="1701"/>
      <c r="I28" s="2"/>
      <c r="J28" s="2"/>
      <c r="K28" s="6"/>
      <c r="L28" s="14"/>
      <c r="M28" s="14"/>
      <c r="N28" s="2"/>
      <c r="P28" s="364" t="s">
        <v>649</v>
      </c>
    </row>
    <row r="29" spans="1:16" ht="8.25" customHeight="1" x14ac:dyDescent="0.3">
      <c r="A29" s="4"/>
      <c r="B29" s="2"/>
      <c r="C29" s="2"/>
      <c r="D29" s="2"/>
      <c r="E29" s="2"/>
      <c r="F29" s="12"/>
      <c r="G29" s="2"/>
      <c r="H29" s="2"/>
      <c r="I29" s="2"/>
      <c r="J29" s="2"/>
      <c r="K29" s="6"/>
      <c r="L29" s="14"/>
      <c r="M29" s="14"/>
      <c r="N29" s="2"/>
      <c r="P29" s="364" t="s">
        <v>650</v>
      </c>
    </row>
    <row r="30" spans="1:16" ht="16.2" thickBot="1" x14ac:dyDescent="0.35">
      <c r="A30" s="4"/>
      <c r="B30" s="2"/>
      <c r="C30" s="1859" t="s">
        <v>651</v>
      </c>
      <c r="D30" s="1859"/>
      <c r="E30" s="1859"/>
      <c r="F30" s="365"/>
      <c r="G30" s="366" t="s">
        <v>652</v>
      </c>
      <c r="H30" s="358" t="s">
        <v>179</v>
      </c>
      <c r="I30" s="2"/>
      <c r="J30" s="2"/>
      <c r="K30" s="6"/>
      <c r="L30" s="58" t="s">
        <v>611</v>
      </c>
      <c r="M30" s="2375">
        <f>F30*0.14</f>
        <v>0</v>
      </c>
      <c r="N30" s="2375"/>
      <c r="O30" s="3" t="s">
        <v>13</v>
      </c>
      <c r="P30" s="364" t="s">
        <v>653</v>
      </c>
    </row>
    <row r="31" spans="1:16" ht="8.25" customHeight="1" thickTop="1" x14ac:dyDescent="0.3">
      <c r="A31" s="4"/>
      <c r="B31" s="2"/>
      <c r="C31" s="2"/>
      <c r="D31" s="2"/>
      <c r="E31" s="2"/>
      <c r="F31" s="12"/>
      <c r="G31" s="2"/>
      <c r="H31" s="2"/>
      <c r="I31" s="2"/>
      <c r="J31" s="2"/>
      <c r="K31" s="6"/>
      <c r="L31" s="14"/>
      <c r="M31" s="14"/>
      <c r="N31" s="2"/>
      <c r="P31" s="364" t="s">
        <v>654</v>
      </c>
    </row>
    <row r="32" spans="1:16" ht="16.2" thickBot="1" x14ac:dyDescent="0.35">
      <c r="A32" s="4" t="s">
        <v>148</v>
      </c>
      <c r="B32" s="1701" t="s">
        <v>874</v>
      </c>
      <c r="C32" s="1701"/>
      <c r="D32" s="1701"/>
      <c r="E32" s="1701"/>
      <c r="F32" s="1701"/>
      <c r="G32" s="1701"/>
      <c r="H32" s="1701"/>
      <c r="I32" s="1701"/>
      <c r="J32" s="1701"/>
      <c r="K32" s="1701"/>
      <c r="L32" s="58" t="s">
        <v>611</v>
      </c>
      <c r="M32" s="2371"/>
      <c r="N32" s="2371"/>
      <c r="O32" s="3" t="s">
        <v>13</v>
      </c>
      <c r="P32" s="364" t="s">
        <v>655</v>
      </c>
    </row>
    <row r="33" spans="1:16" ht="16.8" thickTop="1" thickBot="1" x14ac:dyDescent="0.35">
      <c r="A33" s="4"/>
      <c r="B33" s="2"/>
      <c r="C33" s="2"/>
      <c r="D33" s="2"/>
      <c r="E33" s="2"/>
      <c r="F33" s="12"/>
      <c r="G33" s="2"/>
      <c r="H33" s="2"/>
      <c r="I33" s="2"/>
      <c r="J33" s="2"/>
      <c r="K33" s="6"/>
      <c r="L33" s="14"/>
      <c r="M33" s="367"/>
      <c r="N33" s="368"/>
      <c r="P33" s="364" t="s">
        <v>656</v>
      </c>
    </row>
    <row r="34" spans="1:16" ht="17.25" customHeight="1" thickBot="1" x14ac:dyDescent="0.35">
      <c r="A34" s="4"/>
      <c r="B34" s="2367" t="s">
        <v>657</v>
      </c>
      <c r="C34" s="2367"/>
      <c r="D34" s="2367"/>
      <c r="E34" s="2367"/>
      <c r="F34" s="2367"/>
      <c r="G34" s="2"/>
      <c r="H34" s="2"/>
      <c r="I34" s="2"/>
      <c r="J34" s="2"/>
      <c r="K34" s="6"/>
      <c r="L34" s="58"/>
      <c r="M34" s="2372">
        <f>M9-M11-M17-M26-M30-M32</f>
        <v>0</v>
      </c>
      <c r="N34" s="2372"/>
      <c r="O34" s="3"/>
      <c r="P34" s="364" t="s">
        <v>658</v>
      </c>
    </row>
    <row r="35" spans="1:16" ht="3" customHeight="1" thickBot="1" x14ac:dyDescent="0.35">
      <c r="A35" s="4"/>
      <c r="B35" s="2"/>
      <c r="C35" s="2"/>
      <c r="D35" s="2"/>
      <c r="E35" s="2"/>
      <c r="F35" s="12"/>
      <c r="G35" s="2"/>
      <c r="H35" s="2"/>
      <c r="I35" s="2"/>
      <c r="J35" s="2"/>
      <c r="K35" s="6"/>
      <c r="L35" s="14"/>
      <c r="M35" s="369"/>
      <c r="N35" s="370"/>
      <c r="P35" s="364" t="s">
        <v>659</v>
      </c>
    </row>
    <row r="36" spans="1:16" ht="15.6" x14ac:dyDescent="0.3">
      <c r="A36" s="4"/>
      <c r="B36" s="2"/>
      <c r="C36" s="2"/>
      <c r="D36" s="2"/>
      <c r="E36" s="2"/>
      <c r="F36" s="12"/>
      <c r="G36" s="2"/>
      <c r="H36" s="2"/>
      <c r="I36" s="2"/>
      <c r="J36" s="2"/>
      <c r="K36" s="6"/>
      <c r="L36" s="14"/>
      <c r="M36" s="2373"/>
      <c r="N36" s="2373"/>
      <c r="P36" s="364" t="s">
        <v>660</v>
      </c>
    </row>
    <row r="37" spans="1:16" ht="15.6" x14ac:dyDescent="0.3">
      <c r="A37" s="4"/>
      <c r="B37" s="2"/>
      <c r="C37" s="2"/>
      <c r="D37" s="2"/>
      <c r="E37" s="2"/>
      <c r="F37" s="12"/>
      <c r="G37" s="2"/>
      <c r="H37" s="2"/>
      <c r="I37" s="2"/>
      <c r="J37" s="2"/>
      <c r="K37" s="6"/>
      <c r="L37" s="14"/>
      <c r="M37" s="14"/>
      <c r="N37" s="2"/>
      <c r="P37" s="364" t="s">
        <v>661</v>
      </c>
    </row>
    <row r="38" spans="1:16" ht="17.399999999999999" x14ac:dyDescent="0.35">
      <c r="A38" s="2374" t="s">
        <v>662</v>
      </c>
      <c r="B38" s="2374"/>
      <c r="C38" s="2374"/>
      <c r="D38" s="2374"/>
      <c r="E38" s="2374"/>
      <c r="F38" s="12"/>
      <c r="G38" s="2"/>
      <c r="H38" s="2"/>
      <c r="I38" s="2"/>
      <c r="J38" s="16"/>
      <c r="K38" s="371"/>
      <c r="L38" s="14"/>
      <c r="M38" s="14"/>
      <c r="N38" s="2"/>
      <c r="P38" s="364" t="s">
        <v>663</v>
      </c>
    </row>
    <row r="39" spans="1:16" ht="15.6" x14ac:dyDescent="0.3">
      <c r="A39" s="4" t="s">
        <v>142</v>
      </c>
      <c r="B39" s="1701" t="s">
        <v>664</v>
      </c>
      <c r="C39" s="1701"/>
      <c r="D39" s="1701"/>
      <c r="E39" s="1701"/>
      <c r="F39" s="1701"/>
      <c r="G39" s="1701"/>
      <c r="H39" s="1701"/>
      <c r="I39" s="2"/>
      <c r="J39" s="1957"/>
      <c r="K39" s="1957"/>
      <c r="M39" s="2005"/>
      <c r="N39" s="2005"/>
      <c r="P39" s="364" t="s">
        <v>665</v>
      </c>
    </row>
    <row r="40" spans="1:16" ht="8.25" customHeight="1" x14ac:dyDescent="0.3">
      <c r="A40" s="4"/>
      <c r="B40" s="2"/>
      <c r="C40" s="2"/>
      <c r="D40" s="2"/>
      <c r="E40" s="2"/>
      <c r="F40" s="2"/>
      <c r="G40" s="2"/>
      <c r="H40" s="2"/>
      <c r="I40" s="2"/>
      <c r="J40" s="11"/>
      <c r="K40" s="11"/>
      <c r="L40" s="14"/>
      <c r="M40" s="11"/>
      <c r="N40" s="11"/>
      <c r="P40" s="364" t="s">
        <v>666</v>
      </c>
    </row>
    <row r="41" spans="1:16" ht="15.6" x14ac:dyDescent="0.3">
      <c r="A41" s="4" t="s">
        <v>143</v>
      </c>
      <c r="B41" s="1701" t="s">
        <v>667</v>
      </c>
      <c r="C41" s="1701"/>
      <c r="D41" s="1701"/>
      <c r="E41" s="1701"/>
      <c r="F41" s="1701"/>
      <c r="G41" s="1701"/>
      <c r="H41" s="1701"/>
      <c r="I41" s="2"/>
      <c r="J41" s="1859"/>
      <c r="K41" s="1859"/>
      <c r="M41" s="14"/>
      <c r="N41" s="2"/>
      <c r="P41" s="364" t="s">
        <v>668</v>
      </c>
    </row>
    <row r="42" spans="1:16" ht="8.25" customHeight="1" x14ac:dyDescent="0.3">
      <c r="A42" s="4"/>
      <c r="B42" s="2"/>
      <c r="C42" s="2"/>
      <c r="D42" s="2"/>
      <c r="E42" s="2"/>
      <c r="F42" s="2"/>
      <c r="G42" s="2"/>
      <c r="H42" s="2"/>
      <c r="I42" s="2"/>
      <c r="J42" s="372"/>
      <c r="K42" s="372"/>
      <c r="L42" s="166"/>
      <c r="M42" s="14"/>
      <c r="N42" s="2"/>
      <c r="P42" s="364" t="s">
        <v>669</v>
      </c>
    </row>
    <row r="43" spans="1:16" ht="15.6" x14ac:dyDescent="0.3">
      <c r="A43" s="4" t="s">
        <v>145</v>
      </c>
      <c r="B43" s="1701" t="s">
        <v>670</v>
      </c>
      <c r="C43" s="1701"/>
      <c r="D43" s="1701"/>
      <c r="E43" s="1701"/>
      <c r="F43" s="1701"/>
      <c r="G43" s="1701"/>
      <c r="H43" s="1701"/>
      <c r="I43" s="2"/>
      <c r="J43" s="1859" t="str">
        <f>IF(M67=1,"",IF(OR(M67=8,M67=21,M67=23,M67=31,M67=32,M67=34,M67=40,M67=42,M67=48),"Northeast",IF(OR(M67=15,M67=16,M67=17,M67=18,M67=24,M67=25,M67=27,M67=29,M67=36,M67=37,M67=44,M67=52),"Midwest",IF(OR(M67=2,M67=5,M67=9,M67=10,M67=11,M67=12,M67=19,M67=20,M67=22,M67=26,M67=35,M67=38,M67=41,M67=43,M67=45,M67=46,M67=49,M67=51),"South",IF(OR(M67=3,M67=4,M67=6,M67=7,M67=13,M67=14,M67=28,M67=30,M67=33,M67=39,M67=47,M67=50,M67=53),"West","")))))</f>
        <v/>
      </c>
      <c r="K43" s="1859"/>
      <c r="M43" s="14"/>
      <c r="N43" s="2"/>
      <c r="P43" s="364" t="s">
        <v>671</v>
      </c>
    </row>
    <row r="44" spans="1:16" ht="8.25" customHeight="1" x14ac:dyDescent="0.3">
      <c r="A44" s="4"/>
      <c r="B44" s="2"/>
      <c r="C44" s="2"/>
      <c r="D44" s="2"/>
      <c r="E44" s="2"/>
      <c r="F44" s="2"/>
      <c r="G44" s="2"/>
      <c r="H44" s="2"/>
      <c r="I44" s="2"/>
      <c r="J44" s="372"/>
      <c r="K44" s="372"/>
      <c r="L44" s="166"/>
      <c r="M44" s="14"/>
      <c r="N44" s="2"/>
      <c r="P44" s="364" t="s">
        <v>672</v>
      </c>
    </row>
    <row r="45" spans="1:16" ht="15.6" x14ac:dyDescent="0.3">
      <c r="A45" s="4" t="s">
        <v>146</v>
      </c>
      <c r="B45" s="1701" t="s">
        <v>673</v>
      </c>
      <c r="C45" s="1701"/>
      <c r="D45" s="1701"/>
      <c r="E45" s="1701"/>
      <c r="F45" s="1701"/>
      <c r="G45" s="1701"/>
      <c r="H45" s="1701"/>
      <c r="I45" s="2"/>
      <c r="J45" s="1859"/>
      <c r="K45" s="1859"/>
      <c r="M45" s="14"/>
      <c r="N45" s="2"/>
      <c r="P45" s="364" t="s">
        <v>674</v>
      </c>
    </row>
    <row r="46" spans="1:16" ht="16.2" thickBot="1" x14ac:dyDescent="0.35">
      <c r="A46" s="4"/>
      <c r="B46" s="2"/>
      <c r="C46" s="2"/>
      <c r="D46" s="2"/>
      <c r="E46" s="2"/>
      <c r="F46" s="12"/>
      <c r="G46" s="2"/>
      <c r="H46" s="2"/>
      <c r="I46" s="2"/>
      <c r="J46" s="2"/>
      <c r="K46" s="6"/>
      <c r="L46" s="166"/>
      <c r="M46" s="14"/>
      <c r="N46" s="2"/>
      <c r="P46" s="364" t="s">
        <v>675</v>
      </c>
    </row>
    <row r="47" spans="1:16" ht="18" thickBot="1" x14ac:dyDescent="0.35">
      <c r="A47" s="4"/>
      <c r="B47" s="2367" t="s">
        <v>676</v>
      </c>
      <c r="C47" s="2367"/>
      <c r="D47" s="2367"/>
      <c r="E47" s="2367"/>
      <c r="F47" s="2367"/>
      <c r="G47" s="2"/>
      <c r="H47" s="2"/>
      <c r="I47" s="2"/>
      <c r="J47" s="2"/>
      <c r="K47" s="6"/>
      <c r="L47" s="58"/>
      <c r="M47" s="2368">
        <f>IF(OR(M66=1,M67=1,N66=1,N67=1),0,
IF(AND(M66=2,N66=2,N67=2),390,
IF(AND(M66=2,N66=2,N67=3),654,
IF(AND(M66=2,N66=2,N67=4),788,
IF(AND(M66=2,N66=2,N67=5),888,
IF(AND(M66=2,N66=2,N67=6),921,
IF(AND(M66=2,N66=2,N67=7),921+75,
IF(AND(M66=2,N66=2,N67=8),921+75+75,
IF(AND(M66=2,N66=3,N67=2),382,
IF(AND(M66=2,N66=3,N67=3),641,
IF(AND(M66=2,N66=3,N67=4),772,
IF(AND(M66=2,N66=3,N67=5),868,
IF(AND(M66=2,N66=3,N67=6),902,
IF(AND(M66=2,N66=3,N67=7),902+75,
IF(AND(M66=2,N66=3,N67=8),902+75+75,
IF(AND(M66=2,N66=4,N67=2),382,
IF(AND(M66=2,N66=4,N67=3),641,
IF(AND(M66=2,N66=4,N67=4),772,
IF(AND(M66=2,N66=4,N67=5),868,
IF(AND(M66=2,N66=4,N67=6),902,
IF(AND(M66=2,N66=4,N67=7),902+75,
IF(AND(M66=2,N66=4,N67=8),902+75+75,
IF(AND(M66=2,N66=5,N67=2),425,
IF(AND(M66=2,N66=5,N67=3),713,
IF(AND(M66=2,N66=5,N67=4),859,
IF(AND(M66=2,N66=5,N67=5),967,
IF(AND(M66=2,N66=5,N67=6),1004,
IF(AND(M66=2,N66=5,N67=7),1004+75,
IF(AND(M66=2,N66=5,N67=8),1004+75+75,
IF(AND(M66=3,N66=2,N67=2),450,
IF(AND(M66=3,N66=2,N67=3),755,
IF(AND(M66=3,N66=2,N67=4),909,
IF(AND(M66=3,N66=2,N67=5),1025,
IF(AND(M66=3,N66=2,N67=6),1062,
IF(AND(M66=3,N66=2,N67=7),1062+80,
IF(AND(M66=3,N66=2,N67=8),1062+80+80,
IF(AND(M66=3,N66=3,N67=2),441,
IF(AND(M66=3,N66=3,N67=3),738,
IF(AND(M66=3,N66=3,N67=4),889,
IF(AND(M66=3,N66=3,N67=5),1003,
IF(AND(M66=3,N66=3,N67=6),1039,
IF(AND(M66=3,N66=3,N67=7),1039+80,
IF(AND(M66=3,N66=3,N67=8),1039+80+80,
IF(AND(M66=3,N66=4,N67=2),441,
IF(AND(M66=3,N66=4,N67=3),738,
IF(AND(M66=3,N66=4,N67=4),889,
IF(AND(M66=3,N66=4,N67=5),1003,
IF(AND(M66=3,N66=4,N67=6),1039,
IF(AND(M66=3,N66=4,N67=7),1039+80,
IF(AND(M66=3,N66=4,N67=8),1039+80+80,
IF(AND(M66=3,N66=5,N67=2),491,
IF(AND(M66=3,N66=5,N67=3),823,
IF(AND(M66=3,N66=5,N67=4),990,
IF(AND(M66=3,N66=5,N67=5),1117,
IF(AND(M66=3,N66=5,N67=6),1158,
IF(AND(M66=3,N66=5,N67=7),1158+80,
IF(AND(M66=3,N66=5,N67=8),1158+80+80,0)))))))))))))))))))))))))))))))))))))))))))))))))))))))))</f>
        <v>0</v>
      </c>
      <c r="N47" s="2368"/>
      <c r="P47" s="364" t="s">
        <v>677</v>
      </c>
    </row>
    <row r="48" spans="1:16" ht="3" customHeight="1" thickBot="1" x14ac:dyDescent="0.35">
      <c r="A48" s="4"/>
      <c r="B48" s="2"/>
      <c r="C48" s="2"/>
      <c r="D48" s="2"/>
      <c r="E48" s="2"/>
      <c r="F48" s="12"/>
      <c r="G48" s="2"/>
      <c r="H48" s="2"/>
      <c r="I48" s="2"/>
      <c r="J48" s="2"/>
      <c r="K48" s="6"/>
      <c r="L48" s="14"/>
      <c r="M48" s="369"/>
      <c r="N48" s="370"/>
      <c r="P48" s="364" t="s">
        <v>678</v>
      </c>
    </row>
    <row r="49" spans="1:16" ht="16.2" thickBot="1" x14ac:dyDescent="0.35">
      <c r="A49" s="4"/>
      <c r="B49" s="2"/>
      <c r="C49" s="2"/>
      <c r="D49" s="2"/>
      <c r="E49" s="2"/>
      <c r="F49" s="12"/>
      <c r="G49" s="2"/>
      <c r="H49" s="2"/>
      <c r="I49" s="2"/>
      <c r="J49" s="2"/>
      <c r="K49" s="6"/>
      <c r="L49" s="14"/>
      <c r="M49" s="14"/>
      <c r="N49" s="2"/>
      <c r="P49" s="364" t="s">
        <v>679</v>
      </c>
    </row>
    <row r="50" spans="1:16" ht="26.25" customHeight="1" thickBot="1" x14ac:dyDescent="0.35">
      <c r="A50" s="4"/>
      <c r="B50" s="3"/>
      <c r="C50" s="3"/>
      <c r="D50" s="1228" t="s">
        <v>680</v>
      </c>
      <c r="E50" s="1228"/>
      <c r="F50" s="1228"/>
      <c r="G50" s="1228"/>
      <c r="H50" s="1228"/>
      <c r="I50" s="1228"/>
      <c r="J50" s="1228"/>
      <c r="K50" s="2369" t="str">
        <f>IF(OR(M66=1,N66=1,M67=1,N67=1),"",IF(M34&gt;=M47,"YES","NO"))</f>
        <v/>
      </c>
      <c r="L50" s="2370"/>
      <c r="M50" s="2"/>
      <c r="N50" s="2"/>
      <c r="O50" s="2"/>
      <c r="P50" s="364" t="s">
        <v>681</v>
      </c>
    </row>
    <row r="51" spans="1:16" ht="12" customHeight="1" x14ac:dyDescent="0.3">
      <c r="A51" s="4"/>
      <c r="B51" s="3"/>
      <c r="C51" s="217" t="str">
        <f>CONCATENATE("Caution: Declining income is detected and ", M8, " is not being excluded and/or the number of months reviewed is greater than 12.  Generally with declining income ", M8, " should be excluded and the number of months reviewed should be 12.  Review above and correct to clear the alert or explain the justification in your notes below for not excluding ", M8, " and/or using more than 12 months reviewed.")</f>
        <v>Caution: Declining income is detected and  is not being excluded and/or the number of months reviewed is greater than 12.  Generally with declining income  should be excluded and the number of months reviewed should be 12.  Review above and correct to clear the alert or explain the justification in your notes below for not excluding  and/or using more than 12 months reviewed.</v>
      </c>
      <c r="D51" s="1948" t="s">
        <v>565</v>
      </c>
      <c r="E51" s="1948"/>
      <c r="F51" s="1948"/>
      <c r="G51" s="1948"/>
      <c r="H51" s="343"/>
      <c r="I51" s="343"/>
      <c r="J51" s="2"/>
      <c r="K51" s="2021"/>
      <c r="L51" s="2021"/>
      <c r="M51" s="2021"/>
      <c r="N51" s="2021"/>
      <c r="O51" s="2"/>
      <c r="P51" s="364" t="s">
        <v>682</v>
      </c>
    </row>
    <row r="52" spans="1:16" ht="14.25" customHeight="1" x14ac:dyDescent="0.3">
      <c r="A52" s="4"/>
      <c r="B52" s="3"/>
      <c r="C52" s="217"/>
      <c r="D52" s="363"/>
      <c r="E52" s="363"/>
      <c r="F52" s="363"/>
      <c r="G52" s="363"/>
      <c r="H52" s="343"/>
      <c r="I52" s="343"/>
      <c r="J52" s="2"/>
      <c r="K52" s="362"/>
      <c r="L52" s="362"/>
      <c r="M52" s="362"/>
      <c r="N52" s="362"/>
      <c r="O52" s="2"/>
      <c r="P52" s="364" t="s">
        <v>683</v>
      </c>
    </row>
    <row r="53" spans="1:16" ht="12" customHeight="1" x14ac:dyDescent="0.3">
      <c r="A53" s="4"/>
      <c r="B53" s="3"/>
      <c r="C53" s="217"/>
      <c r="D53" s="363"/>
      <c r="E53" s="363"/>
      <c r="F53" s="363"/>
      <c r="G53" s="363"/>
      <c r="H53" s="343"/>
      <c r="I53" s="343"/>
      <c r="J53" s="2"/>
      <c r="K53" s="362"/>
      <c r="L53" s="362"/>
      <c r="M53" s="362"/>
      <c r="N53" s="362"/>
      <c r="O53" s="2"/>
      <c r="P53" s="373" t="s">
        <v>684</v>
      </c>
    </row>
    <row r="54" spans="1:16" ht="15" customHeight="1" x14ac:dyDescent="0.3">
      <c r="A54" s="1475" t="s">
        <v>1074</v>
      </c>
      <c r="B54" s="1475"/>
      <c r="C54" s="1475"/>
      <c r="D54" s="1475"/>
      <c r="E54" s="1475"/>
      <c r="F54" s="19"/>
      <c r="G54" s="19"/>
      <c r="H54" s="19"/>
      <c r="I54" s="19"/>
      <c r="J54" s="19"/>
      <c r="K54" s="19"/>
      <c r="L54" s="19"/>
      <c r="M54" s="19"/>
      <c r="N54" s="19"/>
    </row>
    <row r="55" spans="1:16" ht="15" customHeight="1" x14ac:dyDescent="0.3">
      <c r="A55" s="1325"/>
      <c r="B55" s="1325"/>
      <c r="C55" s="1325"/>
      <c r="D55" s="1325"/>
      <c r="E55" s="1325"/>
      <c r="F55" s="1325"/>
      <c r="G55" s="1325"/>
      <c r="H55" s="1325"/>
      <c r="I55" s="1325"/>
      <c r="J55" s="1325"/>
      <c r="K55" s="1325"/>
      <c r="L55" s="1325"/>
      <c r="M55" s="1325"/>
      <c r="N55" s="1325"/>
      <c r="O55" s="1325"/>
    </row>
    <row r="56" spans="1:16" ht="15" customHeight="1" x14ac:dyDescent="0.3">
      <c r="A56" s="1325"/>
      <c r="B56" s="1325"/>
      <c r="C56" s="1325"/>
      <c r="D56" s="1325"/>
      <c r="E56" s="1325"/>
      <c r="F56" s="1325"/>
      <c r="G56" s="1325"/>
      <c r="H56" s="1325"/>
      <c r="I56" s="1325"/>
      <c r="J56" s="1325"/>
      <c r="K56" s="1325"/>
      <c r="L56" s="1325"/>
      <c r="M56" s="1325"/>
      <c r="N56" s="1325"/>
      <c r="O56" s="1325"/>
    </row>
    <row r="57" spans="1:16" x14ac:dyDescent="0.3">
      <c r="A57" s="1072"/>
      <c r="B57" s="19"/>
      <c r="C57" s="19"/>
      <c r="D57" s="19"/>
      <c r="E57" s="19"/>
      <c r="F57" s="19"/>
      <c r="G57" s="19"/>
      <c r="H57" s="19"/>
      <c r="I57" s="19"/>
      <c r="J57" s="19"/>
      <c r="K57" s="19"/>
      <c r="L57" s="19"/>
      <c r="M57" s="19"/>
      <c r="N57" s="19"/>
    </row>
    <row r="58" spans="1:16" ht="15" customHeight="1" x14ac:dyDescent="0.3">
      <c r="A58" s="1475" t="s">
        <v>223</v>
      </c>
      <c r="B58" s="1475"/>
      <c r="C58" s="1475"/>
      <c r="D58" s="1475"/>
      <c r="E58" s="19"/>
      <c r="F58" s="19"/>
      <c r="G58" s="19"/>
      <c r="H58" s="19"/>
      <c r="I58" s="19"/>
      <c r="J58" s="19"/>
      <c r="K58" s="19"/>
      <c r="L58" s="19"/>
      <c r="M58" s="19"/>
      <c r="N58" s="19"/>
    </row>
    <row r="59" spans="1:16" ht="15" customHeight="1" x14ac:dyDescent="0.3">
      <c r="A59" s="1903" t="s">
        <v>685</v>
      </c>
      <c r="B59" s="1903"/>
      <c r="C59" s="1903"/>
      <c r="D59" s="1903"/>
      <c r="E59" s="1903"/>
      <c r="F59" s="1903"/>
      <c r="G59" s="1903"/>
      <c r="H59" s="1903"/>
      <c r="I59" s="1903"/>
      <c r="J59" s="1903"/>
      <c r="K59" s="1903"/>
      <c r="L59" s="1903"/>
      <c r="M59" s="1903"/>
      <c r="N59" s="1903"/>
      <c r="O59" s="1903"/>
    </row>
    <row r="60" spans="1:16" ht="15" customHeight="1" x14ac:dyDescent="0.3">
      <c r="A60" s="1903" t="s">
        <v>686</v>
      </c>
      <c r="B60" s="1903"/>
      <c r="C60" s="1903"/>
      <c r="D60" s="1903"/>
      <c r="E60" s="1903"/>
      <c r="F60" s="1903"/>
      <c r="G60" s="1903"/>
      <c r="H60" s="1903"/>
      <c r="I60" s="1903"/>
      <c r="J60" s="1903"/>
      <c r="K60" s="1903"/>
      <c r="L60" s="1903"/>
      <c r="M60" s="1903"/>
      <c r="N60" s="1903"/>
      <c r="O60" s="1903"/>
    </row>
    <row r="61" spans="1:16" ht="15" customHeight="1" x14ac:dyDescent="0.3">
      <c r="A61" s="1903" t="s">
        <v>687</v>
      </c>
      <c r="B61" s="1903"/>
      <c r="C61" s="1903"/>
      <c r="D61" s="1903"/>
      <c r="E61" s="1903"/>
      <c r="F61" s="1903"/>
      <c r="G61" s="1903"/>
      <c r="H61" s="1903"/>
      <c r="I61" s="1903"/>
      <c r="J61" s="1903"/>
      <c r="K61" s="1903"/>
      <c r="L61" s="1903"/>
      <c r="M61" s="1903"/>
      <c r="N61" s="1903"/>
      <c r="O61" s="29"/>
    </row>
    <row r="62" spans="1:16" ht="15" customHeight="1" x14ac:dyDescent="0.3">
      <c r="A62" s="32"/>
      <c r="B62" s="32"/>
      <c r="C62" s="32"/>
      <c r="D62" s="32"/>
      <c r="E62" s="32"/>
      <c r="F62" s="32"/>
      <c r="G62" s="32"/>
      <c r="H62" s="32"/>
      <c r="I62" s="32"/>
      <c r="J62" s="32"/>
      <c r="K62" s="32"/>
      <c r="L62" s="32"/>
      <c r="M62" s="32"/>
      <c r="N62" s="32"/>
      <c r="O62" s="32"/>
    </row>
    <row r="63" spans="1:16" x14ac:dyDescent="0.3">
      <c r="A63" s="1903" t="s">
        <v>688</v>
      </c>
      <c r="B63" s="1903"/>
      <c r="C63" s="1903"/>
      <c r="D63" s="1903" t="s">
        <v>28</v>
      </c>
      <c r="E63" s="1903"/>
      <c r="F63" s="1903"/>
      <c r="G63" s="1903"/>
      <c r="H63" s="1903"/>
      <c r="I63" s="1903"/>
      <c r="J63" s="1903"/>
      <c r="K63" s="1903"/>
      <c r="L63" s="1903"/>
      <c r="M63" s="1903"/>
      <c r="N63" s="1903"/>
      <c r="O63" s="1903"/>
    </row>
    <row r="64" spans="1:16" x14ac:dyDescent="0.3">
      <c r="A64" s="1903" t="s">
        <v>689</v>
      </c>
      <c r="B64" s="1903"/>
      <c r="C64" s="1903"/>
      <c r="D64" s="1903"/>
      <c r="E64" s="1903"/>
      <c r="F64" s="1903"/>
      <c r="G64" s="1903"/>
      <c r="H64" s="1903"/>
      <c r="I64" s="1903"/>
      <c r="J64" s="1903"/>
      <c r="K64" s="1903"/>
      <c r="L64" s="1903"/>
      <c r="M64" s="1903"/>
      <c r="N64" s="1903"/>
      <c r="O64" s="1903"/>
    </row>
    <row r="65" spans="1:15" x14ac:dyDescent="0.3">
      <c r="A65" s="1903" t="s">
        <v>690</v>
      </c>
      <c r="B65" s="1903"/>
      <c r="C65" s="1903"/>
      <c r="D65" s="1903"/>
      <c r="E65" s="1903"/>
      <c r="F65" s="1903"/>
      <c r="G65" s="1903"/>
      <c r="H65" s="1903"/>
      <c r="I65" s="1903"/>
      <c r="J65" s="1903"/>
      <c r="K65" s="1903"/>
      <c r="L65" s="1903"/>
      <c r="M65" s="1903"/>
      <c r="N65" s="1903"/>
      <c r="O65" s="1903"/>
    </row>
    <row r="66" spans="1:15" ht="15.6" hidden="1" x14ac:dyDescent="0.3">
      <c r="M66" s="1082">
        <f>IF(OR(J39="",J39=0),1,IF(J39&lt;=79999,2,IF(J39&gt;=80000,3,0)))</f>
        <v>1</v>
      </c>
      <c r="N66" s="1082">
        <f>IF(J43="",1,IF(J43="Northeast",2,IF(J43="Midwest",3,IF(J43="South",4,IF(J43="West",5,1)))))</f>
        <v>1</v>
      </c>
    </row>
    <row r="67" spans="1:15" ht="15.6" hidden="1" x14ac:dyDescent="0.3">
      <c r="M67" s="1082">
        <v>1</v>
      </c>
      <c r="N67" s="1082">
        <v>1</v>
      </c>
    </row>
    <row r="68" spans="1:15" ht="15" customHeight="1" x14ac:dyDescent="0.3">
      <c r="A68" s="1482" t="str">
        <f ca="1">REPLACE(CELL("filename",A68),1,FIND("]",CELL("filename",A68)),"")</f>
        <v>Residual Income Calc wkst</v>
      </c>
      <c r="B68" s="1482"/>
      <c r="C68" s="1482"/>
      <c r="D68" s="1482"/>
    </row>
    <row r="69" spans="1:15" ht="15" hidden="1" customHeight="1" x14ac:dyDescent="0.3">
      <c r="A69" s="219"/>
      <c r="B69" s="219"/>
      <c r="C69" s="219"/>
      <c r="D69" s="219"/>
    </row>
    <row r="70" spans="1:15" ht="15" customHeight="1" x14ac:dyDescent="0.3">
      <c r="A70" s="219"/>
      <c r="B70" s="219"/>
      <c r="C70" s="219"/>
      <c r="D70" s="219"/>
      <c r="M70" s="244"/>
      <c r="N70" s="244"/>
    </row>
    <row r="71" spans="1:15" ht="15" customHeight="1" x14ac:dyDescent="0.3">
      <c r="A71" s="219"/>
      <c r="B71" s="219"/>
      <c r="C71" s="219"/>
      <c r="D71" s="219"/>
      <c r="M71" s="1419" t="str">
        <f>Version</f>
        <v>Version 2026.1</v>
      </c>
      <c r="N71" s="1419"/>
      <c r="O71" s="1419"/>
    </row>
    <row r="73" spans="1:15" ht="15" thickBot="1" x14ac:dyDescent="0.35"/>
    <row r="74" spans="1:15" s="374" customFormat="1" ht="21.75" customHeight="1" thickBot="1" x14ac:dyDescent="0.35">
      <c r="B74" s="2355" t="s">
        <v>691</v>
      </c>
      <c r="C74" s="2356"/>
      <c r="D74" s="2356"/>
      <c r="E74" s="2356"/>
      <c r="F74" s="2356"/>
      <c r="G74" s="2356"/>
      <c r="H74" s="2356"/>
      <c r="I74" s="2356"/>
      <c r="J74" s="2356"/>
      <c r="K74" s="2356"/>
      <c r="L74" s="2356"/>
      <c r="M74" s="2356"/>
      <c r="N74" s="2357"/>
    </row>
    <row r="75" spans="1:15" s="374" customFormat="1" ht="15.6" x14ac:dyDescent="0.3">
      <c r="B75" s="2358" t="s">
        <v>692</v>
      </c>
      <c r="C75" s="2359"/>
      <c r="D75" s="2359"/>
      <c r="E75" s="2360"/>
      <c r="F75" s="2347" t="s">
        <v>693</v>
      </c>
      <c r="G75" s="2348"/>
      <c r="H75" s="2349" t="s">
        <v>694</v>
      </c>
      <c r="I75" s="2349"/>
      <c r="J75" s="2349"/>
      <c r="K75" s="2349" t="s">
        <v>695</v>
      </c>
      <c r="L75" s="2349"/>
      <c r="M75" s="2349" t="s">
        <v>696</v>
      </c>
      <c r="N75" s="2350"/>
    </row>
    <row r="76" spans="1:15" s="374" customFormat="1" ht="15.6" x14ac:dyDescent="0.3">
      <c r="B76" s="2361"/>
      <c r="C76" s="2362"/>
      <c r="D76" s="2362"/>
      <c r="E76" s="2363"/>
      <c r="F76" s="2351" t="s">
        <v>697</v>
      </c>
      <c r="G76" s="2352"/>
      <c r="H76" s="2332" t="s">
        <v>698</v>
      </c>
      <c r="I76" s="2332"/>
      <c r="J76" s="2332"/>
      <c r="K76" s="2332" t="s">
        <v>699</v>
      </c>
      <c r="L76" s="2332"/>
      <c r="M76" s="2332" t="s">
        <v>700</v>
      </c>
      <c r="N76" s="2333"/>
    </row>
    <row r="77" spans="1:15" s="374" customFormat="1" ht="16.2" thickBot="1" x14ac:dyDescent="0.35">
      <c r="B77" s="2364"/>
      <c r="C77" s="2365"/>
      <c r="D77" s="2365"/>
      <c r="E77" s="2366"/>
      <c r="F77" s="2334" t="s">
        <v>701</v>
      </c>
      <c r="G77" s="2335"/>
      <c r="H77" s="2336"/>
      <c r="I77" s="2336"/>
      <c r="J77" s="2336"/>
      <c r="K77" s="2336"/>
      <c r="L77" s="2336"/>
      <c r="M77" s="2336"/>
      <c r="N77" s="2337"/>
    </row>
    <row r="78" spans="1:15" s="374" customFormat="1" ht="15.6" x14ac:dyDescent="0.3">
      <c r="B78" s="2338" t="s">
        <v>702</v>
      </c>
      <c r="C78" s="2339"/>
      <c r="D78" s="2339"/>
      <c r="E78" s="2340"/>
      <c r="F78" s="2347" t="s">
        <v>703</v>
      </c>
      <c r="G78" s="2348"/>
      <c r="H78" s="2349" t="s">
        <v>704</v>
      </c>
      <c r="I78" s="2349"/>
      <c r="J78" s="2349"/>
      <c r="K78" s="2349" t="s">
        <v>705</v>
      </c>
      <c r="L78" s="2349"/>
      <c r="M78" s="2349" t="s">
        <v>706</v>
      </c>
      <c r="N78" s="2350"/>
    </row>
    <row r="79" spans="1:15" s="374" customFormat="1" ht="15.6" x14ac:dyDescent="0.3">
      <c r="B79" s="2341"/>
      <c r="C79" s="2342"/>
      <c r="D79" s="2342"/>
      <c r="E79" s="2343"/>
      <c r="F79" s="2351" t="s">
        <v>707</v>
      </c>
      <c r="G79" s="2352"/>
      <c r="H79" s="2332" t="s">
        <v>708</v>
      </c>
      <c r="I79" s="2332"/>
      <c r="J79" s="2332"/>
      <c r="K79" s="2332" t="s">
        <v>709</v>
      </c>
      <c r="L79" s="2332"/>
      <c r="M79" s="2332" t="s">
        <v>710</v>
      </c>
      <c r="N79" s="2333"/>
    </row>
    <row r="80" spans="1:15" s="374" customFormat="1" ht="16.2" thickBot="1" x14ac:dyDescent="0.35">
      <c r="B80" s="2344"/>
      <c r="C80" s="2345"/>
      <c r="D80" s="2345"/>
      <c r="E80" s="2346"/>
      <c r="F80" s="2334" t="s">
        <v>711</v>
      </c>
      <c r="G80" s="2335"/>
      <c r="H80" s="2336" t="s">
        <v>712</v>
      </c>
      <c r="I80" s="2336"/>
      <c r="J80" s="2336"/>
      <c r="K80" s="2336" t="s">
        <v>713</v>
      </c>
      <c r="L80" s="2336"/>
      <c r="M80" s="2336" t="s">
        <v>714</v>
      </c>
      <c r="N80" s="2337"/>
    </row>
    <row r="81" spans="2:14" s="374" customFormat="1" ht="15.6" x14ac:dyDescent="0.3">
      <c r="B81" s="2338" t="s">
        <v>715</v>
      </c>
      <c r="C81" s="2339"/>
      <c r="D81" s="2339"/>
      <c r="E81" s="2340"/>
      <c r="F81" s="2347" t="s">
        <v>716</v>
      </c>
      <c r="G81" s="2348"/>
      <c r="H81" s="2349" t="s">
        <v>717</v>
      </c>
      <c r="I81" s="2349"/>
      <c r="J81" s="2349"/>
      <c r="K81" s="2349" t="s">
        <v>718</v>
      </c>
      <c r="L81" s="2349"/>
      <c r="M81" s="2353" t="s">
        <v>719</v>
      </c>
      <c r="N81" s="2354"/>
    </row>
    <row r="82" spans="2:14" s="374" customFormat="1" ht="15.6" x14ac:dyDescent="0.3">
      <c r="B82" s="2341"/>
      <c r="C82" s="2342"/>
      <c r="D82" s="2342"/>
      <c r="E82" s="2343"/>
      <c r="F82" s="2351" t="s">
        <v>720</v>
      </c>
      <c r="G82" s="2352"/>
      <c r="H82" s="2332" t="s">
        <v>721</v>
      </c>
      <c r="I82" s="2332"/>
      <c r="J82" s="2332"/>
      <c r="K82" s="2332" t="s">
        <v>722</v>
      </c>
      <c r="L82" s="2332"/>
      <c r="M82" s="2332" t="s">
        <v>723</v>
      </c>
      <c r="N82" s="2333"/>
    </row>
    <row r="83" spans="2:14" s="374" customFormat="1" ht="15.6" x14ac:dyDescent="0.3">
      <c r="B83" s="2341"/>
      <c r="C83" s="2342"/>
      <c r="D83" s="2342"/>
      <c r="E83" s="2343"/>
      <c r="F83" s="2351" t="s">
        <v>724</v>
      </c>
      <c r="G83" s="2352"/>
      <c r="H83" s="2332" t="s">
        <v>725</v>
      </c>
      <c r="I83" s="2332"/>
      <c r="J83" s="2332"/>
      <c r="K83" s="2332" t="s">
        <v>726</v>
      </c>
      <c r="L83" s="2332"/>
      <c r="M83" s="2332" t="s">
        <v>727</v>
      </c>
      <c r="N83" s="2333"/>
    </row>
    <row r="84" spans="2:14" s="374" customFormat="1" ht="15.6" x14ac:dyDescent="0.3">
      <c r="B84" s="2341"/>
      <c r="C84" s="2342"/>
      <c r="D84" s="2342"/>
      <c r="E84" s="2343"/>
      <c r="F84" s="2351" t="s">
        <v>728</v>
      </c>
      <c r="G84" s="2352"/>
      <c r="H84" s="2332" t="s">
        <v>729</v>
      </c>
      <c r="I84" s="2332"/>
      <c r="J84" s="2332"/>
      <c r="K84" s="2332" t="s">
        <v>730</v>
      </c>
      <c r="L84" s="2332"/>
      <c r="M84" s="2332" t="s">
        <v>731</v>
      </c>
      <c r="N84" s="2333"/>
    </row>
    <row r="85" spans="2:14" s="374" customFormat="1" ht="16.2" thickBot="1" x14ac:dyDescent="0.35">
      <c r="B85" s="2344"/>
      <c r="C85" s="2345"/>
      <c r="D85" s="2345"/>
      <c r="E85" s="2346"/>
      <c r="F85" s="2334" t="s">
        <v>732</v>
      </c>
      <c r="G85" s="2335"/>
      <c r="H85" s="2336" t="s">
        <v>733</v>
      </c>
      <c r="I85" s="2336"/>
      <c r="J85" s="2336"/>
      <c r="K85" s="2336"/>
      <c r="L85" s="2336"/>
      <c r="M85" s="2336"/>
      <c r="N85" s="2337"/>
    </row>
    <row r="86" spans="2:14" s="374" customFormat="1" ht="15.6" x14ac:dyDescent="0.3">
      <c r="B86" s="2338" t="s">
        <v>734</v>
      </c>
      <c r="C86" s="2339"/>
      <c r="D86" s="2339"/>
      <c r="E86" s="2340"/>
      <c r="F86" s="2347" t="s">
        <v>735</v>
      </c>
      <c r="G86" s="2348"/>
      <c r="H86" s="2349" t="s">
        <v>736</v>
      </c>
      <c r="I86" s="2349"/>
      <c r="J86" s="2349"/>
      <c r="K86" s="2349" t="s">
        <v>737</v>
      </c>
      <c r="L86" s="2349"/>
      <c r="M86" s="2349" t="s">
        <v>738</v>
      </c>
      <c r="N86" s="2350"/>
    </row>
    <row r="87" spans="2:14" s="374" customFormat="1" ht="15.6" x14ac:dyDescent="0.3">
      <c r="B87" s="2341"/>
      <c r="C87" s="2342"/>
      <c r="D87" s="2342"/>
      <c r="E87" s="2343"/>
      <c r="F87" s="2351" t="s">
        <v>739</v>
      </c>
      <c r="G87" s="2352"/>
      <c r="H87" s="2332" t="s">
        <v>740</v>
      </c>
      <c r="I87" s="2332"/>
      <c r="J87" s="2332"/>
      <c r="K87" s="2332" t="s">
        <v>741</v>
      </c>
      <c r="L87" s="2332"/>
      <c r="M87" s="2332" t="s">
        <v>742</v>
      </c>
      <c r="N87" s="2333"/>
    </row>
    <row r="88" spans="2:14" s="374" customFormat="1" ht="15.6" x14ac:dyDescent="0.3">
      <c r="B88" s="2341"/>
      <c r="C88" s="2342"/>
      <c r="D88" s="2342"/>
      <c r="E88" s="2343"/>
      <c r="F88" s="2351" t="s">
        <v>743</v>
      </c>
      <c r="G88" s="2352"/>
      <c r="H88" s="2332" t="s">
        <v>744</v>
      </c>
      <c r="I88" s="2332"/>
      <c r="J88" s="2332"/>
      <c r="K88" s="2332" t="s">
        <v>745</v>
      </c>
      <c r="L88" s="2332"/>
      <c r="M88" s="2332" t="s">
        <v>746</v>
      </c>
      <c r="N88" s="2333"/>
    </row>
    <row r="89" spans="2:14" s="374" customFormat="1" ht="16.2" thickBot="1" x14ac:dyDescent="0.35">
      <c r="B89" s="2344"/>
      <c r="C89" s="2345"/>
      <c r="D89" s="2345"/>
      <c r="E89" s="2346"/>
      <c r="F89" s="2334" t="s">
        <v>747</v>
      </c>
      <c r="G89" s="2335"/>
      <c r="H89" s="2336"/>
      <c r="I89" s="2336"/>
      <c r="J89" s="2336"/>
      <c r="K89" s="2336"/>
      <c r="L89" s="2336"/>
      <c r="M89" s="2336"/>
      <c r="N89" s="2337"/>
    </row>
    <row r="92" spans="2:14" ht="15" thickBot="1" x14ac:dyDescent="0.35"/>
    <row r="93" spans="2:14" ht="22.5" customHeight="1" thickBot="1" x14ac:dyDescent="0.35">
      <c r="C93" s="2329" t="s">
        <v>748</v>
      </c>
      <c r="D93" s="2330"/>
      <c r="E93" s="2330"/>
      <c r="F93" s="2330"/>
      <c r="G93" s="2330"/>
      <c r="H93" s="2330"/>
      <c r="I93" s="2330"/>
      <c r="J93" s="2330"/>
      <c r="K93" s="2330"/>
      <c r="L93" s="2330"/>
      <c r="M93" s="2331"/>
    </row>
    <row r="94" spans="2:14" ht="33" customHeight="1" thickBot="1" x14ac:dyDescent="0.35">
      <c r="C94" s="2328" t="s">
        <v>749</v>
      </c>
      <c r="D94" s="2328"/>
      <c r="E94" s="2328" t="s">
        <v>692</v>
      </c>
      <c r="F94" s="2328"/>
      <c r="G94" s="2328" t="s">
        <v>702</v>
      </c>
      <c r="H94" s="2328"/>
      <c r="I94" s="2328"/>
      <c r="J94" s="2328" t="s">
        <v>715</v>
      </c>
      <c r="K94" s="2328"/>
      <c r="L94" s="2328" t="s">
        <v>734</v>
      </c>
      <c r="M94" s="2328"/>
    </row>
    <row r="95" spans="2:14" ht="16.2" thickBot="1" x14ac:dyDescent="0.35">
      <c r="C95" s="2325">
        <v>1</v>
      </c>
      <c r="D95" s="2325"/>
      <c r="E95" s="2326">
        <v>390</v>
      </c>
      <c r="F95" s="2326"/>
      <c r="G95" s="2326">
        <v>382</v>
      </c>
      <c r="H95" s="2326"/>
      <c r="I95" s="2326"/>
      <c r="J95" s="2326">
        <v>382</v>
      </c>
      <c r="K95" s="2326"/>
      <c r="L95" s="2327">
        <v>425</v>
      </c>
      <c r="M95" s="2327"/>
    </row>
    <row r="96" spans="2:14" ht="16.2" thickBot="1" x14ac:dyDescent="0.35">
      <c r="C96" s="2325">
        <v>2</v>
      </c>
      <c r="D96" s="2325"/>
      <c r="E96" s="2326">
        <v>654</v>
      </c>
      <c r="F96" s="2326"/>
      <c r="G96" s="2326">
        <v>641</v>
      </c>
      <c r="H96" s="2326"/>
      <c r="I96" s="2326"/>
      <c r="J96" s="2326">
        <v>641</v>
      </c>
      <c r="K96" s="2326"/>
      <c r="L96" s="2327">
        <v>713</v>
      </c>
      <c r="M96" s="2327"/>
    </row>
    <row r="97" spans="3:13" ht="16.2" thickBot="1" x14ac:dyDescent="0.35">
      <c r="C97" s="2325">
        <v>3</v>
      </c>
      <c r="D97" s="2325"/>
      <c r="E97" s="2326">
        <v>788</v>
      </c>
      <c r="F97" s="2326"/>
      <c r="G97" s="2326">
        <v>772</v>
      </c>
      <c r="H97" s="2326"/>
      <c r="I97" s="2326"/>
      <c r="J97" s="2326">
        <v>772</v>
      </c>
      <c r="K97" s="2326"/>
      <c r="L97" s="2327">
        <v>859</v>
      </c>
      <c r="M97" s="2327"/>
    </row>
    <row r="98" spans="3:13" ht="16.2" thickBot="1" x14ac:dyDescent="0.35">
      <c r="C98" s="2325">
        <v>4</v>
      </c>
      <c r="D98" s="2325"/>
      <c r="E98" s="2326">
        <v>888</v>
      </c>
      <c r="F98" s="2326"/>
      <c r="G98" s="2326">
        <v>868</v>
      </c>
      <c r="H98" s="2326"/>
      <c r="I98" s="2326"/>
      <c r="J98" s="2326">
        <v>868</v>
      </c>
      <c r="K98" s="2326"/>
      <c r="L98" s="2327">
        <v>967</v>
      </c>
      <c r="M98" s="2327"/>
    </row>
    <row r="99" spans="3:13" ht="16.2" thickBot="1" x14ac:dyDescent="0.35">
      <c r="C99" s="2325">
        <v>5</v>
      </c>
      <c r="D99" s="2325"/>
      <c r="E99" s="2326">
        <v>921</v>
      </c>
      <c r="F99" s="2326"/>
      <c r="G99" s="2326">
        <v>902</v>
      </c>
      <c r="H99" s="2326"/>
      <c r="I99" s="2326"/>
      <c r="J99" s="2326">
        <v>902</v>
      </c>
      <c r="K99" s="2326"/>
      <c r="L99" s="2327">
        <v>1004</v>
      </c>
      <c r="M99" s="2327"/>
    </row>
    <row r="100" spans="3:13" ht="15" thickBot="1" x14ac:dyDescent="0.35">
      <c r="C100" s="2325">
        <v>6</v>
      </c>
      <c r="D100" s="2325"/>
      <c r="E100" s="2326">
        <f>E99+75</f>
        <v>996</v>
      </c>
      <c r="F100" s="2326"/>
      <c r="G100" s="2326">
        <f>G99+75</f>
        <v>977</v>
      </c>
      <c r="H100" s="2326"/>
      <c r="I100" s="2326"/>
      <c r="J100" s="2326">
        <f>J99+75</f>
        <v>977</v>
      </c>
      <c r="K100" s="2326"/>
      <c r="L100" s="2326">
        <f>L99+75</f>
        <v>1079</v>
      </c>
      <c r="M100" s="2326"/>
    </row>
    <row r="101" spans="3:13" ht="15" thickBot="1" x14ac:dyDescent="0.35">
      <c r="C101" s="2325" t="s">
        <v>606</v>
      </c>
      <c r="D101" s="2325"/>
      <c r="E101" s="2326">
        <f>E100+75</f>
        <v>1071</v>
      </c>
      <c r="F101" s="2326"/>
      <c r="G101" s="2326">
        <f>G100+75</f>
        <v>1052</v>
      </c>
      <c r="H101" s="2326"/>
      <c r="I101" s="2326"/>
      <c r="J101" s="2326">
        <f>J100+75</f>
        <v>1052</v>
      </c>
      <c r="K101" s="2326"/>
      <c r="L101" s="2326">
        <f>L100+75</f>
        <v>1154</v>
      </c>
      <c r="M101" s="2326"/>
    </row>
    <row r="104" spans="3:13" ht="15" thickBot="1" x14ac:dyDescent="0.35"/>
    <row r="105" spans="3:13" ht="21" customHeight="1" thickBot="1" x14ac:dyDescent="0.35">
      <c r="C105" s="2329" t="s">
        <v>750</v>
      </c>
      <c r="D105" s="2330"/>
      <c r="E105" s="2330"/>
      <c r="F105" s="2330"/>
      <c r="G105" s="2330"/>
      <c r="H105" s="2330"/>
      <c r="I105" s="2330"/>
      <c r="J105" s="2330"/>
      <c r="K105" s="2330"/>
      <c r="L105" s="2330"/>
      <c r="M105" s="2331"/>
    </row>
    <row r="106" spans="3:13" ht="16.2" thickBot="1" x14ac:dyDescent="0.35">
      <c r="C106" s="2328" t="s">
        <v>749</v>
      </c>
      <c r="D106" s="2328"/>
      <c r="E106" s="2328" t="s">
        <v>692</v>
      </c>
      <c r="F106" s="2328"/>
      <c r="G106" s="2328" t="s">
        <v>702</v>
      </c>
      <c r="H106" s="2328"/>
      <c r="I106" s="2328"/>
      <c r="J106" s="2328" t="s">
        <v>715</v>
      </c>
      <c r="K106" s="2328"/>
      <c r="L106" s="2328" t="s">
        <v>734</v>
      </c>
      <c r="M106" s="2328"/>
    </row>
    <row r="107" spans="3:13" ht="16.2" thickBot="1" x14ac:dyDescent="0.35">
      <c r="C107" s="2325">
        <v>1</v>
      </c>
      <c r="D107" s="2325"/>
      <c r="E107" s="2326">
        <v>450</v>
      </c>
      <c r="F107" s="2326"/>
      <c r="G107" s="2326">
        <v>441</v>
      </c>
      <c r="H107" s="2326"/>
      <c r="I107" s="2326"/>
      <c r="J107" s="2326">
        <v>441</v>
      </c>
      <c r="K107" s="2326"/>
      <c r="L107" s="2327">
        <v>491</v>
      </c>
      <c r="M107" s="2327"/>
    </row>
    <row r="108" spans="3:13" ht="16.2" thickBot="1" x14ac:dyDescent="0.35">
      <c r="C108" s="2325">
        <v>2</v>
      </c>
      <c r="D108" s="2325"/>
      <c r="E108" s="2326">
        <v>755</v>
      </c>
      <c r="F108" s="2326"/>
      <c r="G108" s="2326">
        <v>738</v>
      </c>
      <c r="H108" s="2326"/>
      <c r="I108" s="2326"/>
      <c r="J108" s="2326">
        <v>738</v>
      </c>
      <c r="K108" s="2326"/>
      <c r="L108" s="2327">
        <v>823</v>
      </c>
      <c r="M108" s="2327"/>
    </row>
    <row r="109" spans="3:13" ht="16.2" thickBot="1" x14ac:dyDescent="0.35">
      <c r="C109" s="2325">
        <v>3</v>
      </c>
      <c r="D109" s="2325"/>
      <c r="E109" s="2326">
        <v>909</v>
      </c>
      <c r="F109" s="2326"/>
      <c r="G109" s="2326">
        <v>889</v>
      </c>
      <c r="H109" s="2326"/>
      <c r="I109" s="2326"/>
      <c r="J109" s="2326">
        <v>889</v>
      </c>
      <c r="K109" s="2326"/>
      <c r="L109" s="2327">
        <v>990</v>
      </c>
      <c r="M109" s="2327"/>
    </row>
    <row r="110" spans="3:13" ht="16.2" thickBot="1" x14ac:dyDescent="0.35">
      <c r="C110" s="2325">
        <v>4</v>
      </c>
      <c r="D110" s="2325"/>
      <c r="E110" s="2326">
        <v>1025</v>
      </c>
      <c r="F110" s="2326"/>
      <c r="G110" s="2326">
        <v>1003</v>
      </c>
      <c r="H110" s="2326"/>
      <c r="I110" s="2326"/>
      <c r="J110" s="2326">
        <v>1003</v>
      </c>
      <c r="K110" s="2326"/>
      <c r="L110" s="2327">
        <v>1117</v>
      </c>
      <c r="M110" s="2327"/>
    </row>
    <row r="111" spans="3:13" ht="16.2" thickBot="1" x14ac:dyDescent="0.35">
      <c r="C111" s="2325">
        <v>5</v>
      </c>
      <c r="D111" s="2325"/>
      <c r="E111" s="2326">
        <v>1062</v>
      </c>
      <c r="F111" s="2326"/>
      <c r="G111" s="2326">
        <v>1039</v>
      </c>
      <c r="H111" s="2326"/>
      <c r="I111" s="2326"/>
      <c r="J111" s="2326">
        <v>1039</v>
      </c>
      <c r="K111" s="2326"/>
      <c r="L111" s="2327">
        <v>1158</v>
      </c>
      <c r="M111" s="2327"/>
    </row>
    <row r="112" spans="3:13" ht="15" thickBot="1" x14ac:dyDescent="0.35">
      <c r="C112" s="2325">
        <v>6</v>
      </c>
      <c r="D112" s="2325"/>
      <c r="E112" s="2326">
        <f>E111+80</f>
        <v>1142</v>
      </c>
      <c r="F112" s="2326"/>
      <c r="G112" s="2326">
        <v>1142</v>
      </c>
      <c r="H112" s="2326"/>
      <c r="I112" s="2326"/>
      <c r="J112" s="2326">
        <f>J111+80</f>
        <v>1119</v>
      </c>
      <c r="K112" s="2326"/>
      <c r="L112" s="2326">
        <f>L111+80</f>
        <v>1238</v>
      </c>
      <c r="M112" s="2326"/>
    </row>
    <row r="113" spans="3:13" ht="15" thickBot="1" x14ac:dyDescent="0.35">
      <c r="C113" s="2325" t="s">
        <v>606</v>
      </c>
      <c r="D113" s="2325"/>
      <c r="E113" s="2326">
        <f>E112+80</f>
        <v>1222</v>
      </c>
      <c r="F113" s="2326"/>
      <c r="G113" s="2326">
        <v>1222</v>
      </c>
      <c r="H113" s="2326"/>
      <c r="I113" s="2326"/>
      <c r="J113" s="2326">
        <f>J112+80</f>
        <v>1199</v>
      </c>
      <c r="K113" s="2326"/>
      <c r="L113" s="2326">
        <f>L112+80</f>
        <v>1318</v>
      </c>
      <c r="M113" s="2326"/>
    </row>
  </sheetData>
  <sheetProtection algorithmName="SHA-512" hashValue="WPbwie4Gf7mUlmcuGIHNK22WTFGfKDItNppdCxdgC+uD1qzBc72uZ0o3DPZ2jmlN7R8AakPZ2jWZa3buMFx7YQ==" saltValue="jblZqBetbYg5VD4mGmC3pg==" spinCount="100000" sheet="1" objects="1" scenarios="1" selectLockedCells="1"/>
  <mergeCells count="240">
    <mergeCell ref="B9:H9"/>
    <mergeCell ref="J9:K9"/>
    <mergeCell ref="M9:N9"/>
    <mergeCell ref="C10:G10"/>
    <mergeCell ref="J10:K10"/>
    <mergeCell ref="M10:N10"/>
    <mergeCell ref="A2:N2"/>
    <mergeCell ref="A3:N3"/>
    <mergeCell ref="A5:C5"/>
    <mergeCell ref="D5:H5"/>
    <mergeCell ref="A8:E8"/>
    <mergeCell ref="J8:K8"/>
    <mergeCell ref="M8:N8"/>
    <mergeCell ref="J4:N7"/>
    <mergeCell ref="C14:H14"/>
    <mergeCell ref="J14:K14"/>
    <mergeCell ref="M14:N14"/>
    <mergeCell ref="C15:H15"/>
    <mergeCell ref="J15:K15"/>
    <mergeCell ref="C16:H16"/>
    <mergeCell ref="J16:K16"/>
    <mergeCell ref="B11:H11"/>
    <mergeCell ref="J11:K11"/>
    <mergeCell ref="M11:N11"/>
    <mergeCell ref="J12:K12"/>
    <mergeCell ref="M12:N12"/>
    <mergeCell ref="B13:G13"/>
    <mergeCell ref="J13:K13"/>
    <mergeCell ref="M13:N13"/>
    <mergeCell ref="B19:H19"/>
    <mergeCell ref="J19:K19"/>
    <mergeCell ref="M19:N19"/>
    <mergeCell ref="C20:H20"/>
    <mergeCell ref="J20:K20"/>
    <mergeCell ref="M20:N20"/>
    <mergeCell ref="B17:H17"/>
    <mergeCell ref="J17:K17"/>
    <mergeCell ref="M17:N17"/>
    <mergeCell ref="B18:H18"/>
    <mergeCell ref="J18:K18"/>
    <mergeCell ref="M18:N18"/>
    <mergeCell ref="C23:H23"/>
    <mergeCell ref="J23:K23"/>
    <mergeCell ref="C24:H24"/>
    <mergeCell ref="J24:K24"/>
    <mergeCell ref="C25:H25"/>
    <mergeCell ref="J25:K25"/>
    <mergeCell ref="C21:H21"/>
    <mergeCell ref="J21:K21"/>
    <mergeCell ref="M21:N21"/>
    <mergeCell ref="C22:H22"/>
    <mergeCell ref="J22:K22"/>
    <mergeCell ref="M22:N22"/>
    <mergeCell ref="B32:K32"/>
    <mergeCell ref="M32:N32"/>
    <mergeCell ref="B34:F34"/>
    <mergeCell ref="M34:N34"/>
    <mergeCell ref="M36:N36"/>
    <mergeCell ref="A38:E38"/>
    <mergeCell ref="B26:H26"/>
    <mergeCell ref="M26:N26"/>
    <mergeCell ref="L27:M27"/>
    <mergeCell ref="B28:H28"/>
    <mergeCell ref="C30:E30"/>
    <mergeCell ref="M30:N30"/>
    <mergeCell ref="B45:H45"/>
    <mergeCell ref="J45:K45"/>
    <mergeCell ref="B47:F47"/>
    <mergeCell ref="M47:N47"/>
    <mergeCell ref="D50:J50"/>
    <mergeCell ref="K50:L50"/>
    <mergeCell ref="B39:H39"/>
    <mergeCell ref="J39:K39"/>
    <mergeCell ref="M39:N39"/>
    <mergeCell ref="B41:H41"/>
    <mergeCell ref="J41:K41"/>
    <mergeCell ref="B43:H43"/>
    <mergeCell ref="J43:K43"/>
    <mergeCell ref="A59:O59"/>
    <mergeCell ref="A60:O60"/>
    <mergeCell ref="A61:N61"/>
    <mergeCell ref="A63:O63"/>
    <mergeCell ref="A64:O64"/>
    <mergeCell ref="A65:O65"/>
    <mergeCell ref="D51:G51"/>
    <mergeCell ref="K51:N51"/>
    <mergeCell ref="A58:D58"/>
    <mergeCell ref="A55:O56"/>
    <mergeCell ref="A54:E54"/>
    <mergeCell ref="K76:L76"/>
    <mergeCell ref="M76:N76"/>
    <mergeCell ref="F77:G77"/>
    <mergeCell ref="H77:J77"/>
    <mergeCell ref="K77:L77"/>
    <mergeCell ref="M77:N77"/>
    <mergeCell ref="A68:D68"/>
    <mergeCell ref="B74:N74"/>
    <mergeCell ref="B75:E77"/>
    <mergeCell ref="F75:G75"/>
    <mergeCell ref="H75:J75"/>
    <mergeCell ref="K75:L75"/>
    <mergeCell ref="M75:N75"/>
    <mergeCell ref="F76:G76"/>
    <mergeCell ref="H76:J76"/>
    <mergeCell ref="M71:O71"/>
    <mergeCell ref="H80:J80"/>
    <mergeCell ref="K80:L80"/>
    <mergeCell ref="M80:N80"/>
    <mergeCell ref="B81:E85"/>
    <mergeCell ref="F81:G81"/>
    <mergeCell ref="H81:J81"/>
    <mergeCell ref="K81:L81"/>
    <mergeCell ref="M81:N81"/>
    <mergeCell ref="F82:G82"/>
    <mergeCell ref="H82:J82"/>
    <mergeCell ref="B78:E80"/>
    <mergeCell ref="F78:G78"/>
    <mergeCell ref="H78:J78"/>
    <mergeCell ref="K78:L78"/>
    <mergeCell ref="M78:N78"/>
    <mergeCell ref="F79:G79"/>
    <mergeCell ref="H79:J79"/>
    <mergeCell ref="K79:L79"/>
    <mergeCell ref="M79:N79"/>
    <mergeCell ref="F80:G80"/>
    <mergeCell ref="F84:G84"/>
    <mergeCell ref="H84:J84"/>
    <mergeCell ref="K84:L84"/>
    <mergeCell ref="M84:N84"/>
    <mergeCell ref="F85:G85"/>
    <mergeCell ref="H85:J85"/>
    <mergeCell ref="K85:L85"/>
    <mergeCell ref="M85:N85"/>
    <mergeCell ref="K82:L82"/>
    <mergeCell ref="M82:N82"/>
    <mergeCell ref="F83:G83"/>
    <mergeCell ref="H83:J83"/>
    <mergeCell ref="K83:L83"/>
    <mergeCell ref="M83:N83"/>
    <mergeCell ref="C93:M93"/>
    <mergeCell ref="C94:D94"/>
    <mergeCell ref="E94:F94"/>
    <mergeCell ref="G94:I94"/>
    <mergeCell ref="J94:K94"/>
    <mergeCell ref="L94:M94"/>
    <mergeCell ref="H88:J88"/>
    <mergeCell ref="K88:L88"/>
    <mergeCell ref="M88:N88"/>
    <mergeCell ref="F89:G89"/>
    <mergeCell ref="H89:J89"/>
    <mergeCell ref="K89:L89"/>
    <mergeCell ref="M89:N89"/>
    <mergeCell ref="B86:E89"/>
    <mergeCell ref="F86:G86"/>
    <mergeCell ref="H86:J86"/>
    <mergeCell ref="K86:L86"/>
    <mergeCell ref="M86:N86"/>
    <mergeCell ref="F87:G87"/>
    <mergeCell ref="H87:J87"/>
    <mergeCell ref="K87:L87"/>
    <mergeCell ref="M87:N87"/>
    <mergeCell ref="F88:G88"/>
    <mergeCell ref="C95:D95"/>
    <mergeCell ref="E95:F95"/>
    <mergeCell ref="G95:I95"/>
    <mergeCell ref="J95:K95"/>
    <mergeCell ref="L95:M95"/>
    <mergeCell ref="C96:D96"/>
    <mergeCell ref="E96:F96"/>
    <mergeCell ref="G96:I96"/>
    <mergeCell ref="J96:K96"/>
    <mergeCell ref="L96:M96"/>
    <mergeCell ref="C97:D97"/>
    <mergeCell ref="E97:F97"/>
    <mergeCell ref="G97:I97"/>
    <mergeCell ref="J97:K97"/>
    <mergeCell ref="L97:M97"/>
    <mergeCell ref="C98:D98"/>
    <mergeCell ref="E98:F98"/>
    <mergeCell ref="G98:I98"/>
    <mergeCell ref="J98:K98"/>
    <mergeCell ref="L98:M98"/>
    <mergeCell ref="C101:D101"/>
    <mergeCell ref="E101:F101"/>
    <mergeCell ref="G101:I101"/>
    <mergeCell ref="J101:K101"/>
    <mergeCell ref="L101:M101"/>
    <mergeCell ref="C105:M105"/>
    <mergeCell ref="C99:D99"/>
    <mergeCell ref="E99:F99"/>
    <mergeCell ref="G99:I99"/>
    <mergeCell ref="J99:K99"/>
    <mergeCell ref="L99:M99"/>
    <mergeCell ref="C100:D100"/>
    <mergeCell ref="E100:F100"/>
    <mergeCell ref="G100:I100"/>
    <mergeCell ref="J100:K100"/>
    <mergeCell ref="L100:M100"/>
    <mergeCell ref="G108:I108"/>
    <mergeCell ref="J108:K108"/>
    <mergeCell ref="L108:M108"/>
    <mergeCell ref="C109:D109"/>
    <mergeCell ref="E109:F109"/>
    <mergeCell ref="G109:I109"/>
    <mergeCell ref="J109:K109"/>
    <mergeCell ref="L109:M109"/>
    <mergeCell ref="C106:D106"/>
    <mergeCell ref="E106:F106"/>
    <mergeCell ref="G106:I106"/>
    <mergeCell ref="J106:K106"/>
    <mergeCell ref="L106:M106"/>
    <mergeCell ref="C107:D107"/>
    <mergeCell ref="E107:F107"/>
    <mergeCell ref="G107:I107"/>
    <mergeCell ref="J107:K107"/>
    <mergeCell ref="L107:M107"/>
    <mergeCell ref="M1:N1"/>
    <mergeCell ref="E1:K1"/>
    <mergeCell ref="C112:D112"/>
    <mergeCell ref="E112:F112"/>
    <mergeCell ref="G112:I112"/>
    <mergeCell ref="J112:K112"/>
    <mergeCell ref="L112:M112"/>
    <mergeCell ref="C113:D113"/>
    <mergeCell ref="E113:F113"/>
    <mergeCell ref="G113:I113"/>
    <mergeCell ref="J113:K113"/>
    <mergeCell ref="L113:M113"/>
    <mergeCell ref="C110:D110"/>
    <mergeCell ref="E110:F110"/>
    <mergeCell ref="G110:I110"/>
    <mergeCell ref="J110:K110"/>
    <mergeCell ref="L110:M110"/>
    <mergeCell ref="C111:D111"/>
    <mergeCell ref="E111:F111"/>
    <mergeCell ref="G111:I111"/>
    <mergeCell ref="J111:K111"/>
    <mergeCell ref="L111:M111"/>
    <mergeCell ref="C108:D108"/>
    <mergeCell ref="E108:F108"/>
  </mergeCells>
  <conditionalFormatting sqref="M34:N34">
    <cfRule type="expression" dxfId="59" priority="7">
      <formula>$M$34&lt;0</formula>
    </cfRule>
  </conditionalFormatting>
  <conditionalFormatting sqref="K50:L50">
    <cfRule type="expression" dxfId="58" priority="5">
      <formula>$K$50="NO"</formula>
    </cfRule>
    <cfRule type="expression" dxfId="57" priority="6">
      <formula>$K$50="YES"</formula>
    </cfRule>
  </conditionalFormatting>
  <conditionalFormatting sqref="E1:K1">
    <cfRule type="expression" dxfId="56" priority="4">
      <formula>$E$1&lt;&gt;""</formula>
    </cfRule>
  </conditionalFormatting>
  <conditionalFormatting sqref="E95:M101 E107:M113">
    <cfRule type="cellIs" dxfId="55" priority="2" operator="equal">
      <formula>$M$47</formula>
    </cfRule>
  </conditionalFormatting>
  <conditionalFormatting sqref="J4:N7">
    <cfRule type="expression" dxfId="54" priority="1">
      <formula>$J$4&lt;&gt;""</formula>
    </cfRule>
  </conditionalFormatting>
  <printOptions horizontalCentered="1"/>
  <pageMargins left="0.25" right="0.25" top="0.25" bottom="0.25" header="0.3" footer="0.3"/>
  <pageSetup paperSize="5" scale="95" fitToWidth="0" fitToHeight="0" orientation="portrait" r:id="rId1"/>
  <rowBreaks count="1" manualBreakCount="1">
    <brk id="7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6097" r:id="rId4" name="Drop Down 1">
              <controlPr defaultSize="0" autoLine="0" autoPict="0">
                <anchor moveWithCells="1">
                  <from>
                    <xdr:col>9</xdr:col>
                    <xdr:colOff>0</xdr:colOff>
                    <xdr:row>40</xdr:row>
                    <xdr:rowOff>0</xdr:rowOff>
                  </from>
                  <to>
                    <xdr:col>11</xdr:col>
                    <xdr:colOff>83820</xdr:colOff>
                    <xdr:row>41</xdr:row>
                    <xdr:rowOff>0</xdr:rowOff>
                  </to>
                </anchor>
              </controlPr>
            </control>
          </mc:Choice>
        </mc:AlternateContent>
        <mc:AlternateContent xmlns:mc="http://schemas.openxmlformats.org/markup-compatibility/2006">
          <mc:Choice Requires="x14">
            <control shapeId="516098" r:id="rId5" name="Drop Down 2">
              <controlPr defaultSize="0" autoLine="0" autoPict="0">
                <anchor moveWithCells="1">
                  <from>
                    <xdr:col>9</xdr:col>
                    <xdr:colOff>0</xdr:colOff>
                    <xdr:row>44</xdr:row>
                    <xdr:rowOff>0</xdr:rowOff>
                  </from>
                  <to>
                    <xdr:col>11</xdr:col>
                    <xdr:colOff>83820</xdr:colOff>
                    <xdr:row>45</xdr:row>
                    <xdr:rowOff>0</xdr:rowOff>
                  </to>
                </anchor>
              </controlPr>
            </control>
          </mc:Choice>
        </mc:AlternateContent>
        <mc:AlternateContent xmlns:mc="http://schemas.openxmlformats.org/markup-compatibility/2006">
          <mc:Choice Requires="x14">
            <control shapeId="516103" r:id="rId6" name="Button 7">
              <controlPr defaultSize="0" print="0" autoFill="0" autoPict="0" macro="[0]!IW_Copy">
                <anchor moveWithCells="1" sizeWithCells="1">
                  <from>
                    <xdr:col>1</xdr:col>
                    <xdr:colOff>137160</xdr:colOff>
                    <xdr:row>0</xdr:row>
                    <xdr:rowOff>7620</xdr:rowOff>
                  </from>
                  <to>
                    <xdr:col>2</xdr:col>
                    <xdr:colOff>335280</xdr:colOff>
                    <xdr:row>1</xdr:row>
                    <xdr:rowOff>106680</xdr:rowOff>
                  </to>
                </anchor>
              </controlPr>
            </control>
          </mc:Choice>
        </mc:AlternateContent>
        <mc:AlternateContent xmlns:mc="http://schemas.openxmlformats.org/markup-compatibility/2006">
          <mc:Choice Requires="x14">
            <control shapeId="516104" r:id="rId7" name="Button 8">
              <controlPr defaultSize="0" print="0" autoFill="0" autoPict="0" macro="[0]!IW_Home">
                <anchor moveWithCells="1" sizeWithCells="1">
                  <from>
                    <xdr:col>0</xdr:col>
                    <xdr:colOff>0</xdr:colOff>
                    <xdr:row>0</xdr:row>
                    <xdr:rowOff>7620</xdr:rowOff>
                  </from>
                  <to>
                    <xdr:col>1</xdr:col>
                    <xdr:colOff>83820</xdr:colOff>
                    <xdr:row>1</xdr:row>
                    <xdr:rowOff>106680</xdr:rowOff>
                  </to>
                </anchor>
              </controlPr>
            </control>
          </mc:Choice>
        </mc:AlternateContent>
        <mc:AlternateContent xmlns:mc="http://schemas.openxmlformats.org/markup-compatibility/2006">
          <mc:Choice Requires="x14">
            <control shapeId="516105" r:id="rId8" name="Button 9">
              <controlPr defaultSize="0" print="0" autoFill="0" autoPict="0" macro="[0]!Residual_Clear">
                <anchor moveWithCells="1" sizeWithCells="1">
                  <from>
                    <xdr:col>3</xdr:col>
                    <xdr:colOff>0</xdr:colOff>
                    <xdr:row>0</xdr:row>
                    <xdr:rowOff>7620</xdr:rowOff>
                  </from>
                  <to>
                    <xdr:col>3</xdr:col>
                    <xdr:colOff>434340</xdr:colOff>
                    <xdr:row>1</xdr:row>
                    <xdr:rowOff>106680</xdr:rowOff>
                  </to>
                </anchor>
              </controlPr>
            </control>
          </mc:Choice>
        </mc:AlternateContent>
        <mc:AlternateContent xmlns:mc="http://schemas.openxmlformats.org/markup-compatibility/2006">
          <mc:Choice Requires="x14">
            <control shapeId="516106" r:id="rId9" name="Button 10">
              <controlPr defaultSize="0" print="0" autoFill="0" autoPict="0" macro="[0]!Residual_Hide">
                <anchor moveWithCells="1" sizeWithCells="1">
                  <from>
                    <xdr:col>0</xdr:col>
                    <xdr:colOff>7620</xdr:colOff>
                    <xdr:row>1</xdr:row>
                    <xdr:rowOff>160020</xdr:rowOff>
                  </from>
                  <to>
                    <xdr:col>1</xdr:col>
                    <xdr:colOff>91440</xdr:colOff>
                    <xdr:row>1</xdr:row>
                    <xdr:rowOff>457200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tabColor rgb="FF92D050"/>
  </sheetPr>
  <dimension ref="A1:X142"/>
  <sheetViews>
    <sheetView showGridLines="0" showRowColHeaders="0" showZeros="0" showRuler="0" view="pageLayout" zoomScale="90" zoomScaleNormal="100" zoomScaleSheetLayoutView="90" zoomScalePageLayoutView="90" workbookViewId="0">
      <selection activeCell="E7" sqref="E7:K7"/>
    </sheetView>
  </sheetViews>
  <sheetFormatPr defaultColWidth="9.109375" defaultRowHeight="10.199999999999999" x14ac:dyDescent="0.2"/>
  <cols>
    <col min="1" max="2" width="0.33203125" style="257" customWidth="1"/>
    <col min="3" max="3" width="0.5546875" style="257" customWidth="1"/>
    <col min="4" max="4" width="13.44140625" style="257" customWidth="1"/>
    <col min="5" max="5" width="0.109375" style="257" customWidth="1"/>
    <col min="6" max="6" width="0.5546875" style="257" customWidth="1"/>
    <col min="7" max="7" width="17.88671875" style="257" customWidth="1"/>
    <col min="8" max="8" width="0.5546875" style="257" customWidth="1"/>
    <col min="9" max="9" width="12.44140625" style="257" customWidth="1"/>
    <col min="10" max="10" width="0.5546875" style="257" customWidth="1"/>
    <col min="11" max="11" width="7.5546875" style="257" customWidth="1"/>
    <col min="12" max="12" width="0.5546875" style="257" customWidth="1"/>
    <col min="13" max="13" width="7.5546875" style="257" customWidth="1"/>
    <col min="14" max="14" width="0.5546875" style="257" customWidth="1"/>
    <col min="15" max="15" width="6.33203125" style="257" customWidth="1"/>
    <col min="16" max="16" width="0.5546875" style="257" customWidth="1"/>
    <col min="17" max="17" width="13" style="257" customWidth="1"/>
    <col min="18" max="18" width="0.5546875" style="257" customWidth="1"/>
    <col min="19" max="19" width="13.5546875" style="257" customWidth="1"/>
    <col min="20" max="20" width="0.5546875" style="257" customWidth="1"/>
    <col min="21" max="21" width="3.33203125" style="265" customWidth="1"/>
    <col min="22" max="22" width="0.5546875" style="257" customWidth="1"/>
    <col min="23" max="23" width="0.33203125" style="257" customWidth="1"/>
    <col min="24" max="24" width="2.6640625" style="257" customWidth="1"/>
    <col min="25" max="26" width="9.109375" style="257" customWidth="1"/>
    <col min="27" max="27" width="9.109375" style="257"/>
    <col min="28" max="28" width="9.109375" style="257" customWidth="1"/>
    <col min="29" max="29" width="9.109375" style="257"/>
    <col min="30" max="30" width="9.109375" style="257" customWidth="1"/>
    <col min="31" max="31" width="9.109375" style="257"/>
    <col min="32" max="32" width="9.109375" style="257" customWidth="1"/>
    <col min="33" max="33" width="9.109375" style="257"/>
    <col min="34" max="34" width="9.109375" style="257" customWidth="1"/>
    <col min="35" max="35" width="9.109375" style="257"/>
    <col min="36" max="37" width="9.109375" style="257" customWidth="1"/>
    <col min="38" max="16384" width="9.109375" style="257"/>
  </cols>
  <sheetData>
    <row r="1" spans="1:24" ht="15" customHeight="1" x14ac:dyDescent="0.2">
      <c r="R1" s="192"/>
      <c r="S1" s="2383" t="str">
        <f ca="1">DateStamp</f>
        <v>Created 01-28-26</v>
      </c>
      <c r="T1" s="2383"/>
      <c r="U1" s="2383"/>
      <c r="V1" s="192"/>
      <c r="W1" s="192"/>
      <c r="X1" s="192"/>
    </row>
    <row r="2" spans="1:24" ht="11.25" customHeight="1" x14ac:dyDescent="0.2">
      <c r="A2" s="1207" t="s">
        <v>238</v>
      </c>
      <c r="B2" s="1207"/>
      <c r="C2" s="1207"/>
      <c r="D2" s="1207"/>
      <c r="E2" s="1207"/>
      <c r="F2" s="1207"/>
      <c r="G2" s="1207"/>
      <c r="H2" s="1207"/>
      <c r="I2" s="1207"/>
      <c r="J2" s="1207"/>
      <c r="K2" s="1207"/>
      <c r="L2" s="1207"/>
      <c r="M2" s="1207"/>
      <c r="N2" s="1207"/>
      <c r="O2" s="1207"/>
      <c r="P2" s="1207"/>
      <c r="Q2" s="1207"/>
      <c r="R2" s="1207"/>
      <c r="S2" s="1207"/>
      <c r="T2" s="1207"/>
      <c r="U2" s="1207"/>
      <c r="V2" s="1207"/>
      <c r="W2" s="1207"/>
      <c r="X2" s="278"/>
    </row>
    <row r="3" spans="1:24" ht="11.25" customHeight="1" x14ac:dyDescent="0.2">
      <c r="A3" s="1207"/>
      <c r="B3" s="1207"/>
      <c r="C3" s="1207"/>
      <c r="D3" s="1207"/>
      <c r="E3" s="1207"/>
      <c r="F3" s="1207"/>
      <c r="G3" s="1207"/>
      <c r="H3" s="1207"/>
      <c r="I3" s="1207"/>
      <c r="J3" s="1207"/>
      <c r="K3" s="1207"/>
      <c r="L3" s="1207"/>
      <c r="M3" s="1207"/>
      <c r="N3" s="1207"/>
      <c r="O3" s="1207"/>
      <c r="P3" s="1207"/>
      <c r="Q3" s="1207"/>
      <c r="R3" s="1207"/>
      <c r="S3" s="1207"/>
      <c r="T3" s="1207"/>
      <c r="U3" s="1207"/>
      <c r="V3" s="1207"/>
      <c r="W3" s="1207"/>
      <c r="X3" s="278"/>
    </row>
    <row r="4" spans="1:24" x14ac:dyDescent="0.2">
      <c r="Q4" s="192"/>
      <c r="R4" s="258"/>
      <c r="S4" s="259"/>
    </row>
    <row r="7" spans="1:24" ht="14.25" customHeight="1" x14ac:dyDescent="0.3">
      <c r="D7" s="277" t="s">
        <v>15</v>
      </c>
      <c r="E7" s="2388" t="s">
        <v>847</v>
      </c>
      <c r="F7" s="2388"/>
      <c r="G7" s="2388"/>
      <c r="H7" s="2388"/>
      <c r="I7" s="2388"/>
      <c r="J7" s="2388"/>
      <c r="K7" s="2388"/>
    </row>
    <row r="8" spans="1:24" x14ac:dyDescent="0.2">
      <c r="K8" s="260"/>
      <c r="L8" s="260"/>
      <c r="M8" s="260"/>
    </row>
    <row r="9" spans="1:24" ht="11.4" customHeight="1" x14ac:dyDescent="0.2"/>
    <row r="10" spans="1:24" ht="1.5" customHeight="1" x14ac:dyDescent="0.2">
      <c r="B10" s="261" t="s">
        <v>383</v>
      </c>
      <c r="C10" s="262"/>
      <c r="D10" s="262"/>
      <c r="E10" s="262"/>
      <c r="F10" s="262"/>
      <c r="G10" s="262"/>
      <c r="H10" s="262"/>
      <c r="I10" s="262"/>
      <c r="J10" s="262"/>
      <c r="K10" s="262"/>
      <c r="L10" s="262"/>
      <c r="M10" s="262"/>
      <c r="N10" s="262"/>
      <c r="O10" s="262"/>
      <c r="P10" s="262"/>
      <c r="Q10" s="262"/>
      <c r="R10" s="262"/>
      <c r="S10" s="262"/>
      <c r="T10" s="262"/>
      <c r="U10" s="283"/>
      <c r="V10" s="262"/>
      <c r="W10" s="262"/>
    </row>
    <row r="11" spans="1:24" ht="3.6" customHeight="1" x14ac:dyDescent="0.2">
      <c r="B11" s="263" t="s">
        <v>233</v>
      </c>
      <c r="W11" s="262"/>
    </row>
    <row r="12" spans="1:24" ht="11.4" customHeight="1" x14ac:dyDescent="0.2">
      <c r="B12" s="263" t="s">
        <v>232</v>
      </c>
      <c r="D12" s="2383" t="s">
        <v>415</v>
      </c>
      <c r="E12" s="2383"/>
      <c r="F12" s="192"/>
      <c r="G12" s="2385"/>
      <c r="H12" s="2385"/>
      <c r="I12" s="2385"/>
      <c r="W12" s="262"/>
    </row>
    <row r="13" spans="1:24" ht="3.6" customHeight="1" x14ac:dyDescent="0.2">
      <c r="B13" s="263" t="s">
        <v>231</v>
      </c>
      <c r="W13" s="262"/>
    </row>
    <row r="14" spans="1:24" ht="11.4" customHeight="1" x14ac:dyDescent="0.2">
      <c r="B14" s="263" t="s">
        <v>227</v>
      </c>
      <c r="D14" s="2384" t="s">
        <v>444</v>
      </c>
      <c r="E14" s="2384"/>
      <c r="G14" s="257" t="s">
        <v>445</v>
      </c>
      <c r="I14" s="257" t="s">
        <v>446</v>
      </c>
      <c r="K14" s="264" t="s">
        <v>447</v>
      </c>
      <c r="M14" s="264" t="s">
        <v>448</v>
      </c>
      <c r="O14" s="264" t="s">
        <v>472</v>
      </c>
      <c r="Q14" s="265" t="s">
        <v>80</v>
      </c>
      <c r="S14" s="265" t="s">
        <v>79</v>
      </c>
      <c r="U14" s="284" t="s">
        <v>460</v>
      </c>
      <c r="W14" s="262"/>
    </row>
    <row r="15" spans="1:24" ht="3.6" customHeight="1" x14ac:dyDescent="0.2">
      <c r="B15" s="263" t="s">
        <v>237</v>
      </c>
      <c r="W15" s="262"/>
    </row>
    <row r="16" spans="1:24" ht="11.4" customHeight="1" x14ac:dyDescent="0.2">
      <c r="B16" s="263" t="s">
        <v>236</v>
      </c>
      <c r="D16" s="2382" t="s">
        <v>847</v>
      </c>
      <c r="E16" s="2382"/>
      <c r="G16" s="266">
        <v>1</v>
      </c>
      <c r="I16" s="329"/>
      <c r="K16" s="272"/>
      <c r="L16" s="264"/>
      <c r="M16" s="272"/>
      <c r="O16" s="265">
        <f>IF(AND(M16&gt;0,K16&gt;0,M16&gt;K16,G16=8),ROUNDUP((YEARFRAC(K16,M16+1,4)*12),2),
IF(AND(M16&gt;0,G16=13),ROUNDDOWN((M16-DATEVALUE("1/1/"&amp;IF(M16&gt;DATEVALUE("12/31/2014"),"2015","2014")))/7+1,0),
IF(AND(M16&gt;0,G16=14),ROUNDDOWN((M16-DATEVALUE("1/1/"&amp;IF(M16&gt;DATEVALUE("12/31/2014"),"2015","2014")))/14+1,0),0)))</f>
        <v>0</v>
      </c>
      <c r="Q16" s="321">
        <f>ROUNDUP(IF(G16=2,ROUND(I16,2)*40*52/12,
IF(G16=3,I16*52/12,
IF(G16=4,I16*26/12,
IF(G16=5,I16*24/12,
IF(G16=6,I16,
IF(G16=7,I16/12,
IF(AND(M16&gt;0,K16&gt;0,M16&gt;K16,G16=8),ROUNDUP(I16/ROUNDUP((YEARFRAC(K16,M16+1,4)*12),2),2),
IF(G16=9,I16*52/12*10/12,
IF(G16=10,I16*26/12*10/12,
IF(G16=11,I16*24/12*10/12,
IF(G16=12,I16*10/12,
IF(AND(M16&gt;0,G16=13),ROUNDUP(I16/ROUNDDOWN((M16-DATEVALUE("1/1/"&amp;IF(M16&gt;DATEVALUE("12/31/2014"),"2015","2014")))/7+1,0)*52/12,2),
IF(AND(M16&gt;0,G16=14),ROUNDUP(I16/ROUNDDOWN((M16-DATEVALUE("1/1/"&amp;IF(M16&gt;DATEVALUE("12/31/2014"),"2015","2014")))/14+1,0)*26/12,2),
0))))))))))))),2)</f>
        <v>0</v>
      </c>
      <c r="R16" s="192"/>
      <c r="S16" s="321">
        <f>Q16*12</f>
        <v>0</v>
      </c>
      <c r="U16" s="285" t="b">
        <v>0</v>
      </c>
      <c r="W16" s="262"/>
    </row>
    <row r="17" spans="2:23" ht="3.6" customHeight="1" x14ac:dyDescent="0.2">
      <c r="B17" s="263" t="s">
        <v>384</v>
      </c>
      <c r="I17" s="192"/>
      <c r="K17" s="264"/>
      <c r="L17" s="264"/>
      <c r="M17" s="264"/>
      <c r="O17" s="265"/>
      <c r="Q17" s="192"/>
      <c r="R17" s="192"/>
      <c r="S17" s="192"/>
      <c r="U17" s="264"/>
      <c r="W17" s="262"/>
    </row>
    <row r="18" spans="2:23" ht="11.4" customHeight="1" x14ac:dyDescent="0.2">
      <c r="B18" s="263" t="s">
        <v>385</v>
      </c>
      <c r="D18" s="2382" t="s">
        <v>847</v>
      </c>
      <c r="E18" s="2382"/>
      <c r="G18" s="266">
        <v>1</v>
      </c>
      <c r="I18" s="329"/>
      <c r="K18" s="272"/>
      <c r="L18" s="264"/>
      <c r="M18" s="272"/>
      <c r="O18" s="265">
        <f>IF(AND(M18&gt;0,K18&gt;0,M18&gt;K18,G18=8),ROUNDUP((YEARFRAC(K18,M18+1,4)*12),2),
IF(AND(M18&gt;0,G18=13),ROUNDDOWN((M18-DATEVALUE("1/1/"&amp;IF(M18&gt;DATEVALUE("12/31/2014"),"2015","2014")))/7+1,0),
IF(AND(M18&gt;0,G18=14),ROUNDDOWN((M18-DATEVALUE("1/1/"&amp;IF(M18&gt;DATEVALUE("12/31/2014"),"2015","2014")))/14+1,0),0)))</f>
        <v>0</v>
      </c>
      <c r="Q18" s="321">
        <f>ROUNDUP(IF(G18=2,ROUND(I18,2)*40*52/12,
IF(G18=3,I18*52/12,
IF(G18=4,I18*26/12,
IF(G18=5,I18*24/12,
IF(G18=6,I18,
IF(G18=7,I18/12,
IF(AND(M18&gt;0,K18&gt;0,M18&gt;K18,G18=8),ROUNDUP(I18/ROUNDUP((YEARFRAC(K18,M18+1,4)*12),2),2),
IF(G18=9,I18*52/12*10/12,
IF(G18=10,I18*26/12*10/12,
IF(G18=11,I18*24/12*10/12,
IF(G18=12,I18*10/12,
IF(AND(M18&gt;0,G18=13),ROUNDUP(I18/ROUNDDOWN((M18-DATEVALUE("1/1/"&amp;IF(M18&gt;DATEVALUE("12/31/2014"),"2015","2014")))/7+1,0)*52/12,2),
IF(AND(M18&gt;0,G18=14),ROUNDUP(I18/ROUNDDOWN((M18-DATEVALUE("1/1/"&amp;IF(M18&gt;DATEVALUE("12/31/2014"),"2015","2014")))/14+1,0)*26/12,2),
0))))))))))))),2)</f>
        <v>0</v>
      </c>
      <c r="R18" s="192"/>
      <c r="S18" s="321">
        <f>Q18*12</f>
        <v>0</v>
      </c>
      <c r="U18" s="285" t="b">
        <v>0</v>
      </c>
      <c r="W18" s="262"/>
    </row>
    <row r="19" spans="2:23" ht="3" customHeight="1" x14ac:dyDescent="0.2">
      <c r="B19" s="263" t="s">
        <v>386</v>
      </c>
      <c r="I19" s="192"/>
      <c r="K19" s="264"/>
      <c r="L19" s="264"/>
      <c r="M19" s="264"/>
      <c r="O19" s="265"/>
      <c r="Q19" s="192"/>
      <c r="R19" s="192"/>
      <c r="S19" s="192"/>
      <c r="U19" s="264"/>
      <c r="W19" s="262"/>
    </row>
    <row r="20" spans="2:23" ht="11.4" customHeight="1" x14ac:dyDescent="0.2">
      <c r="B20" s="263" t="s">
        <v>387</v>
      </c>
      <c r="D20" s="2382" t="s">
        <v>847</v>
      </c>
      <c r="E20" s="2382"/>
      <c r="G20" s="266">
        <v>1</v>
      </c>
      <c r="I20" s="329"/>
      <c r="K20" s="272"/>
      <c r="L20" s="264"/>
      <c r="M20" s="272"/>
      <c r="O20" s="265">
        <f>IF(AND(M20&gt;0,K20&gt;0,M20&gt;K20,G20=8),ROUNDUP((YEARFRAC(K20,M20+1,4)*12),2),
IF(AND(M20&gt;0,G20=13),ROUNDDOWN((M20-DATEVALUE("1/1/"&amp;IF(M20&gt;DATEVALUE("12/31/2014"),"2015","2014")))/7+1,0),
IF(AND(M20&gt;0,G20=14),ROUNDDOWN((M20-DATEVALUE("1/1/"&amp;IF(M20&gt;DATEVALUE("12/31/2014"),"2015","2014")))/14+1,0),0)))</f>
        <v>0</v>
      </c>
      <c r="Q20" s="321">
        <f>ROUNDUP(IF(G20=2,ROUND(I20,2)*40*52/12,
IF(G20=3,I20*52/12,
IF(G20=4,I20*26/12,
IF(G20=5,I20*24/12,
IF(G20=6,I20,
IF(G20=7,I20/12,
IF(AND(M20&gt;0,K20&gt;0,M20&gt;K20,G20=8),ROUNDUP(I20/ROUNDUP((YEARFRAC(K20,M20+1,4)*12),2),2),
IF(G20=9,I20*52/12*10/12,
IF(G20=10,I20*26/12*10/12,
IF(G20=11,I20*24/12*10/12,
IF(G20=12,I20*10/12,
IF(AND(M20&gt;0,G20=13),ROUNDUP(I20/ROUNDDOWN((M20-DATEVALUE("1/1/"&amp;IF(M20&gt;DATEVALUE("12/31/2014"),"2015","2014")))/7+1,0)*52/12,2),
IF(AND(M20&gt;0,G20=14),ROUNDUP(I20/ROUNDDOWN((M20-DATEVALUE("1/1/"&amp;IF(M20&gt;DATEVALUE("12/31/2014"),"2015","2014")))/14+1,0)*26/12,2),
0))))))))))))),2)</f>
        <v>0</v>
      </c>
      <c r="R20" s="192"/>
      <c r="S20" s="321">
        <f>Q20*12</f>
        <v>0</v>
      </c>
      <c r="U20" s="285" t="b">
        <v>0</v>
      </c>
      <c r="W20" s="262"/>
    </row>
    <row r="21" spans="2:23" ht="3.6" customHeight="1" x14ac:dyDescent="0.2">
      <c r="B21" s="267" t="s">
        <v>470</v>
      </c>
      <c r="I21" s="192"/>
      <c r="K21" s="264"/>
      <c r="L21" s="264"/>
      <c r="M21" s="264"/>
      <c r="O21" s="265"/>
      <c r="Q21" s="192"/>
      <c r="R21" s="192"/>
      <c r="S21" s="192"/>
      <c r="U21" s="264"/>
      <c r="W21" s="262"/>
    </row>
    <row r="22" spans="2:23" ht="11.4" customHeight="1" x14ac:dyDescent="0.2">
      <c r="B22" s="267" t="s">
        <v>471</v>
      </c>
      <c r="D22" s="2382" t="s">
        <v>847</v>
      </c>
      <c r="E22" s="2382"/>
      <c r="G22" s="266">
        <v>1</v>
      </c>
      <c r="I22" s="329"/>
      <c r="K22" s="272"/>
      <c r="L22" s="264"/>
      <c r="M22" s="272"/>
      <c r="O22" s="265">
        <f>IF(AND(M22&gt;0,K22&gt;0,M22&gt;K22,G22=8),ROUNDUP((YEARFRAC(K22,M22+1,4)*12),2),
IF(AND(M22&gt;0,G22=13),ROUNDDOWN((M22-DATEVALUE("1/1/"&amp;IF(M22&gt;DATEVALUE("12/31/2014"),"2015","2014")))/7+1,0),
IF(AND(M22&gt;0,G22=14),ROUNDDOWN((M22-DATEVALUE("1/1/"&amp;IF(M22&gt;DATEVALUE("12/31/2014"),"2015","2014")))/14+1,0),0)))</f>
        <v>0</v>
      </c>
      <c r="Q22" s="321">
        <f>ROUNDUP(IF(G22=2,ROUND(I22,2)*40*52/12,
IF(G22=3,I22*52/12,
IF(G22=4,I22*26/12,
IF(G22=5,I22*24/12,
IF(G22=6,I22,
IF(G22=7,I22/12,
IF(AND(M22&gt;0,K22&gt;0,M22&gt;K22,G22=8),ROUNDUP(I22/ROUNDUP((YEARFRAC(K22,M22+1,4)*12),2),2),
IF(G22=9,I22*52/12*10/12,
IF(G22=10,I22*26/12*10/12,
IF(G22=11,I22*24/12*10/12,
IF(G22=12,I22*10/12,
IF(AND(M22&gt;0,G22=13),ROUNDUP(I22/ROUNDDOWN((M22-DATEVALUE("1/1/"&amp;IF(M22&gt;DATEVALUE("12/31/2014"),"2015","2014")))/7+1,0)*52/12,2),
IF(AND(M22&gt;0,G22=14),ROUNDUP(I22/ROUNDDOWN((M22-DATEVALUE("1/1/"&amp;IF(M22&gt;DATEVALUE("12/31/2014"),"2015","2014")))/14+1,0)*26/12,2),
0))))))))))))),2)</f>
        <v>0</v>
      </c>
      <c r="R22" s="192"/>
      <c r="S22" s="321">
        <f>Q22*12</f>
        <v>0</v>
      </c>
      <c r="U22" s="285" t="b">
        <v>0</v>
      </c>
      <c r="W22" s="262"/>
    </row>
    <row r="23" spans="2:23" ht="3.6" customHeight="1" x14ac:dyDescent="0.2">
      <c r="B23" s="267"/>
      <c r="I23" s="192"/>
      <c r="K23" s="264"/>
      <c r="L23" s="264"/>
      <c r="M23" s="264"/>
      <c r="O23" s="265"/>
      <c r="Q23" s="192"/>
      <c r="R23" s="192"/>
      <c r="S23" s="192"/>
      <c r="U23" s="264"/>
      <c r="W23" s="262"/>
    </row>
    <row r="24" spans="2:23" ht="11.4" customHeight="1" x14ac:dyDescent="0.2">
      <c r="B24" s="267"/>
      <c r="D24" s="2382" t="s">
        <v>847</v>
      </c>
      <c r="E24" s="2382"/>
      <c r="G24" s="266">
        <v>1</v>
      </c>
      <c r="I24" s="329"/>
      <c r="K24" s="272"/>
      <c r="L24" s="264"/>
      <c r="M24" s="272"/>
      <c r="O24" s="265">
        <f>IF(AND(M24&gt;0,K24&gt;0,M24&gt;K24,G24=8),ROUNDUP((YEARFRAC(K24,M24+1,4)*12),2),
IF(AND(M24&gt;0,G24=13),ROUNDDOWN((M24-DATEVALUE("1/1/"&amp;IF(M24&gt;DATEVALUE("12/31/2014"),"2015","2014")))/7+1,0),
IF(AND(M24&gt;0,G24=14),ROUNDDOWN((M24-DATEVALUE("1/1/"&amp;IF(M24&gt;DATEVALUE("12/31/2014"),"2015","2014")))/14+1,0),0)))</f>
        <v>0</v>
      </c>
      <c r="Q24" s="321">
        <f>ROUNDUP(IF(G24=2,ROUND(I24,2)*40*52/12,
IF(G24=3,I24*52/12,
IF(G24=4,I24*26/12,
IF(G24=5,I24*24/12,
IF(G24=6,I24,
IF(G24=7,I24/12,
IF(AND(M24&gt;0,K24&gt;0,M24&gt;K24,G24=8),ROUNDUP(I24/ROUNDUP((YEARFRAC(K24,M24+1,4)*12),2),2),
IF(G24=9,I24*52/12*10/12,
IF(G24=10,I24*26/12*10/12,
IF(G24=11,I24*24/12*10/12,
IF(G24=12,I24*10/12,
IF(AND(M24&gt;0,G24=13),ROUNDUP(I24/ROUNDDOWN((M24-DATEVALUE("1/1/"&amp;IF(M24&gt;DATEVALUE("12/31/2014"),"2015","2014")))/7+1,0)*52/12,2),
IF(AND(M24&gt;0,G24=14),ROUNDUP(I24/ROUNDDOWN((M24-DATEVALUE("1/1/"&amp;IF(M24&gt;DATEVALUE("12/31/2014"),"2015","2014")))/14+1,0)*26/12,2),
0))))))))))))),2)</f>
        <v>0</v>
      </c>
      <c r="R24" s="192"/>
      <c r="S24" s="321">
        <f>Q24*12</f>
        <v>0</v>
      </c>
      <c r="U24" s="285" t="b">
        <v>0</v>
      </c>
      <c r="W24" s="262"/>
    </row>
    <row r="25" spans="2:23" ht="3.6" customHeight="1" x14ac:dyDescent="0.2">
      <c r="B25" s="267"/>
      <c r="Q25" s="192"/>
      <c r="R25" s="192"/>
      <c r="S25" s="192"/>
      <c r="W25" s="262"/>
    </row>
    <row r="26" spans="2:23" ht="11.4" customHeight="1" x14ac:dyDescent="0.2">
      <c r="B26" s="267"/>
      <c r="D26" s="260"/>
      <c r="E26" s="260"/>
      <c r="I26" s="268"/>
      <c r="K26" s="269"/>
      <c r="N26" s="274"/>
      <c r="O26" s="273" t="s">
        <v>449</v>
      </c>
      <c r="P26" s="274"/>
      <c r="Q26" s="322">
        <f>SUM(IF(U16,,Q16),IF(U18,,Q18),IF(U20,,Q20),IF(U22,,Q22),IF(U24,,Q24))</f>
        <v>0</v>
      </c>
      <c r="R26" s="323"/>
      <c r="S26" s="322">
        <f>Q26*12</f>
        <v>0</v>
      </c>
      <c r="W26" s="262"/>
    </row>
    <row r="27" spans="2:23" ht="3" customHeight="1" x14ac:dyDescent="0.2">
      <c r="B27" s="262"/>
      <c r="Q27" s="192"/>
      <c r="R27" s="192"/>
      <c r="S27" s="192"/>
      <c r="W27" s="262"/>
    </row>
    <row r="28" spans="2:23" ht="1.5" customHeight="1" x14ac:dyDescent="0.2">
      <c r="B28" s="262"/>
      <c r="C28" s="262"/>
      <c r="D28" s="262"/>
      <c r="E28" s="262"/>
      <c r="F28" s="262"/>
      <c r="G28" s="262"/>
      <c r="H28" s="262"/>
      <c r="I28" s="262"/>
      <c r="J28" s="262"/>
      <c r="K28" s="262"/>
      <c r="L28" s="262"/>
      <c r="M28" s="262"/>
      <c r="N28" s="262"/>
      <c r="O28" s="262"/>
      <c r="P28" s="262"/>
      <c r="Q28" s="324"/>
      <c r="R28" s="324"/>
      <c r="S28" s="324"/>
      <c r="T28" s="262"/>
      <c r="U28" s="283"/>
      <c r="V28" s="262"/>
      <c r="W28" s="262"/>
    </row>
    <row r="29" spans="2:23" ht="5.25" customHeight="1" x14ac:dyDescent="0.2">
      <c r="Q29" s="192"/>
      <c r="R29" s="192"/>
      <c r="S29" s="192"/>
    </row>
    <row r="30" spans="2:23" ht="1.5" customHeight="1" x14ac:dyDescent="0.2">
      <c r="B30" s="262"/>
      <c r="C30" s="262"/>
      <c r="D30" s="262"/>
      <c r="E30" s="262"/>
      <c r="F30" s="262"/>
      <c r="G30" s="262"/>
      <c r="H30" s="262"/>
      <c r="I30" s="262"/>
      <c r="J30" s="262"/>
      <c r="K30" s="262"/>
      <c r="L30" s="262"/>
      <c r="M30" s="262"/>
      <c r="N30" s="262"/>
      <c r="O30" s="262"/>
      <c r="P30" s="262"/>
      <c r="Q30" s="324"/>
      <c r="R30" s="324"/>
      <c r="S30" s="324"/>
      <c r="T30" s="262"/>
      <c r="U30" s="283"/>
      <c r="V30" s="262"/>
      <c r="W30" s="262"/>
    </row>
    <row r="31" spans="2:23" ht="3.6" customHeight="1" x14ac:dyDescent="0.2">
      <c r="B31" s="262"/>
      <c r="Q31" s="192"/>
      <c r="R31" s="192"/>
      <c r="S31" s="192"/>
      <c r="W31" s="262"/>
    </row>
    <row r="32" spans="2:23" ht="11.4" customHeight="1" x14ac:dyDescent="0.2">
      <c r="B32" s="262"/>
      <c r="D32" s="2383" t="s">
        <v>415</v>
      </c>
      <c r="E32" s="2383"/>
      <c r="G32" s="2381" t="s">
        <v>847</v>
      </c>
      <c r="H32" s="2381"/>
      <c r="I32" s="2381"/>
      <c r="Q32" s="192"/>
      <c r="R32" s="192"/>
      <c r="S32" s="192"/>
      <c r="W32" s="262"/>
    </row>
    <row r="33" spans="2:23" ht="3.6" customHeight="1" x14ac:dyDescent="0.2">
      <c r="B33" s="262"/>
      <c r="Q33" s="192"/>
      <c r="R33" s="192"/>
      <c r="S33" s="192"/>
      <c r="W33" s="262"/>
    </row>
    <row r="34" spans="2:23" ht="11.4" customHeight="1" x14ac:dyDescent="0.2">
      <c r="B34" s="262"/>
      <c r="D34" s="2384" t="s">
        <v>444</v>
      </c>
      <c r="E34" s="2384"/>
      <c r="G34" s="257" t="s">
        <v>445</v>
      </c>
      <c r="I34" s="257" t="s">
        <v>446</v>
      </c>
      <c r="K34" s="264" t="s">
        <v>447</v>
      </c>
      <c r="M34" s="264" t="s">
        <v>448</v>
      </c>
      <c r="O34" s="264" t="s">
        <v>472</v>
      </c>
      <c r="Q34" s="325" t="s">
        <v>80</v>
      </c>
      <c r="R34" s="192"/>
      <c r="S34" s="325" t="s">
        <v>79</v>
      </c>
      <c r="U34" s="284" t="s">
        <v>460</v>
      </c>
      <c r="W34" s="262"/>
    </row>
    <row r="35" spans="2:23" ht="3.6" customHeight="1" x14ac:dyDescent="0.2">
      <c r="B35" s="262"/>
      <c r="Q35" s="192"/>
      <c r="R35" s="192"/>
      <c r="S35" s="192"/>
      <c r="W35" s="262"/>
    </row>
    <row r="36" spans="2:23" ht="11.4" customHeight="1" x14ac:dyDescent="0.2">
      <c r="B36" s="262"/>
      <c r="D36" s="2382" t="s">
        <v>847</v>
      </c>
      <c r="E36" s="2382"/>
      <c r="G36" s="266">
        <v>1</v>
      </c>
      <c r="I36" s="329"/>
      <c r="K36" s="272"/>
      <c r="L36" s="264"/>
      <c r="M36" s="272"/>
      <c r="O36" s="265">
        <f>IF(AND(M36&gt;0,K36&gt;0,M36&gt;K36,G36=8),ROUNDUP((YEARFRAC(K36,M36+1,4)*12),2),
IF(AND(M36&gt;0,G36=13),ROUNDDOWN((M36-DATEVALUE("1/1/"&amp;IF(M36&gt;DATEVALUE("12/31/2014"),"2015","2014")))/7+1,0),
IF(AND(M36&gt;0,G36=14),ROUNDDOWN((M36-DATEVALUE("1/1/"&amp;IF(M36&gt;DATEVALUE("12/31/2014"),"2015","2014")))/14+1,0),0)))</f>
        <v>0</v>
      </c>
      <c r="Q36" s="321">
        <f>ROUNDUP(IF(G36=2,ROUND(I36,2)*40*52/12,
IF(G36=3,I36*52/12,
IF(G36=4,I36*26/12,
IF(G36=5,I36*24/12,
IF(G36=6,I36,
IF(G36=7,I36/12,
IF(AND(M36&gt;0,K36&gt;0,M36&gt;K36,G36=8),ROUNDUP(I36/ROUNDUP((YEARFRAC(K36,M36+1,4)*12),2),2),
IF(G36=9,I36*52/12*10/12,
IF(G36=10,I36*26/12*10/12,
IF(G36=11,I36*24/12*10/12,
IF(G36=12,I36*10/12,
IF(AND(M36&gt;0,G36=13),ROUNDUP(I36/ROUNDDOWN((M36-DATEVALUE("1/1/"&amp;IF(M36&gt;DATEVALUE("12/31/2014"),"2015","2014")))/7+1,0)*52/12,2),
IF(AND(M36&gt;0,G36=14),ROUNDUP(I36/ROUNDDOWN((M36-DATEVALUE("1/1/"&amp;IF(M36&gt;DATEVALUE("12/31/2014"),"2015","2014")))/14+1,0)*26/12,2),
0))))))))))))),2)</f>
        <v>0</v>
      </c>
      <c r="R36" s="192"/>
      <c r="S36" s="321">
        <f>Q36*12</f>
        <v>0</v>
      </c>
      <c r="U36" s="285" t="b">
        <v>0</v>
      </c>
      <c r="W36" s="262"/>
    </row>
    <row r="37" spans="2:23" ht="3.6" customHeight="1" x14ac:dyDescent="0.2">
      <c r="B37" s="262"/>
      <c r="I37" s="192"/>
      <c r="K37" s="264"/>
      <c r="L37" s="264"/>
      <c r="M37" s="286">
        <v>41919</v>
      </c>
      <c r="O37" s="265"/>
      <c r="Q37" s="192"/>
      <c r="R37" s="192"/>
      <c r="S37" s="192"/>
      <c r="U37" s="264"/>
      <c r="W37" s="262"/>
    </row>
    <row r="38" spans="2:23" ht="11.4" customHeight="1" x14ac:dyDescent="0.2">
      <c r="B38" s="262"/>
      <c r="D38" s="2382" t="s">
        <v>847</v>
      </c>
      <c r="E38" s="2382"/>
      <c r="G38" s="266">
        <v>1</v>
      </c>
      <c r="I38" s="329"/>
      <c r="K38" s="272"/>
      <c r="L38" s="264"/>
      <c r="M38" s="272"/>
      <c r="O38" s="265">
        <f>IF(AND(M38&gt;0,K38&gt;0,M38&gt;K38,G38=8),ROUNDUP((YEARFRAC(K38,M38+1,4)*12),2),
IF(AND(M38&gt;0,G38=13),ROUNDDOWN((M38-DATEVALUE("1/1/"&amp;IF(M38&gt;DATEVALUE("12/31/2014"),"2015","2014")))/7+1,0),
IF(AND(M38&gt;0,G38=14),ROUNDDOWN((M38-DATEVALUE("1/1/"&amp;IF(M38&gt;DATEVALUE("12/31/2014"),"2015","2014")))/14+1,0),0)))</f>
        <v>0</v>
      </c>
      <c r="Q38" s="321">
        <f>ROUNDUP(IF(G38=2,ROUND(I38,2)*40*52/12,
IF(G38=3,I38*52/12,
IF(G38=4,I38*26/12,
IF(G38=5,I38*24/12,
IF(G38=6,I38,
IF(G38=7,I38/12,
IF(AND(M38&gt;0,K38&gt;0,M38&gt;K38,G38=8),ROUNDUP(I38/ROUNDUP((YEARFRAC(K38,M38+1,4)*12),2),2),
IF(G38=9,I38*52/12*10/12,
IF(G38=10,I38*26/12*10/12,
IF(G38=11,I38*24/12*10/12,
IF(G38=12,I38*10/12,
IF(AND(M38&gt;0,G38=13),ROUNDUP(I38/ROUNDDOWN((M38-DATEVALUE("1/1/"&amp;IF(M38&gt;DATEVALUE("12/31/2014"),"2015","2014")))/7+1,0)*52/12,2),
IF(AND(M38&gt;0,G38=14),ROUNDUP(I38/ROUNDDOWN((M38-DATEVALUE("1/1/"&amp;IF(M38&gt;DATEVALUE("12/31/2014"),"2015","2014")))/14+1,0)*26/12,2),
0))))))))))))),2)</f>
        <v>0</v>
      </c>
      <c r="R38" s="192"/>
      <c r="S38" s="321">
        <f>Q38*12</f>
        <v>0</v>
      </c>
      <c r="U38" s="285" t="b">
        <v>0</v>
      </c>
      <c r="W38" s="262"/>
    </row>
    <row r="39" spans="2:23" ht="3.6" customHeight="1" x14ac:dyDescent="0.2">
      <c r="B39" s="262"/>
      <c r="I39" s="192"/>
      <c r="K39" s="264"/>
      <c r="L39" s="264"/>
      <c r="M39" s="264"/>
      <c r="O39" s="265"/>
      <c r="Q39" s="192"/>
      <c r="R39" s="192"/>
      <c r="S39" s="192"/>
      <c r="U39" s="264"/>
      <c r="W39" s="262"/>
    </row>
    <row r="40" spans="2:23" ht="11.4" customHeight="1" x14ac:dyDescent="0.2">
      <c r="B40" s="262"/>
      <c r="D40" s="2382" t="s">
        <v>847</v>
      </c>
      <c r="E40" s="2382"/>
      <c r="G40" s="266">
        <v>1</v>
      </c>
      <c r="I40" s="329"/>
      <c r="K40" s="272"/>
      <c r="L40" s="264"/>
      <c r="M40" s="272"/>
      <c r="O40" s="265">
        <f>IF(AND(M40&gt;0,K40&gt;0,M40&gt;K40,G40=8),ROUNDUP((YEARFRAC(K40,M40+1,4)*12),2),
IF(AND(M40&gt;0,G40=13),ROUNDDOWN((M40-DATEVALUE("1/1/"&amp;IF(M40&gt;DATEVALUE("12/31/2014"),"2015","2014")))/7+1,0),
IF(AND(M40&gt;0,G40=14),ROUNDDOWN((M40-DATEVALUE("1/1/"&amp;IF(M40&gt;DATEVALUE("12/31/2014"),"2015","2014")))/14+1,0),0)))</f>
        <v>0</v>
      </c>
      <c r="Q40" s="321">
        <f>ROUNDUP(IF(G40=2,ROUND(I40,2)*40*52/12,
IF(G40=3,I40*52/12,
IF(G40=4,I40*26/12,
IF(G40=5,I40*24/12,
IF(G40=6,I40,
IF(G40=7,I40/12,
IF(AND(M40&gt;0,K40&gt;0,M40&gt;K40,G40=8),ROUNDUP(I40/ROUNDUP((YEARFRAC(K40,M40+1,4)*12),2),2),
IF(G40=9,I40*52/12*10/12,
IF(G40=10,I40*26/12*10/12,
IF(G40=11,I40*24/12*10/12,
IF(G40=12,I40*10/12,
IF(AND(M40&gt;0,G40=13),ROUNDUP(I40/ROUNDDOWN((M40-DATEVALUE("1/1/"&amp;IF(M40&gt;DATEVALUE("12/31/2014"),"2015","2014")))/7+1,0)*52/12,2),
IF(AND(M40&gt;0,G40=14),ROUNDUP(I40/ROUNDDOWN((M40-DATEVALUE("1/1/"&amp;IF(M40&gt;DATEVALUE("12/31/2014"),"2015","2014")))/14+1,0)*26/12,2),
0))))))))))))),2)</f>
        <v>0</v>
      </c>
      <c r="R40" s="192"/>
      <c r="S40" s="321">
        <f>Q40*12</f>
        <v>0</v>
      </c>
      <c r="U40" s="285" t="b">
        <v>0</v>
      </c>
      <c r="W40" s="262"/>
    </row>
    <row r="41" spans="2:23" ht="3.6" customHeight="1" x14ac:dyDescent="0.2">
      <c r="B41" s="262"/>
      <c r="I41" s="192"/>
      <c r="K41" s="264"/>
      <c r="L41" s="264"/>
      <c r="M41" s="264"/>
      <c r="O41" s="265"/>
      <c r="Q41" s="192"/>
      <c r="R41" s="192"/>
      <c r="S41" s="192"/>
      <c r="U41" s="264"/>
      <c r="W41" s="262"/>
    </row>
    <row r="42" spans="2:23" ht="11.4" customHeight="1" x14ac:dyDescent="0.2">
      <c r="B42" s="262"/>
      <c r="D42" s="2382" t="s">
        <v>847</v>
      </c>
      <c r="E42" s="2382"/>
      <c r="G42" s="266">
        <v>1</v>
      </c>
      <c r="I42" s="329"/>
      <c r="K42" s="272"/>
      <c r="L42" s="264"/>
      <c r="M42" s="272"/>
      <c r="O42" s="265">
        <f>IF(AND(M42&gt;0,K42&gt;0,M42&gt;K42,G42=8),ROUNDUP((YEARFRAC(K42,M42+1,4)*12),2),
IF(AND(M42&gt;0,G42=13),ROUNDDOWN((M42-DATEVALUE("1/1/"&amp;IF(M42&gt;DATEVALUE("12/31/2014"),"2015","2014")))/7+1,0),
IF(AND(M42&gt;0,G42=14),ROUNDDOWN((M42-DATEVALUE("1/1/"&amp;IF(M42&gt;DATEVALUE("12/31/2014"),"2015","2014")))/14+1,0),0)))</f>
        <v>0</v>
      </c>
      <c r="Q42" s="321">
        <f>ROUNDUP(IF(G42=2,ROUND(I42,2)*40*52/12,
IF(G42=3,I42*52/12,
IF(G42=4,I42*26/12,
IF(G42=5,I42*24/12,
IF(G42=6,I42,
IF(G42=7,I42/12,
IF(AND(M42&gt;0,K42&gt;0,M42&gt;K42,G42=8),ROUNDUP(I42/ROUNDUP((YEARFRAC(K42,M42+1,4)*12),2),2),
IF(G42=9,I42*52/12*10/12,
IF(G42=10,I42*26/12*10/12,
IF(G42=11,I42*24/12*10/12,
IF(G42=12,I42*10/12,
IF(AND(M42&gt;0,G42=13),ROUNDUP(I42/ROUNDDOWN((M42-DATEVALUE("1/1/"&amp;IF(M42&gt;DATEVALUE("12/31/2014"),"2015","2014")))/7+1,0)*52/12,2),
IF(AND(M42&gt;0,G42=14),ROUNDUP(I42/ROUNDDOWN((M42-DATEVALUE("1/1/"&amp;IF(M42&gt;DATEVALUE("12/31/2014"),"2015","2014")))/14+1,0)*26/12,2),
0))))))))))))),2)</f>
        <v>0</v>
      </c>
      <c r="R42" s="192"/>
      <c r="S42" s="321">
        <f>Q42*12</f>
        <v>0</v>
      </c>
      <c r="U42" s="285" t="b">
        <v>0</v>
      </c>
      <c r="W42" s="262"/>
    </row>
    <row r="43" spans="2:23" ht="3.6" customHeight="1" x14ac:dyDescent="0.2">
      <c r="B43" s="262"/>
      <c r="I43" s="192"/>
      <c r="K43" s="264"/>
      <c r="L43" s="264"/>
      <c r="M43" s="264"/>
      <c r="O43" s="265"/>
      <c r="Q43" s="192"/>
      <c r="R43" s="192"/>
      <c r="S43" s="192"/>
      <c r="U43" s="264"/>
      <c r="W43" s="262"/>
    </row>
    <row r="44" spans="2:23" ht="11.4" customHeight="1" x14ac:dyDescent="0.2">
      <c r="B44" s="262"/>
      <c r="D44" s="2382" t="s">
        <v>847</v>
      </c>
      <c r="E44" s="2382"/>
      <c r="G44" s="266">
        <v>1</v>
      </c>
      <c r="I44" s="329"/>
      <c r="K44" s="272"/>
      <c r="L44" s="264"/>
      <c r="M44" s="272"/>
      <c r="O44" s="265">
        <f>IF(AND(M44&gt;0,K44&gt;0,M44&gt;K44,G44=8),ROUNDUP((YEARFRAC(K44,M44+1,4)*12),2),
IF(AND(M44&gt;0,G44=13),ROUNDDOWN((M44-DATEVALUE("1/1/"&amp;IF(M44&gt;DATEVALUE("12/31/2014"),"2015","2014")))/7+1,0),
IF(AND(M44&gt;0,G44=14),ROUNDDOWN((M44-DATEVALUE("1/1/"&amp;IF(M44&gt;DATEVALUE("12/31/2014"),"2015","2014")))/14+1,0),0)))</f>
        <v>0</v>
      </c>
      <c r="Q44" s="321">
        <f>ROUNDUP(IF(G44=2,ROUND(I44,2)*40*52/12,
IF(G44=3,I44*52/12,
IF(G44=4,I44*26/12,
IF(G44=5,I44*24/12,
IF(G44=6,I44,
IF(G44=7,I44/12,
IF(AND(M44&gt;0,K44&gt;0,M44&gt;K44,G44=8),ROUNDUP(I44/ROUNDUP((YEARFRAC(K44,M44+1,4)*12),2),2),
IF(G44=9,I44*52/12*10/12,
IF(G44=10,I44*26/12*10/12,
IF(G44=11,I44*24/12*10/12,
IF(G44=12,I44*10/12,
IF(AND(M44&gt;0,G44=13),ROUNDUP(I44/ROUNDDOWN((M44-DATEVALUE("1/1/"&amp;IF(M44&gt;DATEVALUE("12/31/2014"),"2015","2014")))/7+1,0)*52/12,2),
IF(AND(M44&gt;0,G44=14),ROUNDUP(I44/ROUNDDOWN((M44-DATEVALUE("1/1/"&amp;IF(M44&gt;DATEVALUE("12/31/2014"),"2015","2014")))/14+1,0)*26/12,2),
0))))))))))))),2)</f>
        <v>0</v>
      </c>
      <c r="R44" s="192"/>
      <c r="S44" s="321">
        <f>Q44*12</f>
        <v>0</v>
      </c>
      <c r="U44" s="285" t="b">
        <v>0</v>
      </c>
      <c r="W44" s="262"/>
    </row>
    <row r="45" spans="2:23" ht="3.6" customHeight="1" x14ac:dyDescent="0.2">
      <c r="B45" s="262"/>
      <c r="Q45" s="192"/>
      <c r="R45" s="192"/>
      <c r="S45" s="192"/>
      <c r="W45" s="262"/>
    </row>
    <row r="46" spans="2:23" ht="11.4" customHeight="1" x14ac:dyDescent="0.2">
      <c r="B46" s="262"/>
      <c r="D46" s="260"/>
      <c r="E46" s="260"/>
      <c r="I46" s="268"/>
      <c r="K46" s="269"/>
      <c r="N46" s="274"/>
      <c r="O46" s="273" t="s">
        <v>449</v>
      </c>
      <c r="P46" s="274"/>
      <c r="Q46" s="322">
        <f>SUM(IF(U36,,Q36),IF(U38,,Q38),IF(U40,,Q40),IF(U42,,Q42),IF(U44,,Q44))</f>
        <v>0</v>
      </c>
      <c r="R46" s="323"/>
      <c r="S46" s="322">
        <f>Q46*12</f>
        <v>0</v>
      </c>
      <c r="W46" s="262"/>
    </row>
    <row r="47" spans="2:23" ht="3" customHeight="1" x14ac:dyDescent="0.2">
      <c r="B47" s="262"/>
      <c r="Q47" s="192"/>
      <c r="R47" s="192"/>
      <c r="S47" s="192"/>
      <c r="W47" s="262"/>
    </row>
    <row r="48" spans="2:23" ht="1.5" customHeight="1" x14ac:dyDescent="0.2">
      <c r="B48" s="262"/>
      <c r="C48" s="262"/>
      <c r="D48" s="262"/>
      <c r="E48" s="262"/>
      <c r="F48" s="262"/>
      <c r="G48" s="262"/>
      <c r="H48" s="262"/>
      <c r="I48" s="262"/>
      <c r="J48" s="262"/>
      <c r="K48" s="262"/>
      <c r="L48" s="262"/>
      <c r="M48" s="262"/>
      <c r="N48" s="262"/>
      <c r="O48" s="262"/>
      <c r="P48" s="262"/>
      <c r="Q48" s="324"/>
      <c r="R48" s="324"/>
      <c r="S48" s="324"/>
      <c r="T48" s="262"/>
      <c r="U48" s="283"/>
      <c r="V48" s="262"/>
      <c r="W48" s="262"/>
    </row>
    <row r="49" spans="2:23" ht="6" customHeight="1" x14ac:dyDescent="0.2">
      <c r="Q49" s="192"/>
      <c r="R49" s="192"/>
      <c r="S49" s="192"/>
    </row>
    <row r="50" spans="2:23" ht="1.5" customHeight="1" x14ac:dyDescent="0.2">
      <c r="B50" s="262"/>
      <c r="C50" s="262"/>
      <c r="D50" s="262"/>
      <c r="E50" s="262"/>
      <c r="F50" s="262"/>
      <c r="G50" s="262"/>
      <c r="H50" s="262"/>
      <c r="I50" s="262"/>
      <c r="J50" s="262"/>
      <c r="K50" s="262"/>
      <c r="L50" s="262"/>
      <c r="M50" s="262"/>
      <c r="N50" s="262"/>
      <c r="O50" s="262"/>
      <c r="P50" s="262"/>
      <c r="Q50" s="324"/>
      <c r="R50" s="324"/>
      <c r="S50" s="324"/>
      <c r="T50" s="262"/>
      <c r="U50" s="283"/>
      <c r="V50" s="262"/>
      <c r="W50" s="262"/>
    </row>
    <row r="51" spans="2:23" ht="3.6" customHeight="1" x14ac:dyDescent="0.2">
      <c r="B51" s="262"/>
      <c r="Q51" s="192"/>
      <c r="R51" s="192"/>
      <c r="S51" s="192"/>
      <c r="W51" s="262"/>
    </row>
    <row r="52" spans="2:23" ht="11.4" customHeight="1" x14ac:dyDescent="0.2">
      <c r="B52" s="262"/>
      <c r="D52" s="2383" t="s">
        <v>415</v>
      </c>
      <c r="E52" s="2383"/>
      <c r="G52" s="2381"/>
      <c r="H52" s="2381"/>
      <c r="I52" s="2381"/>
      <c r="Q52" s="192"/>
      <c r="R52" s="192"/>
      <c r="S52" s="192"/>
      <c r="W52" s="262"/>
    </row>
    <row r="53" spans="2:23" ht="3.6" customHeight="1" x14ac:dyDescent="0.2">
      <c r="B53" s="262"/>
      <c r="Q53" s="192"/>
      <c r="R53" s="192"/>
      <c r="S53" s="192"/>
      <c r="W53" s="262"/>
    </row>
    <row r="54" spans="2:23" ht="11.4" customHeight="1" x14ac:dyDescent="0.2">
      <c r="B54" s="262"/>
      <c r="D54" s="2384" t="s">
        <v>444</v>
      </c>
      <c r="E54" s="2384"/>
      <c r="G54" s="257" t="s">
        <v>445</v>
      </c>
      <c r="I54" s="257" t="s">
        <v>446</v>
      </c>
      <c r="K54" s="264" t="s">
        <v>447</v>
      </c>
      <c r="M54" s="264" t="s">
        <v>448</v>
      </c>
      <c r="O54" s="264" t="s">
        <v>472</v>
      </c>
      <c r="Q54" s="325" t="s">
        <v>80</v>
      </c>
      <c r="R54" s="192"/>
      <c r="S54" s="325" t="s">
        <v>79</v>
      </c>
      <c r="U54" s="284" t="s">
        <v>460</v>
      </c>
      <c r="W54" s="262"/>
    </row>
    <row r="55" spans="2:23" ht="3.6" customHeight="1" x14ac:dyDescent="0.2">
      <c r="B55" s="262"/>
      <c r="Q55" s="192"/>
      <c r="R55" s="192"/>
      <c r="S55" s="192"/>
      <c r="W55" s="262"/>
    </row>
    <row r="56" spans="2:23" ht="11.4" customHeight="1" x14ac:dyDescent="0.2">
      <c r="B56" s="262"/>
      <c r="D56" s="2382" t="s">
        <v>847</v>
      </c>
      <c r="E56" s="2382"/>
      <c r="G56" s="266">
        <v>1</v>
      </c>
      <c r="I56" s="329"/>
      <c r="K56" s="272"/>
      <c r="L56" s="264"/>
      <c r="M56" s="272"/>
      <c r="O56" s="265">
        <f>IF(AND(M56&gt;0,K56&gt;0,M56&gt;K56,G56=8),ROUNDUP((YEARFRAC(K56,M56+1,4)*12),2),
IF(AND(M56&gt;0,G56=13),ROUNDDOWN((M56-DATEVALUE("1/1/"&amp;IF(M56&gt;DATEVALUE("12/31/2014"),"2015","2014")))/7+1,0),
IF(AND(M56&gt;0,G56=14),ROUNDDOWN((M56-DATEVALUE("1/1/"&amp;IF(M56&gt;DATEVALUE("12/31/2014"),"2015","2014")))/14+1,0),0)))</f>
        <v>0</v>
      </c>
      <c r="Q56" s="321">
        <f>ROUNDUP(IF(G56=2,ROUND(I56,2)*40*52/12,
IF(G56=3,I56*52/12,
IF(G56=4,I56*26/12,
IF(G56=5,I56*24/12,
IF(G56=6,I56,
IF(G56=7,I56/12,
IF(AND(M56&gt;0,K56&gt;0,M56&gt;K56,G56=8),ROUNDUP(I56/ROUNDUP((YEARFRAC(K56,M56+1,4)*12),2),2),
IF(G56=9,I56*52/12*10/12,
IF(G56=10,I56*26/12*10/12,
IF(G56=11,I56*24/12*10/12,
IF(G56=12,I56*10/12,
IF(AND(M56&gt;0,G56=13),ROUNDUP(I56/ROUNDDOWN((M56-DATEVALUE("1/1/"&amp;IF(M56&gt;DATEVALUE("12/31/2014"),"2015","2014")))/7+1,0)*52/12,2),
IF(AND(M56&gt;0,G56=14),ROUNDUP(I56/ROUNDDOWN((M56-DATEVALUE("1/1/"&amp;IF(M56&gt;DATEVALUE("12/31/2014"),"2015","2014")))/14+1,0)*26/12,2),
0))))))))))))),2)</f>
        <v>0</v>
      </c>
      <c r="R56" s="192"/>
      <c r="S56" s="321">
        <f>Q56*12</f>
        <v>0</v>
      </c>
      <c r="U56" s="285" t="b">
        <v>0</v>
      </c>
      <c r="W56" s="262"/>
    </row>
    <row r="57" spans="2:23" ht="3.6" customHeight="1" x14ac:dyDescent="0.2">
      <c r="B57" s="262"/>
      <c r="I57" s="192"/>
      <c r="K57" s="264"/>
      <c r="L57" s="264"/>
      <c r="M57" s="264"/>
      <c r="O57" s="265"/>
      <c r="Q57" s="192"/>
      <c r="R57" s="192"/>
      <c r="S57" s="192"/>
      <c r="U57" s="264"/>
      <c r="W57" s="262"/>
    </row>
    <row r="58" spans="2:23" ht="11.4" customHeight="1" x14ac:dyDescent="0.2">
      <c r="B58" s="262"/>
      <c r="D58" s="2382" t="s">
        <v>847</v>
      </c>
      <c r="E58" s="2382"/>
      <c r="G58" s="266">
        <v>1</v>
      </c>
      <c r="I58" s="329"/>
      <c r="K58" s="272"/>
      <c r="L58" s="264"/>
      <c r="M58" s="272"/>
      <c r="O58" s="265">
        <f>IF(AND(M58&gt;0,K58&gt;0,M58&gt;K58,G58=8),ROUNDUP((YEARFRAC(K58,M58+1,4)*12),2),
IF(AND(M58&gt;0,G58=13),ROUNDDOWN((M58-DATEVALUE("1/1/"&amp;IF(M58&gt;DATEVALUE("12/31/2014"),"2015","2014")))/7+1,0),
IF(AND(M58&gt;0,G58=14),ROUNDDOWN((M58-DATEVALUE("1/1/"&amp;IF(M58&gt;DATEVALUE("12/31/2014"),"2015","2014")))/14+1,0),0)))</f>
        <v>0</v>
      </c>
      <c r="Q58" s="321">
        <f>ROUNDUP(IF(G58=2,ROUND(I58,2)*40*52/12,
IF(G58=3,I58*52/12,
IF(G58=4,I58*26/12,
IF(G58=5,I58*24/12,
IF(G58=6,I58,
IF(G58=7,I58/12,
IF(AND(M58&gt;0,K58&gt;0,M58&gt;K58,G58=8),ROUNDUP(I58/ROUNDUP((YEARFRAC(K58,M58+1,4)*12),2),2),
IF(G58=9,I58*52/12*10/12,
IF(G58=10,I58*26/12*10/12,
IF(G58=11,I58*24/12*10/12,
IF(G58=12,I58*10/12,
IF(AND(M58&gt;0,G58=13),ROUNDUP(I58/ROUNDDOWN((M58-DATEVALUE("1/1/"&amp;IF(M58&gt;DATEVALUE("12/31/2014"),"2015","2014")))/7+1,0)*52/12,2),
IF(AND(M58&gt;0,G58=14),ROUNDUP(I58/ROUNDDOWN((M58-DATEVALUE("1/1/"&amp;IF(M58&gt;DATEVALUE("12/31/2014"),"2015","2014")))/14+1,0)*26/12,2),
0))))))))))))),2)</f>
        <v>0</v>
      </c>
      <c r="R58" s="192"/>
      <c r="S58" s="321">
        <f>Q58*12</f>
        <v>0</v>
      </c>
      <c r="U58" s="285" t="b">
        <v>0</v>
      </c>
      <c r="W58" s="262"/>
    </row>
    <row r="59" spans="2:23" ht="3.6" customHeight="1" x14ac:dyDescent="0.2">
      <c r="B59" s="262"/>
      <c r="I59" s="192"/>
      <c r="K59" s="264"/>
      <c r="L59" s="264"/>
      <c r="M59" s="264"/>
      <c r="O59" s="265"/>
      <c r="Q59" s="192"/>
      <c r="R59" s="192"/>
      <c r="S59" s="192"/>
      <c r="U59" s="264"/>
      <c r="W59" s="262"/>
    </row>
    <row r="60" spans="2:23" ht="11.4" customHeight="1" x14ac:dyDescent="0.2">
      <c r="B60" s="262"/>
      <c r="D60" s="2382" t="s">
        <v>847</v>
      </c>
      <c r="E60" s="2382"/>
      <c r="G60" s="266">
        <v>1</v>
      </c>
      <c r="I60" s="329"/>
      <c r="K60" s="272"/>
      <c r="L60" s="264"/>
      <c r="M60" s="272"/>
      <c r="O60" s="265">
        <f>IF(AND(M60&gt;0,K60&gt;0,M60&gt;K60,G60=8),ROUNDUP((YEARFRAC(K60,M60+1,4)*12),2),
IF(AND(M60&gt;0,G60=13),ROUNDDOWN((M60-DATEVALUE("1/1/"&amp;IF(M60&gt;DATEVALUE("12/31/2014"),"2015","2014")))/7+1,0),
IF(AND(M60&gt;0,G60=14),ROUNDDOWN((M60-DATEVALUE("1/1/"&amp;IF(M60&gt;DATEVALUE("12/31/2014"),"2015","2014")))/14+1,0),0)))</f>
        <v>0</v>
      </c>
      <c r="Q60" s="321">
        <f>ROUNDUP(IF(G60=2,ROUND(I60,2)*40*52/12,
IF(G60=3,I60*52/12,
IF(G60=4,I60*26/12,
IF(G60=5,I60*24/12,
IF(G60=6,I60,
IF(G60=7,I60/12,
IF(AND(M60&gt;0,K60&gt;0,M60&gt;K60,G60=8),ROUNDUP(I60/ROUNDUP((YEARFRAC(K60,M60+1,4)*12),2),2),
IF(G60=9,I60*52/12*10/12,
IF(G60=10,I60*26/12*10/12,
IF(G60=11,I60*24/12*10/12,
IF(G60=12,I60*10/12,
IF(AND(M60&gt;0,G60=13),ROUNDUP(I60/ROUNDDOWN((M60-DATEVALUE("1/1/"&amp;IF(M60&gt;DATEVALUE("12/31/2014"),"2015","2014")))/7+1,0)*52/12,2),
IF(AND(M60&gt;0,G60=14),ROUNDUP(I60/ROUNDDOWN((M60-DATEVALUE("1/1/"&amp;IF(M60&gt;DATEVALUE("12/31/2014"),"2015","2014")))/14+1,0)*26/12,2),
0))))))))))))),2)</f>
        <v>0</v>
      </c>
      <c r="R60" s="192"/>
      <c r="S60" s="321">
        <f>Q60*12</f>
        <v>0</v>
      </c>
      <c r="U60" s="285" t="b">
        <v>0</v>
      </c>
      <c r="W60" s="262"/>
    </row>
    <row r="61" spans="2:23" ht="3.6" customHeight="1" x14ac:dyDescent="0.2">
      <c r="B61" s="262"/>
      <c r="I61" s="192"/>
      <c r="K61" s="264"/>
      <c r="L61" s="264"/>
      <c r="M61" s="264"/>
      <c r="O61" s="265"/>
      <c r="Q61" s="192"/>
      <c r="R61" s="192"/>
      <c r="S61" s="192"/>
      <c r="U61" s="264"/>
      <c r="W61" s="262"/>
    </row>
    <row r="62" spans="2:23" ht="11.4" customHeight="1" x14ac:dyDescent="0.2">
      <c r="B62" s="262"/>
      <c r="D62" s="2382" t="s">
        <v>847</v>
      </c>
      <c r="E62" s="2382"/>
      <c r="G62" s="266">
        <v>1</v>
      </c>
      <c r="I62" s="329"/>
      <c r="K62" s="272"/>
      <c r="L62" s="264"/>
      <c r="M62" s="272"/>
      <c r="O62" s="265">
        <f>IF(AND(M62&gt;0,K62&gt;0,M62&gt;K62,G62=8),ROUNDUP((YEARFRAC(K62,M62+1,4)*12),2),
IF(AND(M62&gt;0,G62=13),ROUNDDOWN((M62-DATEVALUE("1/1/"&amp;IF(M62&gt;DATEVALUE("12/31/2014"),"2015","2014")))/7+1,0),
IF(AND(M62&gt;0,G62=14),ROUNDDOWN((M62-DATEVALUE("1/1/"&amp;IF(M62&gt;DATEVALUE("12/31/2014"),"2015","2014")))/14+1,0),0)))</f>
        <v>0</v>
      </c>
      <c r="Q62" s="321">
        <f>ROUNDUP(IF(G62=2,ROUND(I62,2)*40*52/12,
IF(G62=3,I62*52/12,
IF(G62=4,I62*26/12,
IF(G62=5,I62*24/12,
IF(G62=6,I62,
IF(G62=7,I62/12,
IF(AND(M62&gt;0,K62&gt;0,M62&gt;K62,G62=8),ROUNDUP(I62/ROUNDUP((YEARFRAC(K62,M62+1,4)*12),2),2),
IF(G62=9,I62*52/12*10/12,
IF(G62=10,I62*26/12*10/12,
IF(G62=11,I62*24/12*10/12,
IF(G62=12,I62*10/12,
IF(AND(M62&gt;0,G62=13),ROUNDUP(I62/ROUNDDOWN((M62-DATEVALUE("1/1/"&amp;IF(M62&gt;DATEVALUE("12/31/2014"),"2015","2014")))/7+1,0)*52/12,2),
IF(AND(M62&gt;0,G62=14),ROUNDUP(I62/ROUNDDOWN((M62-DATEVALUE("1/1/"&amp;IF(M62&gt;DATEVALUE("12/31/2014"),"2015","2014")))/14+1,0)*26/12,2),
0))))))))))))),2)</f>
        <v>0</v>
      </c>
      <c r="R62" s="192"/>
      <c r="S62" s="321">
        <f>Q62*12</f>
        <v>0</v>
      </c>
      <c r="U62" s="285" t="b">
        <v>0</v>
      </c>
      <c r="W62" s="262"/>
    </row>
    <row r="63" spans="2:23" ht="3.6" customHeight="1" x14ac:dyDescent="0.2">
      <c r="B63" s="262"/>
      <c r="I63" s="192"/>
      <c r="K63" s="264"/>
      <c r="L63" s="264"/>
      <c r="M63" s="264"/>
      <c r="O63" s="265"/>
      <c r="Q63" s="192"/>
      <c r="R63" s="192"/>
      <c r="S63" s="192"/>
      <c r="U63" s="264"/>
      <c r="W63" s="262"/>
    </row>
    <row r="64" spans="2:23" ht="11.4" customHeight="1" x14ac:dyDescent="0.2">
      <c r="B64" s="262"/>
      <c r="D64" s="2382" t="s">
        <v>847</v>
      </c>
      <c r="E64" s="2382"/>
      <c r="G64" s="266">
        <v>1</v>
      </c>
      <c r="I64" s="329"/>
      <c r="K64" s="272"/>
      <c r="L64" s="264"/>
      <c r="M64" s="272"/>
      <c r="O64" s="265">
        <f>IF(AND(M64&gt;0,K64&gt;0,M64&gt;K64,G64=8),ROUNDUP((YEARFRAC(K64,M64+1,4)*12),2),
IF(AND(M64&gt;0,G64=13),ROUNDDOWN((M64-DATEVALUE("1/1/"&amp;IF(M64&gt;DATEVALUE("12/31/2014"),"2015","2014")))/7+1,0),
IF(AND(M64&gt;0,G64=14),ROUNDDOWN((M64-DATEVALUE("1/1/"&amp;IF(M64&gt;DATEVALUE("12/31/2014"),"2015","2014")))/14+1,0),0)))</f>
        <v>0</v>
      </c>
      <c r="Q64" s="321">
        <f>ROUNDUP(IF(G64=2,ROUND(I64,2)*40*52/12,
IF(G64=3,I64*52/12,
IF(G64=4,I64*26/12,
IF(G64=5,I64*24/12,
IF(G64=6,I64,
IF(G64=7,I64/12,
IF(AND(M64&gt;0,K64&gt;0,M64&gt;K64,G64=8),ROUNDUP(I64/ROUNDUP((YEARFRAC(K64,M64+1,4)*12),2),2),
IF(G64=9,I64*52/12*10/12,
IF(G64=10,I64*26/12*10/12,
IF(G64=11,I64*24/12*10/12,
IF(G64=12,I64*10/12,
IF(AND(M64&gt;0,G64=13),ROUNDUP(I64/ROUNDDOWN((M64-DATEVALUE("1/1/"&amp;IF(M64&gt;DATEVALUE("12/31/2014"),"2015","2014")))/7+1,0)*52/12,2),
IF(AND(M64&gt;0,G64=14),ROUNDUP(I64/ROUNDDOWN((M64-DATEVALUE("1/1/"&amp;IF(M64&gt;DATEVALUE("12/31/2014"),"2015","2014")))/14+1,0)*26/12,2),
0))))))))))))),2)</f>
        <v>0</v>
      </c>
      <c r="R64" s="192"/>
      <c r="S64" s="321">
        <f>Q64*12</f>
        <v>0</v>
      </c>
      <c r="U64" s="285" t="b">
        <v>0</v>
      </c>
      <c r="W64" s="262"/>
    </row>
    <row r="65" spans="2:23" ht="3.6" customHeight="1" x14ac:dyDescent="0.2">
      <c r="B65" s="262"/>
      <c r="Q65" s="192"/>
      <c r="R65" s="192"/>
      <c r="S65" s="192"/>
      <c r="W65" s="262"/>
    </row>
    <row r="66" spans="2:23" ht="11.4" customHeight="1" x14ac:dyDescent="0.2">
      <c r="B66" s="262"/>
      <c r="D66" s="260"/>
      <c r="E66" s="260"/>
      <c r="I66" s="268"/>
      <c r="K66" s="269"/>
      <c r="N66" s="274"/>
      <c r="O66" s="273" t="s">
        <v>449</v>
      </c>
      <c r="P66" s="274"/>
      <c r="Q66" s="322">
        <f>SUM(IF(U56,,Q56),IF(U58,,Q58),IF(U60,,Q60),IF(U62,,Q62),IF(U64,,Q64))</f>
        <v>0</v>
      </c>
      <c r="R66" s="323"/>
      <c r="S66" s="322">
        <f>Q66*12</f>
        <v>0</v>
      </c>
      <c r="W66" s="262"/>
    </row>
    <row r="67" spans="2:23" ht="3" customHeight="1" x14ac:dyDescent="0.2">
      <c r="B67" s="262"/>
      <c r="Q67" s="192"/>
      <c r="R67" s="192"/>
      <c r="S67" s="192"/>
      <c r="W67" s="262"/>
    </row>
    <row r="68" spans="2:23" ht="1.5" customHeight="1" x14ac:dyDescent="0.2">
      <c r="B68" s="262"/>
      <c r="C68" s="262"/>
      <c r="D68" s="262"/>
      <c r="E68" s="262"/>
      <c r="F68" s="262"/>
      <c r="G68" s="262"/>
      <c r="H68" s="262"/>
      <c r="I68" s="262"/>
      <c r="J68" s="262"/>
      <c r="K68" s="262"/>
      <c r="L68" s="262"/>
      <c r="M68" s="262"/>
      <c r="N68" s="262"/>
      <c r="O68" s="262"/>
      <c r="P68" s="262"/>
      <c r="Q68" s="324"/>
      <c r="R68" s="324"/>
      <c r="S68" s="324"/>
      <c r="T68" s="262"/>
      <c r="U68" s="283"/>
      <c r="V68" s="262"/>
      <c r="W68" s="262"/>
    </row>
    <row r="69" spans="2:23" ht="5.25" customHeight="1" x14ac:dyDescent="0.2">
      <c r="Q69" s="192"/>
      <c r="R69" s="192"/>
      <c r="S69" s="192"/>
    </row>
    <row r="70" spans="2:23" ht="1.5" customHeight="1" x14ac:dyDescent="0.2">
      <c r="B70" s="262"/>
      <c r="C70" s="262"/>
      <c r="D70" s="262"/>
      <c r="E70" s="262"/>
      <c r="F70" s="262"/>
      <c r="G70" s="262"/>
      <c r="H70" s="262"/>
      <c r="I70" s="262"/>
      <c r="J70" s="262"/>
      <c r="K70" s="262"/>
      <c r="L70" s="262"/>
      <c r="M70" s="262"/>
      <c r="N70" s="262"/>
      <c r="O70" s="262"/>
      <c r="P70" s="262"/>
      <c r="Q70" s="324"/>
      <c r="R70" s="324"/>
      <c r="S70" s="324"/>
      <c r="T70" s="262"/>
      <c r="U70" s="283"/>
      <c r="V70" s="262"/>
      <c r="W70" s="262"/>
    </row>
    <row r="71" spans="2:23" ht="3.6" customHeight="1" x14ac:dyDescent="0.2">
      <c r="B71" s="262"/>
      <c r="Q71" s="192"/>
      <c r="R71" s="192"/>
      <c r="S71" s="192"/>
      <c r="W71" s="262"/>
    </row>
    <row r="72" spans="2:23" ht="11.4" customHeight="1" x14ac:dyDescent="0.2">
      <c r="B72" s="262"/>
      <c r="D72" s="2383" t="s">
        <v>415</v>
      </c>
      <c r="E72" s="2383"/>
      <c r="G72" s="2381" t="s">
        <v>847</v>
      </c>
      <c r="H72" s="2381"/>
      <c r="I72" s="2381"/>
      <c r="Q72" s="192"/>
      <c r="R72" s="192"/>
      <c r="S72" s="192"/>
      <c r="W72" s="262"/>
    </row>
    <row r="73" spans="2:23" ht="3.6" customHeight="1" x14ac:dyDescent="0.2">
      <c r="B73" s="262"/>
      <c r="Q73" s="192"/>
      <c r="R73" s="192"/>
      <c r="S73" s="192"/>
      <c r="W73" s="262"/>
    </row>
    <row r="74" spans="2:23" ht="11.4" customHeight="1" x14ac:dyDescent="0.2">
      <c r="B74" s="262"/>
      <c r="D74" s="2384" t="s">
        <v>444</v>
      </c>
      <c r="E74" s="2384"/>
      <c r="G74" s="257" t="s">
        <v>445</v>
      </c>
      <c r="I74" s="257" t="s">
        <v>446</v>
      </c>
      <c r="K74" s="264" t="s">
        <v>447</v>
      </c>
      <c r="M74" s="264" t="s">
        <v>448</v>
      </c>
      <c r="O74" s="264" t="s">
        <v>472</v>
      </c>
      <c r="Q74" s="325" t="s">
        <v>80</v>
      </c>
      <c r="R74" s="192"/>
      <c r="S74" s="325" t="s">
        <v>79</v>
      </c>
      <c r="U74" s="284" t="s">
        <v>460</v>
      </c>
      <c r="W74" s="262"/>
    </row>
    <row r="75" spans="2:23" ht="3.6" customHeight="1" x14ac:dyDescent="0.2">
      <c r="B75" s="262"/>
      <c r="Q75" s="192"/>
      <c r="R75" s="192"/>
      <c r="S75" s="192"/>
      <c r="W75" s="262"/>
    </row>
    <row r="76" spans="2:23" ht="11.4" customHeight="1" x14ac:dyDescent="0.2">
      <c r="B76" s="262"/>
      <c r="D76" s="2382" t="s">
        <v>847</v>
      </c>
      <c r="E76" s="2382"/>
      <c r="G76" s="266">
        <v>1</v>
      </c>
      <c r="I76" s="329"/>
      <c r="K76" s="272"/>
      <c r="L76" s="264"/>
      <c r="M76" s="272"/>
      <c r="O76" s="265">
        <f>IF(AND(M76&gt;0,K76&gt;0,M76&gt;K76,G76=8),ROUNDUP((YEARFRAC(K76,M76+1,4)*12),2),
IF(AND(M76&gt;0,G76=13),ROUNDDOWN((M76-DATEVALUE("1/1/"&amp;IF(M76&gt;DATEVALUE("12/31/2014"),"2015","2014")))/7+1,0),
IF(AND(M76&gt;0,G76=14),ROUNDDOWN((M76-DATEVALUE("1/1/"&amp;IF(M76&gt;DATEVALUE("12/31/2014"),"2015","2014")))/14+1,0),0)))</f>
        <v>0</v>
      </c>
      <c r="Q76" s="321">
        <f>ROUNDUP(IF(G76=2,ROUND(I76,2)*40*52/12,
IF(G76=3,I76*52/12,
IF(G76=4,I76*26/12,
IF(G76=5,I76*24/12,
IF(G76=6,I76,
IF(G76=7,I76/12,
IF(AND(M76&gt;0,K76&gt;0,M76&gt;K76,G76=8),ROUNDUP(I76/ROUNDUP((YEARFRAC(K76,M76+1,4)*12),2),2),
IF(G76=9,I76*52/12*10/12,
IF(G76=10,I76*26/12*10/12,
IF(G76=11,I76*24/12*10/12,
IF(G76=12,I76*10/12,
IF(AND(M76&gt;0,G76=13),ROUNDUP(I76/ROUNDDOWN((M76-DATEVALUE("1/1/"&amp;IF(M76&gt;DATEVALUE("12/31/2014"),"2015","2014")))/7+1,0)*52/12,2),
IF(AND(M76&gt;0,G76=14),ROUNDUP(I76/ROUNDDOWN((M76-DATEVALUE("1/1/"&amp;IF(M76&gt;DATEVALUE("12/31/2014"),"2015","2014")))/14+1,0)*26/12,2),
0))))))))))))),2)</f>
        <v>0</v>
      </c>
      <c r="R76" s="192"/>
      <c r="S76" s="321">
        <f>Q76*12</f>
        <v>0</v>
      </c>
      <c r="U76" s="285" t="b">
        <v>0</v>
      </c>
      <c r="W76" s="262"/>
    </row>
    <row r="77" spans="2:23" ht="3.6" customHeight="1" x14ac:dyDescent="0.2">
      <c r="B77" s="262"/>
      <c r="I77" s="192"/>
      <c r="K77" s="264"/>
      <c r="L77" s="264"/>
      <c r="M77" s="264"/>
      <c r="O77" s="265"/>
      <c r="Q77" s="192"/>
      <c r="R77" s="192"/>
      <c r="S77" s="326"/>
      <c r="U77" s="264"/>
      <c r="W77" s="262"/>
    </row>
    <row r="78" spans="2:23" ht="11.4" customHeight="1" x14ac:dyDescent="0.2">
      <c r="B78" s="262"/>
      <c r="D78" s="2382" t="s">
        <v>847</v>
      </c>
      <c r="E78" s="2382"/>
      <c r="G78" s="266">
        <v>1</v>
      </c>
      <c r="I78" s="329"/>
      <c r="K78" s="272"/>
      <c r="L78" s="264"/>
      <c r="M78" s="272"/>
      <c r="O78" s="265">
        <f>IF(AND(M78&gt;0,K78&gt;0,M78&gt;K78,G78=8),ROUNDUP((YEARFRAC(K78,M78+1,4)*12),2),
IF(AND(M78&gt;0,G78=13),ROUNDDOWN((M78-DATEVALUE("1/1/"&amp;IF(M78&gt;DATEVALUE("12/31/2014"),"2015","2014")))/7+1,0),
IF(AND(M78&gt;0,G78=14),ROUNDDOWN((M78-DATEVALUE("1/1/"&amp;IF(M78&gt;DATEVALUE("12/31/2014"),"2015","2014")))/14+1,0),0)))</f>
        <v>0</v>
      </c>
      <c r="Q78" s="321">
        <f>ROUNDUP(IF(G78=2,ROUND(I78,2)*40*52/12,
IF(G78=3,I78*52/12,
IF(G78=4,I78*26/12,
IF(G78=5,I78*24/12,
IF(G78=6,I78,
IF(G78=7,I78/12,
IF(AND(M78&gt;0,K78&gt;0,M78&gt;K78,G78=8),ROUNDUP(I78/ROUNDUP((YEARFRAC(K78,M78+1,4)*12),2),2),
IF(G78=9,I78*52/12*10/12,
IF(G78=10,I78*26/12*10/12,
IF(G78=11,I78*24/12*10/12,
IF(G78=12,I78*10/12,
IF(AND(M78&gt;0,G78=13),ROUNDUP(I78/ROUNDDOWN((M78-DATEVALUE("1/1/"&amp;IF(M78&gt;DATEVALUE("12/31/2014"),"2015","2014")))/7+1,0)*52/12,2),
IF(AND(M78&gt;0,G78=14),ROUNDUP(I78/ROUNDDOWN((M78-DATEVALUE("1/1/"&amp;IF(M78&gt;DATEVALUE("12/31/2014"),"2015","2014")))/14+1,0)*26/12,2),
0))))))))))))),2)</f>
        <v>0</v>
      </c>
      <c r="R78" s="192"/>
      <c r="S78" s="321">
        <f>Q78*12</f>
        <v>0</v>
      </c>
      <c r="U78" s="285" t="b">
        <v>0</v>
      </c>
      <c r="W78" s="262"/>
    </row>
    <row r="79" spans="2:23" ht="3.6" customHeight="1" x14ac:dyDescent="0.2">
      <c r="B79" s="262"/>
      <c r="I79" s="192"/>
      <c r="K79" s="264"/>
      <c r="L79" s="264"/>
      <c r="M79" s="264"/>
      <c r="O79" s="265"/>
      <c r="Q79" s="192"/>
      <c r="R79" s="192"/>
      <c r="S79" s="192"/>
      <c r="U79" s="264"/>
      <c r="W79" s="262"/>
    </row>
    <row r="80" spans="2:23" ht="11.4" customHeight="1" x14ac:dyDescent="0.2">
      <c r="B80" s="262"/>
      <c r="D80" s="2382" t="s">
        <v>847</v>
      </c>
      <c r="E80" s="2382"/>
      <c r="G80" s="266">
        <v>1</v>
      </c>
      <c r="I80" s="329"/>
      <c r="K80" s="272"/>
      <c r="L80" s="264"/>
      <c r="M80" s="272"/>
      <c r="O80" s="265">
        <f>IF(AND(M80&gt;0,K80&gt;0,M80&gt;K80,G80=8),ROUNDUP((YEARFRAC(K80,M80+1,4)*12),2),
IF(AND(M80&gt;0,G80=13),ROUNDDOWN((M80-DATEVALUE("1/1/"&amp;IF(M80&gt;DATEVALUE("12/31/2014"),"2015","2014")))/7+1,0),
IF(AND(M80&gt;0,G80=14),ROUNDDOWN((M80-DATEVALUE("1/1/"&amp;IF(M80&gt;DATEVALUE("12/31/2014"),"2015","2014")))/14+1,0),0)))</f>
        <v>0</v>
      </c>
      <c r="Q80" s="321">
        <f>ROUNDUP(IF(G80=2,ROUND(I80,2)*40*52/12,
IF(G80=3,I80*52/12,
IF(G80=4,I80*26/12,
IF(G80=5,I80*24/12,
IF(G80=6,I80,
IF(G80=7,I80/12,
IF(AND(M80&gt;0,K80&gt;0,M80&gt;K80,G80=8),ROUNDUP(I80/ROUNDUP((YEARFRAC(K80,M80+1,4)*12),2),2),
IF(G80=9,I80*52/12*10/12,
IF(G80=10,I80*26/12*10/12,
IF(G80=11,I80*24/12*10/12,
IF(G80=12,I80*10/12,
IF(AND(M80&gt;0,G80=13),ROUNDUP(I80/ROUNDDOWN((M80-DATEVALUE("1/1/"&amp;IF(M80&gt;DATEVALUE("12/31/2014"),"2015","2014")))/7+1,0)*52/12,2),
IF(AND(M80&gt;0,G80=14),ROUNDUP(I80/ROUNDDOWN((M80-DATEVALUE("1/1/"&amp;IF(M80&gt;DATEVALUE("12/31/2014"),"2015","2014")))/14+1,0)*26/12,2),
0))))))))))))),2)</f>
        <v>0</v>
      </c>
      <c r="R80" s="192"/>
      <c r="S80" s="321">
        <f>Q80*12</f>
        <v>0</v>
      </c>
      <c r="U80" s="285" t="b">
        <v>0</v>
      </c>
      <c r="W80" s="262"/>
    </row>
    <row r="81" spans="2:23" ht="3.6" customHeight="1" x14ac:dyDescent="0.2">
      <c r="B81" s="262"/>
      <c r="I81" s="192"/>
      <c r="K81" s="275"/>
      <c r="L81" s="264"/>
      <c r="M81" s="264"/>
      <c r="O81" s="265"/>
      <c r="Q81" s="192"/>
      <c r="R81" s="192"/>
      <c r="S81" s="192"/>
      <c r="U81" s="264"/>
      <c r="W81" s="262"/>
    </row>
    <row r="82" spans="2:23" ht="11.4" customHeight="1" x14ac:dyDescent="0.2">
      <c r="B82" s="262"/>
      <c r="D82" s="2382" t="s">
        <v>847</v>
      </c>
      <c r="E82" s="2382"/>
      <c r="G82" s="266">
        <v>1</v>
      </c>
      <c r="I82" s="329"/>
      <c r="K82" s="272"/>
      <c r="L82" s="264"/>
      <c r="M82" s="272"/>
      <c r="O82" s="265">
        <f>IF(AND(M82&gt;0,K82&gt;0,M82&gt;K82,G82=8),ROUNDUP((YEARFRAC(K82,M82+1,4)*12),2),
IF(AND(M82&gt;0,G82=13),ROUNDDOWN((M82-DATEVALUE("1/1/"&amp;IF(M82&gt;DATEVALUE("12/31/2014"),"2015","2014")))/7+1,0),
IF(AND(M82&gt;0,G82=14),ROUNDDOWN((M82-DATEVALUE("1/1/"&amp;IF(M82&gt;DATEVALUE("12/31/2014"),"2015","2014")))/14+1,0),0)))</f>
        <v>0</v>
      </c>
      <c r="Q82" s="321">
        <f>ROUNDUP(IF(G82=2,ROUND(I82,2)*40*52/12,
IF(G82=3,I82*52/12,
IF(G82=4,I82*26/12,
IF(G82=5,I82*24/12,
IF(G82=6,I82,
IF(G82=7,I82/12,
IF(AND(M82&gt;0,K82&gt;0,M82&gt;K82,G82=8),ROUNDUP(I82/ROUNDUP((YEARFRAC(K82,M82+1,4)*12),2),2),
IF(G82=9,I82*52/12*10/12,
IF(G82=10,I82*26/12*10/12,
IF(G82=11,I82*24/12*10/12,
IF(G82=12,I82*10/12,
IF(AND(M82&gt;0,G82=13),ROUNDUP(I82/ROUNDDOWN((M82-DATEVALUE("1/1/"&amp;IF(M82&gt;DATEVALUE("12/31/2014"),"2015","2014")))/7+1,0)*52/12,2),
IF(AND(M82&gt;0,G82=14),ROUNDUP(I82/ROUNDDOWN((M82-DATEVALUE("1/1/"&amp;IF(M82&gt;DATEVALUE("12/31/2014"),"2015","2014")))/14+1,0)*26/12,2),
0))))))))))))),2)</f>
        <v>0</v>
      </c>
      <c r="R82" s="192"/>
      <c r="S82" s="321">
        <f>Q82*12</f>
        <v>0</v>
      </c>
      <c r="U82" s="285" t="b">
        <v>0</v>
      </c>
      <c r="W82" s="262"/>
    </row>
    <row r="83" spans="2:23" ht="3.6" customHeight="1" x14ac:dyDescent="0.2">
      <c r="B83" s="262"/>
      <c r="I83" s="192"/>
      <c r="K83" s="264"/>
      <c r="L83" s="264"/>
      <c r="M83" s="264"/>
      <c r="O83" s="265"/>
      <c r="Q83" s="192"/>
      <c r="R83" s="192"/>
      <c r="S83" s="192"/>
      <c r="U83" s="264"/>
      <c r="W83" s="262"/>
    </row>
    <row r="84" spans="2:23" ht="11.4" customHeight="1" x14ac:dyDescent="0.2">
      <c r="B84" s="262"/>
      <c r="D84" s="2382" t="s">
        <v>847</v>
      </c>
      <c r="E84" s="2382"/>
      <c r="G84" s="266">
        <v>1</v>
      </c>
      <c r="I84" s="329"/>
      <c r="K84" s="272"/>
      <c r="L84" s="264"/>
      <c r="M84" s="272"/>
      <c r="O84" s="265">
        <f>IF(AND(M84&gt;0,K84&gt;0,M84&gt;K84,G84=8),ROUNDUP((YEARFRAC(K84,M84+1,4)*12),2),
IF(AND(M84&gt;0,G84=13),ROUNDDOWN((M84-DATEVALUE("1/1/"&amp;IF(M84&gt;DATEVALUE("12/31/2014"),"2015","2014")))/7+1,0),
IF(AND(M84&gt;0,G84=14),ROUNDDOWN((M84-DATEVALUE("1/1/"&amp;IF(M84&gt;DATEVALUE("12/31/2014"),"2015","2014")))/14+1,0),0)))</f>
        <v>0</v>
      </c>
      <c r="Q84" s="321">
        <f>ROUNDUP(IF(G84=2,ROUND(I84,2)*40*52/12,
IF(G84=3,I84*52/12,
IF(G84=4,I84*26/12,
IF(G84=5,I84*24/12,
IF(G84=6,I84,
IF(G84=7,I84/12,
IF(AND(M84&gt;0,K84&gt;0,M84&gt;K84,G84=8),ROUNDUP(I84/ROUNDUP((YEARFRAC(K84,M84+1,4)*12),2),2),
IF(G84=9,I84*52/12*10/12,
IF(G84=10,I84*26/12*10/12,
IF(G84=11,I84*24/12*10/12,
IF(G84=12,I84*10/12,
IF(AND(M84&gt;0,G84=13),ROUNDUP(I84/ROUNDDOWN((M84-DATEVALUE("1/1/"&amp;IF(M84&gt;DATEVALUE("12/31/2014"),"2015","2014")))/7+1,0)*52/12,2),
IF(AND(M84&gt;0,G84=14),ROUNDUP(I84/ROUNDDOWN((M84-DATEVALUE("1/1/"&amp;IF(M84&gt;DATEVALUE("12/31/2014"),"2015","2014")))/14+1,0)*26/12,2),
0))))))))))))),2)</f>
        <v>0</v>
      </c>
      <c r="R84" s="192"/>
      <c r="S84" s="321">
        <f>Q84*12</f>
        <v>0</v>
      </c>
      <c r="U84" s="285" t="b">
        <v>0</v>
      </c>
      <c r="W84" s="262"/>
    </row>
    <row r="85" spans="2:23" ht="3.6" customHeight="1" x14ac:dyDescent="0.2">
      <c r="B85" s="262"/>
      <c r="Q85" s="192"/>
      <c r="R85" s="192"/>
      <c r="S85" s="192"/>
      <c r="W85" s="262"/>
    </row>
    <row r="86" spans="2:23" ht="11.4" customHeight="1" x14ac:dyDescent="0.2">
      <c r="B86" s="262"/>
      <c r="D86" s="260"/>
      <c r="E86" s="260"/>
      <c r="I86" s="268"/>
      <c r="K86" s="269"/>
      <c r="N86" s="274"/>
      <c r="O86" s="273" t="s">
        <v>449</v>
      </c>
      <c r="P86" s="274"/>
      <c r="Q86" s="322">
        <f>SUM(IF(U76,,Q76),IF(U78,,Q78),IF(U80,,Q80),IF(U82,,Q82),IF(U84,,Q84))</f>
        <v>0</v>
      </c>
      <c r="R86" s="323"/>
      <c r="S86" s="322">
        <f>Q86*12</f>
        <v>0</v>
      </c>
      <c r="W86" s="262"/>
    </row>
    <row r="87" spans="2:23" ht="3.6" customHeight="1" x14ac:dyDescent="0.2">
      <c r="B87" s="262"/>
      <c r="Q87" s="192"/>
      <c r="R87" s="192"/>
      <c r="S87" s="192"/>
      <c r="W87" s="262"/>
    </row>
    <row r="88" spans="2:23" ht="1.5" customHeight="1" x14ac:dyDescent="0.2">
      <c r="B88" s="262"/>
      <c r="C88" s="262"/>
      <c r="D88" s="262"/>
      <c r="E88" s="262"/>
      <c r="F88" s="262"/>
      <c r="G88" s="262"/>
      <c r="H88" s="262"/>
      <c r="I88" s="262"/>
      <c r="J88" s="262"/>
      <c r="K88" s="262"/>
      <c r="L88" s="262"/>
      <c r="M88" s="262"/>
      <c r="N88" s="262"/>
      <c r="O88" s="262"/>
      <c r="P88" s="262"/>
      <c r="Q88" s="324"/>
      <c r="R88" s="324"/>
      <c r="S88" s="324"/>
      <c r="T88" s="262"/>
      <c r="U88" s="283"/>
      <c r="V88" s="262"/>
      <c r="W88" s="262"/>
    </row>
    <row r="89" spans="2:23" ht="5.25" customHeight="1" x14ac:dyDescent="0.2">
      <c r="B89" s="258"/>
      <c r="Q89" s="192"/>
      <c r="R89" s="192"/>
      <c r="S89" s="192"/>
    </row>
    <row r="90" spans="2:23" ht="1.5" customHeight="1" x14ac:dyDescent="0.2">
      <c r="B90" s="263" t="s">
        <v>235</v>
      </c>
      <c r="C90" s="262"/>
      <c r="D90" s="262"/>
      <c r="E90" s="262"/>
      <c r="F90" s="262"/>
      <c r="G90" s="262"/>
      <c r="H90" s="262"/>
      <c r="I90" s="262"/>
      <c r="J90" s="262"/>
      <c r="K90" s="262"/>
      <c r="L90" s="262"/>
      <c r="M90" s="262"/>
      <c r="N90" s="262"/>
      <c r="O90" s="262"/>
      <c r="P90" s="262"/>
      <c r="Q90" s="324"/>
      <c r="R90" s="324"/>
      <c r="S90" s="324"/>
      <c r="T90" s="262"/>
      <c r="U90" s="283"/>
      <c r="V90" s="262"/>
      <c r="W90" s="262"/>
    </row>
    <row r="91" spans="2:23" ht="3.6" customHeight="1" x14ac:dyDescent="0.2">
      <c r="B91" s="263" t="s">
        <v>234</v>
      </c>
      <c r="Q91" s="192"/>
      <c r="R91" s="192"/>
      <c r="S91" s="192"/>
      <c r="W91" s="262"/>
    </row>
    <row r="92" spans="2:23" ht="11.4" customHeight="1" x14ac:dyDescent="0.2">
      <c r="B92" s="263" t="s">
        <v>233</v>
      </c>
      <c r="D92" s="2384" t="s">
        <v>476</v>
      </c>
      <c r="E92" s="2384"/>
      <c r="G92" s="257" t="s">
        <v>450</v>
      </c>
      <c r="I92" s="257" t="s">
        <v>451</v>
      </c>
      <c r="K92" s="2384" t="s">
        <v>452</v>
      </c>
      <c r="L92" s="2384"/>
      <c r="M92" s="2384"/>
      <c r="N92" s="2384"/>
      <c r="O92" s="2384"/>
      <c r="Q92" s="325" t="s">
        <v>80</v>
      </c>
      <c r="R92" s="192"/>
      <c r="S92" s="325" t="s">
        <v>79</v>
      </c>
      <c r="U92" s="284" t="s">
        <v>460</v>
      </c>
      <c r="W92" s="262"/>
    </row>
    <row r="93" spans="2:23" ht="3.6" customHeight="1" x14ac:dyDescent="0.2">
      <c r="B93" s="263" t="s">
        <v>232</v>
      </c>
      <c r="Q93" s="192"/>
      <c r="R93" s="192"/>
      <c r="S93" s="192"/>
      <c r="W93" s="262"/>
    </row>
    <row r="94" spans="2:23" ht="11.4" customHeight="1" x14ac:dyDescent="0.2">
      <c r="B94" s="263" t="s">
        <v>231</v>
      </c>
      <c r="D94" s="2382" t="s">
        <v>847</v>
      </c>
      <c r="E94" s="2382"/>
      <c r="G94" s="270">
        <v>1</v>
      </c>
      <c r="I94" s="329"/>
      <c r="L94" s="281"/>
      <c r="M94" s="279"/>
      <c r="N94" s="281"/>
      <c r="O94" s="281"/>
      <c r="Q94" s="321">
        <f>ROUNDUP(
IF(G94=2,((I94*EXP(1)^(M94/100))-I94)/12,
IF(G94=3,(((((M94/36500)+1)^365)*I94)-I94)/12,
IF(G94=4,(((((M94/5200)+1)^52)*I94)-I94)/12,
IF(G94=5,(((((M94/2600)+1)^26)*I94)-I94)/12,
IF(G94=6,(((((M94/2400)+1)^24)*I94)-I94)/12,
IF(G94=7,(((((M94/1200)+1)^12)*I94)-I94)/12,
IF(G94=8,(((((M94/400)+1)^4)*I94)-I94)/12,
IF(G94=9,(((((M94/200)+1)^2)*I94)-I94)/12,
IF(G94=10,(((((M94/100)+1)^1)*I94)-I94)/12,
0))))))))),2)</f>
        <v>0</v>
      </c>
      <c r="R94" s="192"/>
      <c r="S94" s="321">
        <f>Q94*12</f>
        <v>0</v>
      </c>
      <c r="U94" s="285" t="b">
        <v>0</v>
      </c>
      <c r="W94" s="262"/>
    </row>
    <row r="95" spans="2:23" ht="3.6" customHeight="1" x14ac:dyDescent="0.2">
      <c r="B95" s="263" t="s">
        <v>227</v>
      </c>
      <c r="I95" s="192"/>
      <c r="Q95" s="192"/>
      <c r="R95" s="192"/>
      <c r="S95" s="192"/>
      <c r="U95" s="264"/>
      <c r="W95" s="262"/>
    </row>
    <row r="96" spans="2:23" ht="11.4" customHeight="1" x14ac:dyDescent="0.2">
      <c r="B96" s="263" t="s">
        <v>230</v>
      </c>
      <c r="D96" s="2382" t="s">
        <v>847</v>
      </c>
      <c r="E96" s="2382"/>
      <c r="G96" s="270">
        <v>1</v>
      </c>
      <c r="I96" s="329"/>
      <c r="L96" s="282"/>
      <c r="M96" s="280"/>
      <c r="N96" s="282"/>
      <c r="O96" s="282"/>
      <c r="Q96" s="321">
        <f>ROUNDUP(
IF(G96=2,((I96*EXP(1)^(M96/100))-I96)/12,
IF(G96=3,(((((M96/36500)+1)^365)*I96)-I96)/12,
IF(G96=4,(((((M96/5200)+1)^52)*I96)-I96)/12,
IF(G96=5,(((((M96/2600)+1)^26)*I96)-I96)/12,
IF(G96=6,(((((M96/2400)+1)^24)*I96)-I96)/12,
IF(G96=7,(((((M96/1200)+1)^12)*I96)-I96)/12,
IF(G96=8,(((((M96/400)+1)^4)*I96)-I96)/12,
IF(G96=9,(((((M96/200)+1)^2)*I96)-I96)/12,
IF(G96=10,(((((M96/100)+1)^1)*I96)-I96)/12,
0))))))))),2)</f>
        <v>0</v>
      </c>
      <c r="R96" s="192"/>
      <c r="S96" s="321">
        <f>Q96*12</f>
        <v>0</v>
      </c>
      <c r="U96" s="285" t="b">
        <v>0</v>
      </c>
      <c r="W96" s="262"/>
    </row>
    <row r="97" spans="1:23" ht="3.6" customHeight="1" x14ac:dyDescent="0.2">
      <c r="B97" s="263" t="s">
        <v>229</v>
      </c>
      <c r="I97" s="192"/>
      <c r="Q97" s="192"/>
      <c r="R97" s="192"/>
      <c r="S97" s="192"/>
      <c r="U97" s="264"/>
      <c r="W97" s="262"/>
    </row>
    <row r="98" spans="1:23" ht="11.4" customHeight="1" x14ac:dyDescent="0.2">
      <c r="B98" s="263" t="s">
        <v>228</v>
      </c>
      <c r="D98" s="2382" t="s">
        <v>847</v>
      </c>
      <c r="E98" s="2382"/>
      <c r="G98" s="270">
        <v>1</v>
      </c>
      <c r="I98" s="329"/>
      <c r="L98" s="281"/>
      <c r="M98" s="279"/>
      <c r="N98" s="281"/>
      <c r="O98" s="281"/>
      <c r="Q98" s="321">
        <f>ROUNDUP(
IF(G98=2,((I98*EXP(1)^(M98/100))-I98)/12,
IF(G98=3,(((((M98/36500)+1)^365)*I98)-I98)/12,
IF(G98=4,(((((M98/5200)+1)^52)*I98)-I98)/12,
IF(G98=5,(((((M98/2600)+1)^26)*I98)-I98)/12,
IF(G98=6,(((((M98/2400)+1)^24)*I98)-I98)/12,
IF(G98=7,(((((M98/1200)+1)^12)*I98)-I98)/12,
IF(G98=8,(((((M98/400)+1)^4)*I98)-I98)/12,
IF(G98=9,(((((M98/200)+1)^2)*I98)-I98)/12,
IF(G98=10,(((((M98/100)+1)^1)*I98)-I98)/12,
0))))))))),2)</f>
        <v>0</v>
      </c>
      <c r="R98" s="192"/>
      <c r="S98" s="321">
        <f>Q98*12</f>
        <v>0</v>
      </c>
      <c r="U98" s="285" t="b">
        <v>0</v>
      </c>
      <c r="W98" s="262"/>
    </row>
    <row r="99" spans="1:23" ht="3" customHeight="1" x14ac:dyDescent="0.2">
      <c r="B99" s="267"/>
      <c r="I99" s="192"/>
      <c r="Q99" s="192"/>
      <c r="R99" s="192"/>
      <c r="S99" s="192"/>
      <c r="U99" s="264"/>
      <c r="W99" s="262"/>
    </row>
    <row r="100" spans="1:23" ht="11.4" customHeight="1" x14ac:dyDescent="0.2">
      <c r="B100" s="267"/>
      <c r="D100" s="2382" t="s">
        <v>847</v>
      </c>
      <c r="E100" s="2382"/>
      <c r="G100" s="270">
        <v>1</v>
      </c>
      <c r="I100" s="329"/>
      <c r="L100" s="281"/>
      <c r="M100" s="279"/>
      <c r="N100" s="281"/>
      <c r="O100" s="281"/>
      <c r="Q100" s="321">
        <f>ROUNDUP(
IF(G100=2,((I100*EXP(1)^(M100/100))-I100)/12,
IF(G100=3,(((((M100/36500)+1)^365)*I100)-I100)/12,
IF(G100=4,(((((M100/5200)+1)^52)*I100)-I100)/12,
IF(G100=5,(((((M100/2600)+1)^26)*I100)-I100)/12,
IF(G100=6,(((((M100/2400)+1)^24)*I100)-I100)/12,
IF(G100=7,(((((M100/1200)+1)^12)*I100)-I100)/12,
IF(G100=8,(((((M100/400)+1)^4)*I100)-I100)/12,
IF(G100=9,(((((M100/200)+1)^2)*I100)-I100)/12,
IF(G100=10,(((((M100/100)+1)^1)*I100)-I100)/12,
0))))))))),2)</f>
        <v>0</v>
      </c>
      <c r="R100" s="192"/>
      <c r="S100" s="321">
        <f>Q100*12</f>
        <v>0</v>
      </c>
      <c r="U100" s="285" t="b">
        <v>0</v>
      </c>
      <c r="W100" s="262"/>
    </row>
    <row r="101" spans="1:23" ht="3.6" customHeight="1" x14ac:dyDescent="0.2">
      <c r="B101" s="267"/>
      <c r="I101" s="326"/>
      <c r="Q101" s="192"/>
      <c r="R101" s="192"/>
      <c r="S101" s="192"/>
      <c r="U101" s="264"/>
      <c r="W101" s="262"/>
    </row>
    <row r="102" spans="1:23" ht="11.4" customHeight="1" x14ac:dyDescent="0.2">
      <c r="B102" s="267"/>
      <c r="D102" s="2382" t="s">
        <v>847</v>
      </c>
      <c r="E102" s="2382"/>
      <c r="G102" s="270">
        <v>1</v>
      </c>
      <c r="I102" s="329"/>
      <c r="L102" s="281"/>
      <c r="M102" s="279"/>
      <c r="N102" s="281"/>
      <c r="O102" s="281"/>
      <c r="Q102" s="321">
        <f>ROUNDUP(
IF(G102=2,((I102*EXP(1)^(M102/100))-I102)/12,
IF(G102=3,(((((M102/36500)+1)^365)*I102)-I102)/12,
IF(G102=4,(((((M102/5200)+1)^52)*I102)-I102)/12,
IF(G102=5,(((((M102/2600)+1)^26)*I102)-I102)/12,
IF(G102=6,(((((M102/2400)+1)^24)*I102)-I102)/12,
IF(G102=7,(((((M102/1200)+1)^12)*I102)-I102)/12,
IF(G102=8,(((((M102/400)+1)^4)*I102)-I102)/12,
IF(G102=9,(((((M102/200)+1)^2)*I102)-I102)/12,
IF(G102=10,(((((M102/100)+1)^1)*I102)-I102)/12,
0))))))))),2)</f>
        <v>0</v>
      </c>
      <c r="R102" s="192"/>
      <c r="S102" s="321">
        <f>Q102*12</f>
        <v>0</v>
      </c>
      <c r="U102" s="285" t="b">
        <v>0</v>
      </c>
      <c r="W102" s="262"/>
    </row>
    <row r="103" spans="1:23" ht="3.6" customHeight="1" x14ac:dyDescent="0.2">
      <c r="B103" s="267"/>
      <c r="Q103" s="192"/>
      <c r="R103" s="192"/>
      <c r="S103" s="192"/>
      <c r="W103" s="262"/>
    </row>
    <row r="104" spans="1:23" x14ac:dyDescent="0.2">
      <c r="B104" s="267"/>
      <c r="N104" s="274"/>
      <c r="O104" s="273" t="s">
        <v>449</v>
      </c>
      <c r="P104" s="274"/>
      <c r="Q104" s="322">
        <f>SUM(IF(U94,,Q94),IF(U96,,Q96),IF(U98,,Q98),IF(U100,,Q100),IF(U102,,Q102))</f>
        <v>0</v>
      </c>
      <c r="R104" s="323"/>
      <c r="S104" s="322">
        <f>Q104*12</f>
        <v>0</v>
      </c>
      <c r="W104" s="262"/>
    </row>
    <row r="105" spans="1:23" ht="3.6" customHeight="1" x14ac:dyDescent="0.2">
      <c r="B105" s="262"/>
      <c r="Q105" s="192"/>
      <c r="R105" s="192"/>
      <c r="S105" s="326"/>
      <c r="W105" s="262"/>
    </row>
    <row r="106" spans="1:23" ht="1.5" customHeight="1" x14ac:dyDescent="0.2">
      <c r="B106" s="262"/>
      <c r="C106" s="262"/>
      <c r="D106" s="262"/>
      <c r="E106" s="262"/>
      <c r="F106" s="262"/>
      <c r="G106" s="262"/>
      <c r="H106" s="262"/>
      <c r="I106" s="262"/>
      <c r="J106" s="262"/>
      <c r="K106" s="262"/>
      <c r="L106" s="262"/>
      <c r="M106" s="262"/>
      <c r="N106" s="262"/>
      <c r="O106" s="262"/>
      <c r="P106" s="262"/>
      <c r="Q106" s="324"/>
      <c r="R106" s="324"/>
      <c r="S106" s="324"/>
      <c r="T106" s="262"/>
      <c r="U106" s="283"/>
      <c r="V106" s="262"/>
      <c r="W106" s="262"/>
    </row>
    <row r="107" spans="1:23" ht="11.4" customHeight="1" x14ac:dyDescent="0.2">
      <c r="Q107" s="192"/>
      <c r="R107" s="192"/>
      <c r="S107" s="192"/>
    </row>
    <row r="108" spans="1:23" ht="11.4" customHeight="1" x14ac:dyDescent="0.2">
      <c r="D108" s="2383" t="s">
        <v>416</v>
      </c>
      <c r="E108" s="2383"/>
      <c r="G108" s="2381" t="s">
        <v>847</v>
      </c>
      <c r="H108" s="2381"/>
      <c r="I108" s="2381"/>
      <c r="Q108" s="192"/>
      <c r="R108" s="192"/>
      <c r="S108" s="192"/>
    </row>
    <row r="109" spans="1:23" ht="3.6" customHeight="1" x14ac:dyDescent="0.2">
      <c r="Q109" s="192"/>
      <c r="R109" s="192"/>
      <c r="S109" s="192"/>
    </row>
    <row r="110" spans="1:23" ht="11.4" customHeight="1" x14ac:dyDescent="0.2">
      <c r="D110" s="2383" t="s">
        <v>417</v>
      </c>
      <c r="E110" s="2383"/>
      <c r="G110" s="2381" t="s">
        <v>847</v>
      </c>
      <c r="H110" s="2381"/>
      <c r="I110" s="2381"/>
      <c r="Q110" s="192"/>
      <c r="R110" s="192"/>
      <c r="S110" s="192"/>
    </row>
    <row r="111" spans="1:23" ht="3.6" customHeight="1" x14ac:dyDescent="0.2">
      <c r="Q111" s="192"/>
      <c r="R111" s="192"/>
      <c r="S111" s="192"/>
    </row>
    <row r="112" spans="1:23" ht="11.4" customHeight="1" x14ac:dyDescent="0.2">
      <c r="A112" s="2383" t="s">
        <v>475</v>
      </c>
      <c r="B112" s="2383"/>
      <c r="C112" s="2383"/>
      <c r="D112" s="2383"/>
      <c r="E112" s="2383"/>
      <c r="G112" s="2389"/>
      <c r="H112" s="2389"/>
      <c r="I112" s="2389"/>
      <c r="M112" s="274"/>
      <c r="N112" s="274"/>
      <c r="O112" s="274"/>
      <c r="P112" s="274"/>
      <c r="Q112" s="327" t="s">
        <v>80</v>
      </c>
      <c r="R112" s="323"/>
      <c r="S112" s="327" t="s">
        <v>79</v>
      </c>
    </row>
    <row r="113" spans="4:23" ht="3.6" customHeight="1" x14ac:dyDescent="0.2">
      <c r="M113" s="274"/>
      <c r="N113" s="274"/>
      <c r="O113" s="274"/>
      <c r="P113" s="274"/>
      <c r="Q113" s="323"/>
      <c r="R113" s="323"/>
      <c r="S113" s="323"/>
    </row>
    <row r="114" spans="4:23" ht="14.25" customHeight="1" x14ac:dyDescent="0.2">
      <c r="D114" s="2383" t="s">
        <v>418</v>
      </c>
      <c r="E114" s="2383"/>
      <c r="G114" s="2390"/>
      <c r="H114" s="2390"/>
      <c r="I114" s="2390"/>
      <c r="N114" s="274"/>
      <c r="O114" s="276" t="s">
        <v>98</v>
      </c>
      <c r="P114" s="274"/>
      <c r="Q114" s="328">
        <f>SUM(Q26,Q46,Q66,Q86,Q104)</f>
        <v>0</v>
      </c>
      <c r="R114" s="323"/>
      <c r="S114" s="328">
        <f>Q114*12</f>
        <v>0</v>
      </c>
    </row>
    <row r="115" spans="4:23" ht="11.4" customHeight="1" x14ac:dyDescent="0.2"/>
    <row r="116" spans="4:23" ht="11.4" customHeight="1" x14ac:dyDescent="0.2">
      <c r="N116" s="2391" t="s">
        <v>453</v>
      </c>
      <c r="O116" s="2391"/>
      <c r="P116" s="2391"/>
      <c r="Q116" s="2391"/>
      <c r="R116" s="2391"/>
      <c r="S116" s="2391"/>
      <c r="T116" s="2391"/>
      <c r="U116" s="2391"/>
      <c r="V116" s="2391"/>
      <c r="W116" s="2391"/>
    </row>
    <row r="117" spans="4:23" ht="30" customHeight="1" x14ac:dyDescent="0.2">
      <c r="N117" s="2391"/>
      <c r="O117" s="2391"/>
      <c r="P117" s="2391"/>
      <c r="Q117" s="2391"/>
      <c r="R117" s="2391"/>
      <c r="S117" s="2391"/>
      <c r="T117" s="2391"/>
      <c r="U117" s="2391"/>
      <c r="V117" s="2391"/>
      <c r="W117" s="2391"/>
    </row>
    <row r="118" spans="4:23" ht="13.8" x14ac:dyDescent="0.3">
      <c r="D118" s="2387" t="s">
        <v>1081</v>
      </c>
      <c r="E118" s="2387"/>
      <c r="F118" s="2387"/>
      <c r="G118" s="2387"/>
      <c r="H118" s="90"/>
      <c r="I118" s="90"/>
      <c r="J118" s="90"/>
      <c r="K118" s="90"/>
      <c r="L118" s="90"/>
      <c r="M118" s="90"/>
      <c r="N118" s="90"/>
      <c r="O118" s="90"/>
      <c r="P118" s="90"/>
      <c r="Q118" s="90"/>
      <c r="R118" s="90"/>
      <c r="S118" s="90"/>
    </row>
    <row r="119" spans="4:23" ht="3.6" customHeight="1" x14ac:dyDescent="0.2"/>
    <row r="120" spans="4:23" x14ac:dyDescent="0.2">
      <c r="D120" s="2386" t="s">
        <v>847</v>
      </c>
      <c r="E120" s="2386"/>
      <c r="F120" s="2386"/>
      <c r="G120" s="2386"/>
      <c r="H120" s="2386"/>
      <c r="I120" s="2386"/>
      <c r="J120" s="2386"/>
      <c r="K120" s="2386"/>
      <c r="L120" s="2386"/>
      <c r="M120" s="2386"/>
      <c r="N120" s="2386"/>
      <c r="O120" s="2386"/>
      <c r="P120" s="2386"/>
      <c r="Q120" s="2386"/>
      <c r="R120" s="2386"/>
      <c r="S120" s="2386"/>
      <c r="T120" s="2386"/>
      <c r="U120" s="2386"/>
    </row>
    <row r="121" spans="4:23" x14ac:dyDescent="0.2">
      <c r="D121" s="2386"/>
      <c r="E121" s="2386"/>
      <c r="F121" s="2386"/>
      <c r="G121" s="2386"/>
      <c r="H121" s="2386"/>
      <c r="I121" s="2386"/>
      <c r="J121" s="2386"/>
      <c r="K121" s="2386"/>
      <c r="L121" s="2386"/>
      <c r="M121" s="2386"/>
      <c r="N121" s="2386"/>
      <c r="O121" s="2386"/>
      <c r="P121" s="2386"/>
      <c r="Q121" s="2386"/>
      <c r="R121" s="2386"/>
      <c r="S121" s="2386"/>
      <c r="T121" s="2386"/>
      <c r="U121" s="2386"/>
    </row>
    <row r="122" spans="4:23" x14ac:dyDescent="0.2">
      <c r="D122" s="2386"/>
      <c r="E122" s="2386"/>
      <c r="F122" s="2386"/>
      <c r="G122" s="2386"/>
      <c r="H122" s="2386"/>
      <c r="I122" s="2386"/>
      <c r="J122" s="2386"/>
      <c r="K122" s="2386"/>
      <c r="L122" s="2386"/>
      <c r="M122" s="2386"/>
      <c r="N122" s="2386"/>
      <c r="O122" s="2386"/>
      <c r="P122" s="2386"/>
      <c r="Q122" s="2386"/>
      <c r="R122" s="2386"/>
      <c r="S122" s="2386"/>
      <c r="T122" s="2386"/>
      <c r="U122" s="2386"/>
    </row>
    <row r="123" spans="4:23" x14ac:dyDescent="0.2">
      <c r="D123" s="2386"/>
      <c r="E123" s="2386"/>
      <c r="F123" s="2386"/>
      <c r="G123" s="2386"/>
      <c r="H123" s="2386"/>
      <c r="I123" s="2386"/>
      <c r="J123" s="2386"/>
      <c r="K123" s="2386"/>
      <c r="L123" s="2386"/>
      <c r="M123" s="2386"/>
      <c r="N123" s="2386"/>
      <c r="O123" s="2386"/>
      <c r="P123" s="2386"/>
      <c r="Q123" s="2386"/>
      <c r="R123" s="2386"/>
      <c r="S123" s="2386"/>
      <c r="T123" s="2386"/>
      <c r="U123" s="2386"/>
      <c r="W123" s="271"/>
    </row>
    <row r="124" spans="4:23" x14ac:dyDescent="0.2">
      <c r="D124" s="2386"/>
      <c r="E124" s="2386"/>
      <c r="F124" s="2386"/>
      <c r="G124" s="2386"/>
      <c r="H124" s="2386"/>
      <c r="I124" s="2386"/>
      <c r="J124" s="2386"/>
      <c r="K124" s="2386"/>
      <c r="L124" s="2386"/>
      <c r="M124" s="2386"/>
      <c r="N124" s="2386"/>
      <c r="O124" s="2386"/>
      <c r="P124" s="2386"/>
      <c r="Q124" s="2386"/>
      <c r="R124" s="2386"/>
      <c r="S124" s="2386"/>
      <c r="T124" s="2386"/>
      <c r="U124" s="2386"/>
    </row>
    <row r="125" spans="4:23" x14ac:dyDescent="0.2">
      <c r="D125" s="2386"/>
      <c r="E125" s="2386"/>
      <c r="F125" s="2386"/>
      <c r="G125" s="2386"/>
      <c r="H125" s="2386"/>
      <c r="I125" s="2386"/>
      <c r="J125" s="2386"/>
      <c r="K125" s="2386"/>
      <c r="L125" s="2386"/>
      <c r="M125" s="2386"/>
      <c r="N125" s="2386"/>
      <c r="O125" s="2386"/>
      <c r="P125" s="2386"/>
      <c r="Q125" s="2386"/>
      <c r="R125" s="2386"/>
      <c r="S125" s="2386"/>
      <c r="T125" s="2386"/>
      <c r="U125" s="2386"/>
    </row>
    <row r="126" spans="4:23" x14ac:dyDescent="0.2">
      <c r="D126" s="1083"/>
    </row>
    <row r="127" spans="4:23" x14ac:dyDescent="0.2">
      <c r="D127" s="258"/>
      <c r="E127" s="258"/>
    </row>
    <row r="128" spans="4:23" x14ac:dyDescent="0.2">
      <c r="D128" s="258"/>
      <c r="E128" s="258"/>
    </row>
    <row r="129" spans="4:22" x14ac:dyDescent="0.2">
      <c r="D129" s="258"/>
      <c r="E129" s="258"/>
    </row>
    <row r="130" spans="4:22" ht="12" customHeight="1" x14ac:dyDescent="0.2">
      <c r="D130" s="258"/>
      <c r="E130" s="258"/>
      <c r="R130" s="258"/>
      <c r="S130" s="2383" t="str">
        <f>Version</f>
        <v>Version 2026.1</v>
      </c>
      <c r="T130" s="2383"/>
      <c r="U130" s="2383"/>
      <c r="V130" s="258"/>
    </row>
    <row r="131" spans="4:22" x14ac:dyDescent="0.2">
      <c r="D131" s="258"/>
      <c r="E131" s="258"/>
    </row>
    <row r="140" spans="4:22" x14ac:dyDescent="0.2">
      <c r="G140" s="269"/>
    </row>
    <row r="142" spans="4:22" x14ac:dyDescent="0.2">
      <c r="G142" s="269"/>
    </row>
  </sheetData>
  <sheetProtection algorithmName="SHA-512" hashValue="Gdp5hXMMdfj2WJWCgotkrZ9+/iqPyuG3F0V2A1v1ucHfLD3W2BjFEB5Jli6G+HsAbfeow7loK4XGKR2V8NaDXw==" saltValue="JOSo4AQJAjT+THVRm7q88Q==" spinCount="100000" sheet="1" objects="1" scenarios="1" selectLockedCells="1"/>
  <mergeCells count="54">
    <mergeCell ref="D120:U125"/>
    <mergeCell ref="D118:G118"/>
    <mergeCell ref="S130:U130"/>
    <mergeCell ref="S1:U1"/>
    <mergeCell ref="E7:K7"/>
    <mergeCell ref="A112:E112"/>
    <mergeCell ref="D110:E110"/>
    <mergeCell ref="G110:I110"/>
    <mergeCell ref="G112:I112"/>
    <mergeCell ref="D114:E114"/>
    <mergeCell ref="G114:I114"/>
    <mergeCell ref="N116:W117"/>
    <mergeCell ref="D84:E84"/>
    <mergeCell ref="D92:E92"/>
    <mergeCell ref="D94:E94"/>
    <mergeCell ref="D96:E96"/>
    <mergeCell ref="D98:E98"/>
    <mergeCell ref="K92:O92"/>
    <mergeCell ref="D100:E100"/>
    <mergeCell ref="D102:E102"/>
    <mergeCell ref="D108:E108"/>
    <mergeCell ref="G108:I108"/>
    <mergeCell ref="D74:E74"/>
    <mergeCell ref="D76:E76"/>
    <mergeCell ref="D78:E78"/>
    <mergeCell ref="D80:E80"/>
    <mergeCell ref="D82:E82"/>
    <mergeCell ref="A2:W3"/>
    <mergeCell ref="D60:E60"/>
    <mergeCell ref="D34:E34"/>
    <mergeCell ref="D36:E36"/>
    <mergeCell ref="D38:E38"/>
    <mergeCell ref="D40:E40"/>
    <mergeCell ref="D42:E42"/>
    <mergeCell ref="D44:E44"/>
    <mergeCell ref="D52:E52"/>
    <mergeCell ref="G52:I52"/>
    <mergeCell ref="D54:E54"/>
    <mergeCell ref="D56:E56"/>
    <mergeCell ref="D58:E58"/>
    <mergeCell ref="G32:I32"/>
    <mergeCell ref="D12:E12"/>
    <mergeCell ref="G12:I12"/>
    <mergeCell ref="D14:E14"/>
    <mergeCell ref="D16:E16"/>
    <mergeCell ref="D18:E18"/>
    <mergeCell ref="D20:E20"/>
    <mergeCell ref="D72:E72"/>
    <mergeCell ref="G72:I72"/>
    <mergeCell ref="D22:E22"/>
    <mergeCell ref="D24:E24"/>
    <mergeCell ref="D32:E32"/>
    <mergeCell ref="D62:E62"/>
    <mergeCell ref="D64:E64"/>
  </mergeCells>
  <conditionalFormatting sqref="K16:K84">
    <cfRule type="expression" dxfId="53" priority="14">
      <formula>G16=8</formula>
    </cfRule>
  </conditionalFormatting>
  <conditionalFormatting sqref="M67:M84 M47:M65 M16:M25 M27:M45">
    <cfRule type="expression" dxfId="52" priority="13">
      <formula>OR(G16=8,G16=13,G16=14)</formula>
    </cfRule>
  </conditionalFormatting>
  <conditionalFormatting sqref="K14 K34 K54 K74">
    <cfRule type="expression" dxfId="51" priority="12">
      <formula>OR(G16=8,G18=8,G20=8,G22=8,G24=8)</formula>
    </cfRule>
  </conditionalFormatting>
  <conditionalFormatting sqref="M14 M34 M54 M74">
    <cfRule type="expression" dxfId="50" priority="11">
      <formula>OR(G16=8,G18=8,G20=8,G22=8,G24=8,G16=13,G18=13,G20=13,G22=13,G24=13,G16=14,G18=14,G20=14,G22=14,G24=14)</formula>
    </cfRule>
  </conditionalFormatting>
  <conditionalFormatting sqref="S114">
    <cfRule type="expression" dxfId="49" priority="9">
      <formula>AND(S114&gt;G114,G114&gt;0,S114&gt;0)</formula>
    </cfRule>
  </conditionalFormatting>
  <conditionalFormatting sqref="O14 O34 O54 O74">
    <cfRule type="expression" dxfId="48" priority="6">
      <formula>OR(G16=8,G18=8,G20=8,G22=8,G24=8,G16=13,G18=13,G20=13,G22=13,G24=13,G16=14,G18=14,G20=14,G22=14,G24=14)</formula>
    </cfRule>
  </conditionalFormatting>
  <conditionalFormatting sqref="O16 O18 O20 O22 O24 O36 O38 O40 O42 O44 O56 O58 O60 O62 O64 O76 O78 O80 O82 O84">
    <cfRule type="expression" dxfId="47" priority="5">
      <formula>OR(G16=8,G16=13,G16=14)</formula>
    </cfRule>
  </conditionalFormatting>
  <conditionalFormatting sqref="Q16:Q104">
    <cfRule type="expression" dxfId="46" priority="4">
      <formula>U16</formula>
    </cfRule>
  </conditionalFormatting>
  <conditionalFormatting sqref="S16:S102">
    <cfRule type="expression" dxfId="45" priority="3">
      <formula>U16</formula>
    </cfRule>
  </conditionalFormatting>
  <conditionalFormatting sqref="O41">
    <cfRule type="expression" dxfId="44" priority="2">
      <formula>OR(G41=8,G41=13,G41=14)</formula>
    </cfRule>
  </conditionalFormatting>
  <conditionalFormatting sqref="G114:I114">
    <cfRule type="expression" dxfId="43" priority="1">
      <formula>AND(S114&gt;G114,G114&gt;0,S114&gt;0)</formula>
    </cfRule>
  </conditionalFormatting>
  <printOptions horizontalCentered="1"/>
  <pageMargins left="0.25" right="0.25" top="0.25" bottom="0.25" header="0.3" footer="0.3"/>
  <pageSetup paperSize="5" scale="96"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Drop Down 1">
              <controlPr defaultSize="0" autoLine="0" autoPict="0">
                <anchor moveWithCells="1">
                  <from>
                    <xdr:col>6</xdr:col>
                    <xdr:colOff>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218114" r:id="rId5" name="Drop Down 2">
              <controlPr defaultSize="0" autoLine="0" autoPict="0">
                <anchor moveWithCells="1">
                  <from>
                    <xdr:col>6</xdr:col>
                    <xdr:colOff>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218115" r:id="rId6" name="Drop Down 3">
              <controlPr defaultSize="0" autoLine="0" autoPict="0">
                <anchor moveWithCells="1">
                  <from>
                    <xdr:col>6</xdr:col>
                    <xdr:colOff>0</xdr:colOff>
                    <xdr:row>19</xdr:row>
                    <xdr:rowOff>0</xdr:rowOff>
                  </from>
                  <to>
                    <xdr:col>7</xdr:col>
                    <xdr:colOff>0</xdr:colOff>
                    <xdr:row>19</xdr:row>
                    <xdr:rowOff>144780</xdr:rowOff>
                  </to>
                </anchor>
              </controlPr>
            </control>
          </mc:Choice>
        </mc:AlternateContent>
        <mc:AlternateContent xmlns:mc="http://schemas.openxmlformats.org/markup-compatibility/2006">
          <mc:Choice Requires="x14">
            <control shapeId="218116" r:id="rId7" name="Drop Down 4">
              <controlPr defaultSize="0" autoLine="0" autoPict="0">
                <anchor moveWithCells="1">
                  <from>
                    <xdr:col>6</xdr:col>
                    <xdr:colOff>0</xdr:colOff>
                    <xdr:row>21</xdr:row>
                    <xdr:rowOff>0</xdr:rowOff>
                  </from>
                  <to>
                    <xdr:col>7</xdr:col>
                    <xdr:colOff>0</xdr:colOff>
                    <xdr:row>21</xdr:row>
                    <xdr:rowOff>144780</xdr:rowOff>
                  </to>
                </anchor>
              </controlPr>
            </control>
          </mc:Choice>
        </mc:AlternateContent>
        <mc:AlternateContent xmlns:mc="http://schemas.openxmlformats.org/markup-compatibility/2006">
          <mc:Choice Requires="x14">
            <control shapeId="218117" r:id="rId8" name="Drop Down 5">
              <controlPr defaultSize="0" autoLine="0" autoPict="0">
                <anchor moveWithCells="1">
                  <from>
                    <xdr:col>6</xdr:col>
                    <xdr:colOff>0</xdr:colOff>
                    <xdr:row>23</xdr:row>
                    <xdr:rowOff>0</xdr:rowOff>
                  </from>
                  <to>
                    <xdr:col>7</xdr:col>
                    <xdr:colOff>0</xdr:colOff>
                    <xdr:row>23</xdr:row>
                    <xdr:rowOff>144780</xdr:rowOff>
                  </to>
                </anchor>
              </controlPr>
            </control>
          </mc:Choice>
        </mc:AlternateContent>
        <mc:AlternateContent xmlns:mc="http://schemas.openxmlformats.org/markup-compatibility/2006">
          <mc:Choice Requires="x14">
            <control shapeId="218118" r:id="rId9" name="Drop Down 6">
              <controlPr defaultSize="0" autoLine="0" autoPict="0">
                <anchor moveWithCells="1">
                  <from>
                    <xdr:col>6</xdr:col>
                    <xdr:colOff>0</xdr:colOff>
                    <xdr:row>35</xdr:row>
                    <xdr:rowOff>0</xdr:rowOff>
                  </from>
                  <to>
                    <xdr:col>7</xdr:col>
                    <xdr:colOff>0</xdr:colOff>
                    <xdr:row>36</xdr:row>
                    <xdr:rowOff>0</xdr:rowOff>
                  </to>
                </anchor>
              </controlPr>
            </control>
          </mc:Choice>
        </mc:AlternateContent>
        <mc:AlternateContent xmlns:mc="http://schemas.openxmlformats.org/markup-compatibility/2006">
          <mc:Choice Requires="x14">
            <control shapeId="218119" r:id="rId10" name="Drop Down 7">
              <controlPr defaultSize="0" autoLine="0" autoPict="0">
                <anchor moveWithCells="1">
                  <from>
                    <xdr:col>6</xdr:col>
                    <xdr:colOff>0</xdr:colOff>
                    <xdr:row>37</xdr:row>
                    <xdr:rowOff>0</xdr:rowOff>
                  </from>
                  <to>
                    <xdr:col>7</xdr:col>
                    <xdr:colOff>0</xdr:colOff>
                    <xdr:row>38</xdr:row>
                    <xdr:rowOff>0</xdr:rowOff>
                  </to>
                </anchor>
              </controlPr>
            </control>
          </mc:Choice>
        </mc:AlternateContent>
        <mc:AlternateContent xmlns:mc="http://schemas.openxmlformats.org/markup-compatibility/2006">
          <mc:Choice Requires="x14">
            <control shapeId="218120" r:id="rId11" name="Drop Down 8">
              <controlPr defaultSize="0" autoLine="0" autoPict="0">
                <anchor moveWithCells="1">
                  <from>
                    <xdr:col>6</xdr:col>
                    <xdr:colOff>0</xdr:colOff>
                    <xdr:row>39</xdr:row>
                    <xdr:rowOff>0</xdr:rowOff>
                  </from>
                  <to>
                    <xdr:col>7</xdr:col>
                    <xdr:colOff>0</xdr:colOff>
                    <xdr:row>40</xdr:row>
                    <xdr:rowOff>0</xdr:rowOff>
                  </to>
                </anchor>
              </controlPr>
            </control>
          </mc:Choice>
        </mc:AlternateContent>
        <mc:AlternateContent xmlns:mc="http://schemas.openxmlformats.org/markup-compatibility/2006">
          <mc:Choice Requires="x14">
            <control shapeId="218121" r:id="rId12" name="Drop Down 9">
              <controlPr defaultSize="0" autoLine="0" autoPict="0">
                <anchor moveWithCells="1">
                  <from>
                    <xdr:col>6</xdr:col>
                    <xdr:colOff>0</xdr:colOff>
                    <xdr:row>41</xdr:row>
                    <xdr:rowOff>0</xdr:rowOff>
                  </from>
                  <to>
                    <xdr:col>7</xdr:col>
                    <xdr:colOff>0</xdr:colOff>
                    <xdr:row>42</xdr:row>
                    <xdr:rowOff>0</xdr:rowOff>
                  </to>
                </anchor>
              </controlPr>
            </control>
          </mc:Choice>
        </mc:AlternateContent>
        <mc:AlternateContent xmlns:mc="http://schemas.openxmlformats.org/markup-compatibility/2006">
          <mc:Choice Requires="x14">
            <control shapeId="218122" r:id="rId13" name="Drop Down 10">
              <controlPr defaultSize="0" autoLine="0" autoPict="0">
                <anchor moveWithCells="1">
                  <from>
                    <xdr:col>6</xdr:col>
                    <xdr:colOff>0</xdr:colOff>
                    <xdr:row>43</xdr:row>
                    <xdr:rowOff>0</xdr:rowOff>
                  </from>
                  <to>
                    <xdr:col>7</xdr:col>
                    <xdr:colOff>0</xdr:colOff>
                    <xdr:row>44</xdr:row>
                    <xdr:rowOff>0</xdr:rowOff>
                  </to>
                </anchor>
              </controlPr>
            </control>
          </mc:Choice>
        </mc:AlternateContent>
        <mc:AlternateContent xmlns:mc="http://schemas.openxmlformats.org/markup-compatibility/2006">
          <mc:Choice Requires="x14">
            <control shapeId="218123" r:id="rId14" name="Drop Down 11">
              <controlPr defaultSize="0" autoLine="0" autoPict="0">
                <anchor moveWithCells="1">
                  <from>
                    <xdr:col>6</xdr:col>
                    <xdr:colOff>0</xdr:colOff>
                    <xdr:row>55</xdr:row>
                    <xdr:rowOff>0</xdr:rowOff>
                  </from>
                  <to>
                    <xdr:col>7</xdr:col>
                    <xdr:colOff>0</xdr:colOff>
                    <xdr:row>56</xdr:row>
                    <xdr:rowOff>0</xdr:rowOff>
                  </to>
                </anchor>
              </controlPr>
            </control>
          </mc:Choice>
        </mc:AlternateContent>
        <mc:AlternateContent xmlns:mc="http://schemas.openxmlformats.org/markup-compatibility/2006">
          <mc:Choice Requires="x14">
            <control shapeId="218124" r:id="rId15" name="Drop Down 12">
              <controlPr defaultSize="0" autoLine="0" autoPict="0">
                <anchor moveWithCells="1">
                  <from>
                    <xdr:col>6</xdr:col>
                    <xdr:colOff>0</xdr:colOff>
                    <xdr:row>57</xdr:row>
                    <xdr:rowOff>0</xdr:rowOff>
                  </from>
                  <to>
                    <xdr:col>7</xdr:col>
                    <xdr:colOff>0</xdr:colOff>
                    <xdr:row>58</xdr:row>
                    <xdr:rowOff>0</xdr:rowOff>
                  </to>
                </anchor>
              </controlPr>
            </control>
          </mc:Choice>
        </mc:AlternateContent>
        <mc:AlternateContent xmlns:mc="http://schemas.openxmlformats.org/markup-compatibility/2006">
          <mc:Choice Requires="x14">
            <control shapeId="218125" r:id="rId16" name="Drop Down 13">
              <controlPr defaultSize="0" autoLine="0" autoPict="0">
                <anchor moveWithCells="1">
                  <from>
                    <xdr:col>6</xdr:col>
                    <xdr:colOff>0</xdr:colOff>
                    <xdr:row>59</xdr:row>
                    <xdr:rowOff>0</xdr:rowOff>
                  </from>
                  <to>
                    <xdr:col>7</xdr:col>
                    <xdr:colOff>0</xdr:colOff>
                    <xdr:row>60</xdr:row>
                    <xdr:rowOff>0</xdr:rowOff>
                  </to>
                </anchor>
              </controlPr>
            </control>
          </mc:Choice>
        </mc:AlternateContent>
        <mc:AlternateContent xmlns:mc="http://schemas.openxmlformats.org/markup-compatibility/2006">
          <mc:Choice Requires="x14">
            <control shapeId="218126" r:id="rId17" name="Drop Down 14">
              <controlPr defaultSize="0" autoLine="0" autoPict="0">
                <anchor moveWithCells="1">
                  <from>
                    <xdr:col>6</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218127" r:id="rId18" name="Drop Down 15">
              <controlPr defaultSize="0" autoLine="0" autoPict="0">
                <anchor moveWithCells="1">
                  <from>
                    <xdr:col>6</xdr:col>
                    <xdr:colOff>0</xdr:colOff>
                    <xdr:row>63</xdr:row>
                    <xdr:rowOff>0</xdr:rowOff>
                  </from>
                  <to>
                    <xdr:col>7</xdr:col>
                    <xdr:colOff>0</xdr:colOff>
                    <xdr:row>64</xdr:row>
                    <xdr:rowOff>0</xdr:rowOff>
                  </to>
                </anchor>
              </controlPr>
            </control>
          </mc:Choice>
        </mc:AlternateContent>
        <mc:AlternateContent xmlns:mc="http://schemas.openxmlformats.org/markup-compatibility/2006">
          <mc:Choice Requires="x14">
            <control shapeId="218128" r:id="rId19" name="Drop Down 16">
              <controlPr defaultSize="0" autoLine="0" autoPict="0">
                <anchor moveWithCells="1">
                  <from>
                    <xdr:col>6</xdr:col>
                    <xdr:colOff>0</xdr:colOff>
                    <xdr:row>93</xdr:row>
                    <xdr:rowOff>0</xdr:rowOff>
                  </from>
                  <to>
                    <xdr:col>6</xdr:col>
                    <xdr:colOff>1234440</xdr:colOff>
                    <xdr:row>94</xdr:row>
                    <xdr:rowOff>0</xdr:rowOff>
                  </to>
                </anchor>
              </controlPr>
            </control>
          </mc:Choice>
        </mc:AlternateContent>
        <mc:AlternateContent xmlns:mc="http://schemas.openxmlformats.org/markup-compatibility/2006">
          <mc:Choice Requires="x14">
            <control shapeId="218133" r:id="rId20" name="Drop Down 21">
              <controlPr defaultSize="0" autoLine="0" autoPict="0">
                <anchor moveWithCells="1">
                  <from>
                    <xdr:col>6</xdr:col>
                    <xdr:colOff>0</xdr:colOff>
                    <xdr:row>75</xdr:row>
                    <xdr:rowOff>0</xdr:rowOff>
                  </from>
                  <to>
                    <xdr:col>7</xdr:col>
                    <xdr:colOff>0</xdr:colOff>
                    <xdr:row>76</xdr:row>
                    <xdr:rowOff>0</xdr:rowOff>
                  </to>
                </anchor>
              </controlPr>
            </control>
          </mc:Choice>
        </mc:AlternateContent>
        <mc:AlternateContent xmlns:mc="http://schemas.openxmlformats.org/markup-compatibility/2006">
          <mc:Choice Requires="x14">
            <control shapeId="218134" r:id="rId21" name="Drop Down 22">
              <controlPr defaultSize="0" autoLine="0" autoPict="0">
                <anchor moveWithCells="1">
                  <from>
                    <xdr:col>6</xdr:col>
                    <xdr:colOff>0</xdr:colOff>
                    <xdr:row>77</xdr:row>
                    <xdr:rowOff>0</xdr:rowOff>
                  </from>
                  <to>
                    <xdr:col>7</xdr:col>
                    <xdr:colOff>0</xdr:colOff>
                    <xdr:row>78</xdr:row>
                    <xdr:rowOff>0</xdr:rowOff>
                  </to>
                </anchor>
              </controlPr>
            </control>
          </mc:Choice>
        </mc:AlternateContent>
        <mc:AlternateContent xmlns:mc="http://schemas.openxmlformats.org/markup-compatibility/2006">
          <mc:Choice Requires="x14">
            <control shapeId="218135" r:id="rId22" name="Drop Down 23">
              <controlPr defaultSize="0" autoLine="0" autoPict="0">
                <anchor moveWithCells="1">
                  <from>
                    <xdr:col>6</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218136" r:id="rId23" name="Drop Down 24">
              <controlPr defaultSize="0" autoLine="0" autoPict="0">
                <anchor moveWithCells="1">
                  <from>
                    <xdr:col>6</xdr:col>
                    <xdr:colOff>0</xdr:colOff>
                    <xdr:row>81</xdr:row>
                    <xdr:rowOff>0</xdr:rowOff>
                  </from>
                  <to>
                    <xdr:col>7</xdr:col>
                    <xdr:colOff>0</xdr:colOff>
                    <xdr:row>82</xdr:row>
                    <xdr:rowOff>0</xdr:rowOff>
                  </to>
                </anchor>
              </controlPr>
            </control>
          </mc:Choice>
        </mc:AlternateContent>
        <mc:AlternateContent xmlns:mc="http://schemas.openxmlformats.org/markup-compatibility/2006">
          <mc:Choice Requires="x14">
            <control shapeId="218137" r:id="rId24" name="Drop Down 25">
              <controlPr defaultSize="0" autoLine="0" autoPict="0">
                <anchor moveWithCells="1">
                  <from>
                    <xdr:col>6</xdr:col>
                    <xdr:colOff>0</xdr:colOff>
                    <xdr:row>83</xdr:row>
                    <xdr:rowOff>0</xdr:rowOff>
                  </from>
                  <to>
                    <xdr:col>7</xdr:col>
                    <xdr:colOff>0</xdr:colOff>
                    <xdr:row>84</xdr:row>
                    <xdr:rowOff>0</xdr:rowOff>
                  </to>
                </anchor>
              </controlPr>
            </control>
          </mc:Choice>
        </mc:AlternateContent>
        <mc:AlternateContent xmlns:mc="http://schemas.openxmlformats.org/markup-compatibility/2006">
          <mc:Choice Requires="x14">
            <control shapeId="218138" r:id="rId25" name="Check Box 26">
              <controlPr defaultSize="0" autoFill="0" autoLine="0" autoPict="0">
                <anchor moveWithCells="1">
                  <from>
                    <xdr:col>20</xdr:col>
                    <xdr:colOff>7620</xdr:colOff>
                    <xdr:row>15</xdr:row>
                    <xdr:rowOff>0</xdr:rowOff>
                  </from>
                  <to>
                    <xdr:col>21</xdr:col>
                    <xdr:colOff>7620</xdr:colOff>
                    <xdr:row>16</xdr:row>
                    <xdr:rowOff>0</xdr:rowOff>
                  </to>
                </anchor>
              </controlPr>
            </control>
          </mc:Choice>
        </mc:AlternateContent>
        <mc:AlternateContent xmlns:mc="http://schemas.openxmlformats.org/markup-compatibility/2006">
          <mc:Choice Requires="x14">
            <control shapeId="218139" r:id="rId26" name="Check Box 27">
              <controlPr defaultSize="0" autoFill="0" autoLine="0" autoPict="0">
                <anchor moveWithCells="1">
                  <from>
                    <xdr:col>20</xdr:col>
                    <xdr:colOff>7620</xdr:colOff>
                    <xdr:row>17</xdr:row>
                    <xdr:rowOff>0</xdr:rowOff>
                  </from>
                  <to>
                    <xdr:col>21</xdr:col>
                    <xdr:colOff>7620</xdr:colOff>
                    <xdr:row>18</xdr:row>
                    <xdr:rowOff>0</xdr:rowOff>
                  </to>
                </anchor>
              </controlPr>
            </control>
          </mc:Choice>
        </mc:AlternateContent>
        <mc:AlternateContent xmlns:mc="http://schemas.openxmlformats.org/markup-compatibility/2006">
          <mc:Choice Requires="x14">
            <control shapeId="218140" r:id="rId27" name="Check Box 28">
              <controlPr defaultSize="0" autoFill="0" autoLine="0" autoPict="0">
                <anchor moveWithCells="1">
                  <from>
                    <xdr:col>20</xdr:col>
                    <xdr:colOff>7620</xdr:colOff>
                    <xdr:row>19</xdr:row>
                    <xdr:rowOff>0</xdr:rowOff>
                  </from>
                  <to>
                    <xdr:col>21</xdr:col>
                    <xdr:colOff>7620</xdr:colOff>
                    <xdr:row>19</xdr:row>
                    <xdr:rowOff>144780</xdr:rowOff>
                  </to>
                </anchor>
              </controlPr>
            </control>
          </mc:Choice>
        </mc:AlternateContent>
        <mc:AlternateContent xmlns:mc="http://schemas.openxmlformats.org/markup-compatibility/2006">
          <mc:Choice Requires="x14">
            <control shapeId="218141" r:id="rId28" name="Check Box 29">
              <controlPr defaultSize="0" autoFill="0" autoLine="0" autoPict="0">
                <anchor moveWithCells="1">
                  <from>
                    <xdr:col>20</xdr:col>
                    <xdr:colOff>7620</xdr:colOff>
                    <xdr:row>21</xdr:row>
                    <xdr:rowOff>0</xdr:rowOff>
                  </from>
                  <to>
                    <xdr:col>21</xdr:col>
                    <xdr:colOff>7620</xdr:colOff>
                    <xdr:row>21</xdr:row>
                    <xdr:rowOff>144780</xdr:rowOff>
                  </to>
                </anchor>
              </controlPr>
            </control>
          </mc:Choice>
        </mc:AlternateContent>
        <mc:AlternateContent xmlns:mc="http://schemas.openxmlformats.org/markup-compatibility/2006">
          <mc:Choice Requires="x14">
            <control shapeId="218142" r:id="rId29" name="Check Box 30">
              <controlPr defaultSize="0" autoFill="0" autoLine="0" autoPict="0">
                <anchor moveWithCells="1">
                  <from>
                    <xdr:col>20</xdr:col>
                    <xdr:colOff>7620</xdr:colOff>
                    <xdr:row>23</xdr:row>
                    <xdr:rowOff>0</xdr:rowOff>
                  </from>
                  <to>
                    <xdr:col>21</xdr:col>
                    <xdr:colOff>7620</xdr:colOff>
                    <xdr:row>23</xdr:row>
                    <xdr:rowOff>144780</xdr:rowOff>
                  </to>
                </anchor>
              </controlPr>
            </control>
          </mc:Choice>
        </mc:AlternateContent>
        <mc:AlternateContent xmlns:mc="http://schemas.openxmlformats.org/markup-compatibility/2006">
          <mc:Choice Requires="x14">
            <control shapeId="218144" r:id="rId30" name="Check Box 32">
              <controlPr defaultSize="0" autoFill="0" autoLine="0" autoPict="0">
                <anchor moveWithCells="1">
                  <from>
                    <xdr:col>20</xdr:col>
                    <xdr:colOff>7620</xdr:colOff>
                    <xdr:row>35</xdr:row>
                    <xdr:rowOff>0</xdr:rowOff>
                  </from>
                  <to>
                    <xdr:col>21</xdr:col>
                    <xdr:colOff>7620</xdr:colOff>
                    <xdr:row>36</xdr:row>
                    <xdr:rowOff>0</xdr:rowOff>
                  </to>
                </anchor>
              </controlPr>
            </control>
          </mc:Choice>
        </mc:AlternateContent>
        <mc:AlternateContent xmlns:mc="http://schemas.openxmlformats.org/markup-compatibility/2006">
          <mc:Choice Requires="x14">
            <control shapeId="218145" r:id="rId31" name="Check Box 33">
              <controlPr defaultSize="0" autoFill="0" autoLine="0" autoPict="0">
                <anchor moveWithCells="1">
                  <from>
                    <xdr:col>20</xdr:col>
                    <xdr:colOff>7620</xdr:colOff>
                    <xdr:row>37</xdr:row>
                    <xdr:rowOff>0</xdr:rowOff>
                  </from>
                  <to>
                    <xdr:col>21</xdr:col>
                    <xdr:colOff>7620</xdr:colOff>
                    <xdr:row>38</xdr:row>
                    <xdr:rowOff>0</xdr:rowOff>
                  </to>
                </anchor>
              </controlPr>
            </control>
          </mc:Choice>
        </mc:AlternateContent>
        <mc:AlternateContent xmlns:mc="http://schemas.openxmlformats.org/markup-compatibility/2006">
          <mc:Choice Requires="x14">
            <control shapeId="218146" r:id="rId32" name="Check Box 34">
              <controlPr defaultSize="0" autoFill="0" autoLine="0" autoPict="0">
                <anchor moveWithCells="1">
                  <from>
                    <xdr:col>20</xdr:col>
                    <xdr:colOff>7620</xdr:colOff>
                    <xdr:row>39</xdr:row>
                    <xdr:rowOff>0</xdr:rowOff>
                  </from>
                  <to>
                    <xdr:col>21</xdr:col>
                    <xdr:colOff>7620</xdr:colOff>
                    <xdr:row>40</xdr:row>
                    <xdr:rowOff>0</xdr:rowOff>
                  </to>
                </anchor>
              </controlPr>
            </control>
          </mc:Choice>
        </mc:AlternateContent>
        <mc:AlternateContent xmlns:mc="http://schemas.openxmlformats.org/markup-compatibility/2006">
          <mc:Choice Requires="x14">
            <control shapeId="218147" r:id="rId33" name="Check Box 35">
              <controlPr defaultSize="0" autoFill="0" autoLine="0" autoPict="0">
                <anchor moveWithCells="1">
                  <from>
                    <xdr:col>20</xdr:col>
                    <xdr:colOff>7620</xdr:colOff>
                    <xdr:row>41</xdr:row>
                    <xdr:rowOff>0</xdr:rowOff>
                  </from>
                  <to>
                    <xdr:col>21</xdr:col>
                    <xdr:colOff>7620</xdr:colOff>
                    <xdr:row>42</xdr:row>
                    <xdr:rowOff>0</xdr:rowOff>
                  </to>
                </anchor>
              </controlPr>
            </control>
          </mc:Choice>
        </mc:AlternateContent>
        <mc:AlternateContent xmlns:mc="http://schemas.openxmlformats.org/markup-compatibility/2006">
          <mc:Choice Requires="x14">
            <control shapeId="218148" r:id="rId34" name="Check Box 36">
              <controlPr defaultSize="0" autoFill="0" autoLine="0" autoPict="0">
                <anchor moveWithCells="1">
                  <from>
                    <xdr:col>20</xdr:col>
                    <xdr:colOff>7620</xdr:colOff>
                    <xdr:row>43</xdr:row>
                    <xdr:rowOff>0</xdr:rowOff>
                  </from>
                  <to>
                    <xdr:col>21</xdr:col>
                    <xdr:colOff>7620</xdr:colOff>
                    <xdr:row>44</xdr:row>
                    <xdr:rowOff>0</xdr:rowOff>
                  </to>
                </anchor>
              </controlPr>
            </control>
          </mc:Choice>
        </mc:AlternateContent>
        <mc:AlternateContent xmlns:mc="http://schemas.openxmlformats.org/markup-compatibility/2006">
          <mc:Choice Requires="x14">
            <control shapeId="218150" r:id="rId35" name="Check Box 38">
              <controlPr defaultSize="0" autoFill="0" autoLine="0" autoPict="0">
                <anchor moveWithCells="1">
                  <from>
                    <xdr:col>20</xdr:col>
                    <xdr:colOff>7620</xdr:colOff>
                    <xdr:row>55</xdr:row>
                    <xdr:rowOff>0</xdr:rowOff>
                  </from>
                  <to>
                    <xdr:col>21</xdr:col>
                    <xdr:colOff>7620</xdr:colOff>
                    <xdr:row>56</xdr:row>
                    <xdr:rowOff>0</xdr:rowOff>
                  </to>
                </anchor>
              </controlPr>
            </control>
          </mc:Choice>
        </mc:AlternateContent>
        <mc:AlternateContent xmlns:mc="http://schemas.openxmlformats.org/markup-compatibility/2006">
          <mc:Choice Requires="x14">
            <control shapeId="218151" r:id="rId36" name="Check Box 39">
              <controlPr defaultSize="0" autoFill="0" autoLine="0" autoPict="0">
                <anchor moveWithCells="1">
                  <from>
                    <xdr:col>20</xdr:col>
                    <xdr:colOff>7620</xdr:colOff>
                    <xdr:row>57</xdr:row>
                    <xdr:rowOff>0</xdr:rowOff>
                  </from>
                  <to>
                    <xdr:col>21</xdr:col>
                    <xdr:colOff>7620</xdr:colOff>
                    <xdr:row>58</xdr:row>
                    <xdr:rowOff>0</xdr:rowOff>
                  </to>
                </anchor>
              </controlPr>
            </control>
          </mc:Choice>
        </mc:AlternateContent>
        <mc:AlternateContent xmlns:mc="http://schemas.openxmlformats.org/markup-compatibility/2006">
          <mc:Choice Requires="x14">
            <control shapeId="218152" r:id="rId37" name="Check Box 40">
              <controlPr defaultSize="0" autoFill="0" autoLine="0" autoPict="0">
                <anchor moveWithCells="1">
                  <from>
                    <xdr:col>20</xdr:col>
                    <xdr:colOff>7620</xdr:colOff>
                    <xdr:row>59</xdr:row>
                    <xdr:rowOff>0</xdr:rowOff>
                  </from>
                  <to>
                    <xdr:col>21</xdr:col>
                    <xdr:colOff>7620</xdr:colOff>
                    <xdr:row>60</xdr:row>
                    <xdr:rowOff>0</xdr:rowOff>
                  </to>
                </anchor>
              </controlPr>
            </control>
          </mc:Choice>
        </mc:AlternateContent>
        <mc:AlternateContent xmlns:mc="http://schemas.openxmlformats.org/markup-compatibility/2006">
          <mc:Choice Requires="x14">
            <control shapeId="218153" r:id="rId38" name="Check Box 41">
              <controlPr defaultSize="0" autoFill="0" autoLine="0" autoPict="0">
                <anchor moveWithCells="1">
                  <from>
                    <xdr:col>20</xdr:col>
                    <xdr:colOff>7620</xdr:colOff>
                    <xdr:row>61</xdr:row>
                    <xdr:rowOff>0</xdr:rowOff>
                  </from>
                  <to>
                    <xdr:col>21</xdr:col>
                    <xdr:colOff>7620</xdr:colOff>
                    <xdr:row>62</xdr:row>
                    <xdr:rowOff>0</xdr:rowOff>
                  </to>
                </anchor>
              </controlPr>
            </control>
          </mc:Choice>
        </mc:AlternateContent>
        <mc:AlternateContent xmlns:mc="http://schemas.openxmlformats.org/markup-compatibility/2006">
          <mc:Choice Requires="x14">
            <control shapeId="218154" r:id="rId39" name="Check Box 42">
              <controlPr defaultSize="0" autoFill="0" autoLine="0" autoPict="0">
                <anchor moveWithCells="1">
                  <from>
                    <xdr:col>20</xdr:col>
                    <xdr:colOff>7620</xdr:colOff>
                    <xdr:row>63</xdr:row>
                    <xdr:rowOff>0</xdr:rowOff>
                  </from>
                  <to>
                    <xdr:col>21</xdr:col>
                    <xdr:colOff>7620</xdr:colOff>
                    <xdr:row>64</xdr:row>
                    <xdr:rowOff>0</xdr:rowOff>
                  </to>
                </anchor>
              </controlPr>
            </control>
          </mc:Choice>
        </mc:AlternateContent>
        <mc:AlternateContent xmlns:mc="http://schemas.openxmlformats.org/markup-compatibility/2006">
          <mc:Choice Requires="x14">
            <control shapeId="218156" r:id="rId40" name="Check Box 44">
              <controlPr defaultSize="0" autoFill="0" autoLine="0" autoPict="0">
                <anchor moveWithCells="1">
                  <from>
                    <xdr:col>20</xdr:col>
                    <xdr:colOff>7620</xdr:colOff>
                    <xdr:row>75</xdr:row>
                    <xdr:rowOff>0</xdr:rowOff>
                  </from>
                  <to>
                    <xdr:col>21</xdr:col>
                    <xdr:colOff>7620</xdr:colOff>
                    <xdr:row>76</xdr:row>
                    <xdr:rowOff>0</xdr:rowOff>
                  </to>
                </anchor>
              </controlPr>
            </control>
          </mc:Choice>
        </mc:AlternateContent>
        <mc:AlternateContent xmlns:mc="http://schemas.openxmlformats.org/markup-compatibility/2006">
          <mc:Choice Requires="x14">
            <control shapeId="218157" r:id="rId41" name="Check Box 45">
              <controlPr defaultSize="0" autoFill="0" autoLine="0" autoPict="0">
                <anchor moveWithCells="1">
                  <from>
                    <xdr:col>20</xdr:col>
                    <xdr:colOff>7620</xdr:colOff>
                    <xdr:row>77</xdr:row>
                    <xdr:rowOff>0</xdr:rowOff>
                  </from>
                  <to>
                    <xdr:col>21</xdr:col>
                    <xdr:colOff>7620</xdr:colOff>
                    <xdr:row>78</xdr:row>
                    <xdr:rowOff>0</xdr:rowOff>
                  </to>
                </anchor>
              </controlPr>
            </control>
          </mc:Choice>
        </mc:AlternateContent>
        <mc:AlternateContent xmlns:mc="http://schemas.openxmlformats.org/markup-compatibility/2006">
          <mc:Choice Requires="x14">
            <control shapeId="218158" r:id="rId42" name="Check Box 46">
              <controlPr defaultSize="0" autoFill="0" autoLine="0" autoPict="0">
                <anchor moveWithCells="1">
                  <from>
                    <xdr:col>20</xdr:col>
                    <xdr:colOff>7620</xdr:colOff>
                    <xdr:row>79</xdr:row>
                    <xdr:rowOff>0</xdr:rowOff>
                  </from>
                  <to>
                    <xdr:col>21</xdr:col>
                    <xdr:colOff>7620</xdr:colOff>
                    <xdr:row>80</xdr:row>
                    <xdr:rowOff>0</xdr:rowOff>
                  </to>
                </anchor>
              </controlPr>
            </control>
          </mc:Choice>
        </mc:AlternateContent>
        <mc:AlternateContent xmlns:mc="http://schemas.openxmlformats.org/markup-compatibility/2006">
          <mc:Choice Requires="x14">
            <control shapeId="218159" r:id="rId43" name="Check Box 47">
              <controlPr defaultSize="0" autoFill="0" autoLine="0" autoPict="0">
                <anchor moveWithCells="1">
                  <from>
                    <xdr:col>20</xdr:col>
                    <xdr:colOff>7620</xdr:colOff>
                    <xdr:row>81</xdr:row>
                    <xdr:rowOff>0</xdr:rowOff>
                  </from>
                  <to>
                    <xdr:col>21</xdr:col>
                    <xdr:colOff>7620</xdr:colOff>
                    <xdr:row>82</xdr:row>
                    <xdr:rowOff>0</xdr:rowOff>
                  </to>
                </anchor>
              </controlPr>
            </control>
          </mc:Choice>
        </mc:AlternateContent>
        <mc:AlternateContent xmlns:mc="http://schemas.openxmlformats.org/markup-compatibility/2006">
          <mc:Choice Requires="x14">
            <control shapeId="218160" r:id="rId44" name="Check Box 48">
              <controlPr defaultSize="0" autoFill="0" autoLine="0" autoPict="0">
                <anchor moveWithCells="1">
                  <from>
                    <xdr:col>20</xdr:col>
                    <xdr:colOff>7620</xdr:colOff>
                    <xdr:row>83</xdr:row>
                    <xdr:rowOff>0</xdr:rowOff>
                  </from>
                  <to>
                    <xdr:col>21</xdr:col>
                    <xdr:colOff>7620</xdr:colOff>
                    <xdr:row>84</xdr:row>
                    <xdr:rowOff>0</xdr:rowOff>
                  </to>
                </anchor>
              </controlPr>
            </control>
          </mc:Choice>
        </mc:AlternateContent>
        <mc:AlternateContent xmlns:mc="http://schemas.openxmlformats.org/markup-compatibility/2006">
          <mc:Choice Requires="x14">
            <control shapeId="218161" r:id="rId45" name="Check Box 49">
              <controlPr defaultSize="0" autoFill="0" autoLine="0" autoPict="0">
                <anchor moveWithCells="1">
                  <from>
                    <xdr:col>20</xdr:col>
                    <xdr:colOff>7620</xdr:colOff>
                    <xdr:row>93</xdr:row>
                    <xdr:rowOff>0</xdr:rowOff>
                  </from>
                  <to>
                    <xdr:col>21</xdr:col>
                    <xdr:colOff>7620</xdr:colOff>
                    <xdr:row>94</xdr:row>
                    <xdr:rowOff>0</xdr:rowOff>
                  </to>
                </anchor>
              </controlPr>
            </control>
          </mc:Choice>
        </mc:AlternateContent>
        <mc:AlternateContent xmlns:mc="http://schemas.openxmlformats.org/markup-compatibility/2006">
          <mc:Choice Requires="x14">
            <control shapeId="218162" r:id="rId46" name="Check Box 50">
              <controlPr defaultSize="0" autoFill="0" autoLine="0" autoPict="0">
                <anchor moveWithCells="1">
                  <from>
                    <xdr:col>20</xdr:col>
                    <xdr:colOff>7620</xdr:colOff>
                    <xdr:row>95</xdr:row>
                    <xdr:rowOff>0</xdr:rowOff>
                  </from>
                  <to>
                    <xdr:col>21</xdr:col>
                    <xdr:colOff>7620</xdr:colOff>
                    <xdr:row>96</xdr:row>
                    <xdr:rowOff>0</xdr:rowOff>
                  </to>
                </anchor>
              </controlPr>
            </control>
          </mc:Choice>
        </mc:AlternateContent>
        <mc:AlternateContent xmlns:mc="http://schemas.openxmlformats.org/markup-compatibility/2006">
          <mc:Choice Requires="x14">
            <control shapeId="218163" r:id="rId47" name="Check Box 51">
              <controlPr defaultSize="0" autoFill="0" autoLine="0" autoPict="0">
                <anchor moveWithCells="1">
                  <from>
                    <xdr:col>20</xdr:col>
                    <xdr:colOff>7620</xdr:colOff>
                    <xdr:row>97</xdr:row>
                    <xdr:rowOff>0</xdr:rowOff>
                  </from>
                  <to>
                    <xdr:col>21</xdr:col>
                    <xdr:colOff>7620</xdr:colOff>
                    <xdr:row>98</xdr:row>
                    <xdr:rowOff>0</xdr:rowOff>
                  </to>
                </anchor>
              </controlPr>
            </control>
          </mc:Choice>
        </mc:AlternateContent>
        <mc:AlternateContent xmlns:mc="http://schemas.openxmlformats.org/markup-compatibility/2006">
          <mc:Choice Requires="x14">
            <control shapeId="218164" r:id="rId48" name="Check Box 52">
              <controlPr defaultSize="0" autoFill="0" autoLine="0" autoPict="0">
                <anchor moveWithCells="1">
                  <from>
                    <xdr:col>20</xdr:col>
                    <xdr:colOff>7620</xdr:colOff>
                    <xdr:row>99</xdr:row>
                    <xdr:rowOff>0</xdr:rowOff>
                  </from>
                  <to>
                    <xdr:col>21</xdr:col>
                    <xdr:colOff>7620</xdr:colOff>
                    <xdr:row>100</xdr:row>
                    <xdr:rowOff>0</xdr:rowOff>
                  </to>
                </anchor>
              </controlPr>
            </control>
          </mc:Choice>
        </mc:AlternateContent>
        <mc:AlternateContent xmlns:mc="http://schemas.openxmlformats.org/markup-compatibility/2006">
          <mc:Choice Requires="x14">
            <control shapeId="218165" r:id="rId49" name="Check Box 53">
              <controlPr defaultSize="0" autoFill="0" autoLine="0" autoPict="0">
                <anchor moveWithCells="1">
                  <from>
                    <xdr:col>20</xdr:col>
                    <xdr:colOff>7620</xdr:colOff>
                    <xdr:row>101</xdr:row>
                    <xdr:rowOff>0</xdr:rowOff>
                  </from>
                  <to>
                    <xdr:col>21</xdr:col>
                    <xdr:colOff>7620</xdr:colOff>
                    <xdr:row>102</xdr:row>
                    <xdr:rowOff>0</xdr:rowOff>
                  </to>
                </anchor>
              </controlPr>
            </control>
          </mc:Choice>
        </mc:AlternateContent>
        <mc:AlternateContent xmlns:mc="http://schemas.openxmlformats.org/markup-compatibility/2006">
          <mc:Choice Requires="x14">
            <control shapeId="218178" r:id="rId50" name="Drop Down 66">
              <controlPr defaultSize="0" autoLine="0" autoPict="0">
                <anchor moveWithCells="1">
                  <from>
                    <xdr:col>5</xdr:col>
                    <xdr:colOff>30480</xdr:colOff>
                    <xdr:row>94</xdr:row>
                    <xdr:rowOff>38100</xdr:rowOff>
                  </from>
                  <to>
                    <xdr:col>6</xdr:col>
                    <xdr:colOff>1272540</xdr:colOff>
                    <xdr:row>95</xdr:row>
                    <xdr:rowOff>144780</xdr:rowOff>
                  </to>
                </anchor>
              </controlPr>
            </control>
          </mc:Choice>
        </mc:AlternateContent>
        <mc:AlternateContent xmlns:mc="http://schemas.openxmlformats.org/markup-compatibility/2006">
          <mc:Choice Requires="x14">
            <control shapeId="218179" r:id="rId51" name="Drop Down 67">
              <controlPr defaultSize="0" autoLine="0" autoPict="0">
                <anchor moveWithCells="1">
                  <from>
                    <xdr:col>5</xdr:col>
                    <xdr:colOff>30480</xdr:colOff>
                    <xdr:row>96</xdr:row>
                    <xdr:rowOff>38100</xdr:rowOff>
                  </from>
                  <to>
                    <xdr:col>6</xdr:col>
                    <xdr:colOff>1272540</xdr:colOff>
                    <xdr:row>97</xdr:row>
                    <xdr:rowOff>144780</xdr:rowOff>
                  </to>
                </anchor>
              </controlPr>
            </control>
          </mc:Choice>
        </mc:AlternateContent>
        <mc:AlternateContent xmlns:mc="http://schemas.openxmlformats.org/markup-compatibility/2006">
          <mc:Choice Requires="x14">
            <control shapeId="218180" r:id="rId52" name="Drop Down 68">
              <controlPr defaultSize="0" autoLine="0" autoPict="0">
                <anchor moveWithCells="1">
                  <from>
                    <xdr:col>5</xdr:col>
                    <xdr:colOff>30480</xdr:colOff>
                    <xdr:row>98</xdr:row>
                    <xdr:rowOff>30480</xdr:rowOff>
                  </from>
                  <to>
                    <xdr:col>6</xdr:col>
                    <xdr:colOff>1272540</xdr:colOff>
                    <xdr:row>99</xdr:row>
                    <xdr:rowOff>144780</xdr:rowOff>
                  </to>
                </anchor>
              </controlPr>
            </control>
          </mc:Choice>
        </mc:AlternateContent>
        <mc:AlternateContent xmlns:mc="http://schemas.openxmlformats.org/markup-compatibility/2006">
          <mc:Choice Requires="x14">
            <control shapeId="218181" r:id="rId53" name="Drop Down 69">
              <controlPr defaultSize="0" autoLine="0" autoPict="0">
                <anchor moveWithCells="1">
                  <from>
                    <xdr:col>5</xdr:col>
                    <xdr:colOff>30480</xdr:colOff>
                    <xdr:row>100</xdr:row>
                    <xdr:rowOff>38100</xdr:rowOff>
                  </from>
                  <to>
                    <xdr:col>6</xdr:col>
                    <xdr:colOff>1272540</xdr:colOff>
                    <xdr:row>101</xdr:row>
                    <xdr:rowOff>144780</xdr:rowOff>
                  </to>
                </anchor>
              </controlPr>
            </control>
          </mc:Choice>
        </mc:AlternateContent>
        <mc:AlternateContent xmlns:mc="http://schemas.openxmlformats.org/markup-compatibility/2006">
          <mc:Choice Requires="x14">
            <control shapeId="218189" r:id="rId54" name="Button 77">
              <controlPr defaultSize="0" print="0" autoFill="0" autoPict="0" macro="[0]!IW_Copy">
                <anchor moveWithCells="1" sizeWithCells="1">
                  <from>
                    <xdr:col>3</xdr:col>
                    <xdr:colOff>403860</xdr:colOff>
                    <xdr:row>0</xdr:row>
                    <xdr:rowOff>7620</xdr:rowOff>
                  </from>
                  <to>
                    <xdr:col>3</xdr:col>
                    <xdr:colOff>838200</xdr:colOff>
                    <xdr:row>1</xdr:row>
                    <xdr:rowOff>99060</xdr:rowOff>
                  </to>
                </anchor>
              </controlPr>
            </control>
          </mc:Choice>
        </mc:AlternateContent>
        <mc:AlternateContent xmlns:mc="http://schemas.openxmlformats.org/markup-compatibility/2006">
          <mc:Choice Requires="x14">
            <control shapeId="218190" r:id="rId55" name="Button 78">
              <controlPr defaultSize="0" print="0" autoFill="0" autoPict="0" macro="[0]!IW_Home">
                <anchor moveWithCells="1" sizeWithCells="1">
                  <from>
                    <xdr:col>0</xdr:col>
                    <xdr:colOff>0</xdr:colOff>
                    <xdr:row>0</xdr:row>
                    <xdr:rowOff>7620</xdr:rowOff>
                  </from>
                  <to>
                    <xdr:col>3</xdr:col>
                    <xdr:colOff>350520</xdr:colOff>
                    <xdr:row>1</xdr:row>
                    <xdr:rowOff>99060</xdr:rowOff>
                  </to>
                </anchor>
              </controlPr>
            </control>
          </mc:Choice>
        </mc:AlternateContent>
        <mc:AlternateContent xmlns:mc="http://schemas.openxmlformats.org/markup-compatibility/2006">
          <mc:Choice Requires="x14">
            <control shapeId="218191" r:id="rId56" name="Button 79">
              <controlPr defaultSize="0" print="0" autoFill="0" autoPict="0" macro="[0]!Household_Clear">
                <anchor moveWithCells="1" sizeWithCells="1">
                  <from>
                    <xdr:col>0</xdr:col>
                    <xdr:colOff>0</xdr:colOff>
                    <xdr:row>2</xdr:row>
                    <xdr:rowOff>15240</xdr:rowOff>
                  </from>
                  <to>
                    <xdr:col>3</xdr:col>
                    <xdr:colOff>342900</xdr:colOff>
                    <xdr:row>4</xdr:row>
                    <xdr:rowOff>38100</xdr:rowOff>
                  </to>
                </anchor>
              </controlPr>
            </control>
          </mc:Choice>
        </mc:AlternateContent>
        <mc:AlternateContent xmlns:mc="http://schemas.openxmlformats.org/markup-compatibility/2006">
          <mc:Choice Requires="x14">
            <control shapeId="218192" r:id="rId57" name="Button 80">
              <controlPr defaultSize="0" print="0" autoFill="0" autoPict="0" macro="[0]!Household_Hide">
                <anchor moveWithCells="1" sizeWithCells="1">
                  <from>
                    <xdr:col>3</xdr:col>
                    <xdr:colOff>396240</xdr:colOff>
                    <xdr:row>2</xdr:row>
                    <xdr:rowOff>15240</xdr:rowOff>
                  </from>
                  <to>
                    <xdr:col>3</xdr:col>
                    <xdr:colOff>838200</xdr:colOff>
                    <xdr:row>4</xdr:row>
                    <xdr:rowOff>45720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rgb="FF92D050"/>
  </sheetPr>
  <dimension ref="A2:J63"/>
  <sheetViews>
    <sheetView showGridLines="0" showRowColHeaders="0" showRuler="0" view="pageLayout" zoomScale="90" zoomScaleNormal="100" zoomScalePageLayoutView="90" workbookViewId="0">
      <selection activeCell="C4" sqref="C4:D4"/>
    </sheetView>
  </sheetViews>
  <sheetFormatPr defaultColWidth="9.109375" defaultRowHeight="14.4" x14ac:dyDescent="0.3"/>
  <cols>
    <col min="1" max="1" width="6.88671875" customWidth="1"/>
    <col min="2" max="2" width="14.44140625" customWidth="1"/>
    <col min="3" max="3" width="7" customWidth="1"/>
    <col min="4" max="4" width="11.88671875" customWidth="1"/>
    <col min="5" max="5" width="12" customWidth="1"/>
    <col min="6" max="6" width="31.44140625" customWidth="1"/>
    <col min="7" max="7" width="11.88671875" customWidth="1"/>
    <col min="8" max="8" width="3.33203125" customWidth="1"/>
    <col min="9" max="9" width="3.109375" customWidth="1"/>
    <col min="10" max="10" width="19" customWidth="1"/>
    <col min="11" max="11" width="10.5546875" bestFit="1" customWidth="1"/>
  </cols>
  <sheetData>
    <row r="2" spans="1:10" ht="35.25" customHeight="1" x14ac:dyDescent="0.5">
      <c r="A2" s="1321" t="s">
        <v>566</v>
      </c>
      <c r="B2" s="1321"/>
      <c r="C2" s="1321"/>
      <c r="D2" s="1321"/>
      <c r="E2" s="1321"/>
      <c r="F2" s="1321"/>
      <c r="G2" s="1321"/>
      <c r="H2" s="1321"/>
      <c r="I2" s="1321"/>
    </row>
    <row r="3" spans="1:10" ht="28.5" customHeight="1" x14ac:dyDescent="0.3"/>
    <row r="4" spans="1:10" ht="15.6" x14ac:dyDescent="0.3">
      <c r="B4" s="56" t="s">
        <v>109</v>
      </c>
      <c r="C4" s="1979"/>
      <c r="D4" s="1979"/>
      <c r="G4" s="342" t="s">
        <v>567</v>
      </c>
    </row>
    <row r="5" spans="1:10" ht="3" customHeight="1" x14ac:dyDescent="0.3">
      <c r="G5" s="2393">
        <f ca="1">TODAY()</f>
        <v>46050</v>
      </c>
    </row>
    <row r="6" spans="1:10" ht="15.6" x14ac:dyDescent="0.3">
      <c r="B6" s="56" t="s">
        <v>568</v>
      </c>
      <c r="C6" s="1979"/>
      <c r="D6" s="2394"/>
      <c r="E6" s="2394"/>
      <c r="G6" s="2393"/>
    </row>
    <row r="7" spans="1:10" ht="46.5" customHeight="1" thickBot="1" x14ac:dyDescent="0.35"/>
    <row r="8" spans="1:10" ht="15" customHeight="1" thickBot="1" x14ac:dyDescent="0.35">
      <c r="B8" s="2395" t="s">
        <v>569</v>
      </c>
      <c r="C8" s="2395"/>
      <c r="D8" s="344" t="s">
        <v>570</v>
      </c>
      <c r="E8" s="345" t="s">
        <v>571</v>
      </c>
      <c r="F8" s="2396" t="s">
        <v>1082</v>
      </c>
      <c r="G8" s="2397"/>
      <c r="H8" s="346" t="s">
        <v>572</v>
      </c>
      <c r="I8" s="36"/>
    </row>
    <row r="9" spans="1:10" x14ac:dyDescent="0.3">
      <c r="B9" s="2405"/>
      <c r="C9" s="2406"/>
      <c r="D9" s="347"/>
      <c r="E9" s="348"/>
      <c r="F9" s="2399"/>
      <c r="G9" s="2400"/>
      <c r="H9" s="349" t="str">
        <f>IF(D9="","",IF(AND(D9&lt;&gt;"",OR(E9="",E9="-",E9="Current")),G5-D9,E9-D9))</f>
        <v/>
      </c>
      <c r="I9" s="350">
        <f>D9</f>
        <v>0</v>
      </c>
      <c r="J9" s="36"/>
    </row>
    <row r="10" spans="1:10" x14ac:dyDescent="0.3">
      <c r="B10" s="2392"/>
      <c r="C10" s="1237"/>
      <c r="D10" s="347"/>
      <c r="E10" s="351"/>
      <c r="F10" s="2401"/>
      <c r="G10" s="2402"/>
      <c r="H10" s="349" t="str">
        <f>IF(D10="","",IF(AND(D10&lt;&gt;"",OR(E10="",E10="-",E10="Current")),G5-D10,E10-D10))</f>
        <v/>
      </c>
      <c r="I10" s="350">
        <f>IF(D10&lt;&gt;0,D10,D9)</f>
        <v>0</v>
      </c>
      <c r="J10" s="36"/>
    </row>
    <row r="11" spans="1:10" x14ac:dyDescent="0.3">
      <c r="B11" s="2392"/>
      <c r="C11" s="1237"/>
      <c r="D11" s="347"/>
      <c r="E11" s="351"/>
      <c r="F11" s="2401"/>
      <c r="G11" s="2402"/>
      <c r="H11" s="349" t="str">
        <f>IF(D11="","",IF(AND(D11&lt;&gt;"",OR(E11="",E11="-",E11="Current")),G5-D11,E11-D11))</f>
        <v/>
      </c>
      <c r="I11" s="350">
        <f>IF(D11&lt;&gt;0,D11,D9)</f>
        <v>0</v>
      </c>
      <c r="J11" s="36"/>
    </row>
    <row r="12" spans="1:10" x14ac:dyDescent="0.3">
      <c r="B12" s="2392"/>
      <c r="C12" s="1237"/>
      <c r="D12" s="347"/>
      <c r="E12" s="351"/>
      <c r="F12" s="2401"/>
      <c r="G12" s="2402"/>
      <c r="H12" s="349" t="str">
        <f>IF(D12="","",IF(AND(D12&lt;&gt;"",OR(E12="",E12="-",E12="Current")),G5-D12,E12-D12))</f>
        <v/>
      </c>
      <c r="I12" s="350">
        <f>IF(D12&lt;&gt;0,D12,D9)</f>
        <v>0</v>
      </c>
      <c r="J12" s="36"/>
    </row>
    <row r="13" spans="1:10" x14ac:dyDescent="0.3">
      <c r="B13" s="2392"/>
      <c r="C13" s="1237"/>
      <c r="D13" s="347"/>
      <c r="E13" s="351"/>
      <c r="F13" s="2401"/>
      <c r="G13" s="2402"/>
      <c r="H13" s="349" t="str">
        <f>IF(D13="","",IF(AND(D13&lt;&gt;"",OR(E13="",E13="-",E13="Current")),G5-D13,E13-D13))</f>
        <v/>
      </c>
      <c r="I13" s="350">
        <f>IF(D13&lt;&gt;0,D13,D9)</f>
        <v>0</v>
      </c>
      <c r="J13" s="36"/>
    </row>
    <row r="14" spans="1:10" x14ac:dyDescent="0.3">
      <c r="B14" s="2392"/>
      <c r="C14" s="1237"/>
      <c r="D14" s="347"/>
      <c r="E14" s="351"/>
      <c r="F14" s="2401"/>
      <c r="G14" s="2402"/>
      <c r="H14" s="349" t="str">
        <f>IF(D14="","",IF(AND(D14&lt;&gt;"",OR(E14="",E14="-",E14="Current")),G5-D14,E14-D14))</f>
        <v/>
      </c>
      <c r="I14" s="350">
        <f>IF(D14&lt;&gt;0,D14,D9)</f>
        <v>0</v>
      </c>
      <c r="J14" s="36"/>
    </row>
    <row r="15" spans="1:10" x14ac:dyDescent="0.3">
      <c r="B15" s="2392"/>
      <c r="C15" s="1237"/>
      <c r="D15" s="347"/>
      <c r="E15" s="351"/>
      <c r="F15" s="2401"/>
      <c r="G15" s="2402"/>
      <c r="H15" s="349" t="str">
        <f>IF(D15="","",IF(AND(D15&lt;&gt;"",OR(E15="",E15="-",E15="Current")),G5-D15,E15-D15))</f>
        <v/>
      </c>
      <c r="I15" s="350">
        <f>IF(D15&lt;&gt;0,D15,D9)</f>
        <v>0</v>
      </c>
      <c r="J15" s="36"/>
    </row>
    <row r="16" spans="1:10" x14ac:dyDescent="0.3">
      <c r="B16" s="2392"/>
      <c r="C16" s="1237"/>
      <c r="D16" s="347"/>
      <c r="E16" s="351"/>
      <c r="F16" s="2401"/>
      <c r="G16" s="2402"/>
      <c r="H16" s="349" t="str">
        <f>IF(D16="","",IF(AND(D16&lt;&gt;"",OR(E16="",E16="-",E16="Current")),G5-D16,E16-D16))</f>
        <v/>
      </c>
      <c r="I16" s="350">
        <f>IF(D16&lt;&gt;0,D16,D9)</f>
        <v>0</v>
      </c>
      <c r="J16" s="36"/>
    </row>
    <row r="17" spans="2:10" x14ac:dyDescent="0.3">
      <c r="B17" s="2392"/>
      <c r="C17" s="1237"/>
      <c r="D17" s="347"/>
      <c r="E17" s="351"/>
      <c r="F17" s="2401"/>
      <c r="G17" s="2402"/>
      <c r="H17" s="349" t="str">
        <f>IF(D17="","",IF(AND(D17&lt;&gt;"",OR(E17="",E17="-",E17="Current")),G5-D17,E17-D17))</f>
        <v/>
      </c>
      <c r="I17" s="350">
        <f>IF(D17&lt;&gt;0,D17,D9)</f>
        <v>0</v>
      </c>
      <c r="J17" s="36"/>
    </row>
    <row r="18" spans="2:10" x14ac:dyDescent="0.3">
      <c r="B18" s="2392"/>
      <c r="C18" s="1237"/>
      <c r="D18" s="347"/>
      <c r="E18" s="351"/>
      <c r="F18" s="2401"/>
      <c r="G18" s="2402"/>
      <c r="H18" s="349" t="str">
        <f>IF(D18="","",IF(AND(D18&lt;&gt;"",OR(E18="",E18="-",E18="Current")),G5-D18,E18-D18))</f>
        <v/>
      </c>
      <c r="I18" s="350">
        <f>IF(D18&lt;&gt;0,D18,D9)</f>
        <v>0</v>
      </c>
      <c r="J18" s="36"/>
    </row>
    <row r="19" spans="2:10" x14ac:dyDescent="0.3">
      <c r="B19" s="2392"/>
      <c r="C19" s="1237"/>
      <c r="D19" s="347"/>
      <c r="E19" s="351"/>
      <c r="F19" s="2401"/>
      <c r="G19" s="2402"/>
      <c r="H19" s="349" t="str">
        <f>IF(D19="","",IF(AND(D19&lt;&gt;"",OR(E19="",E19="-",E19="Current")),G5-D19,E19-D19))</f>
        <v/>
      </c>
      <c r="I19" s="350">
        <f>IF(D19&lt;&gt;0,D19,D9)</f>
        <v>0</v>
      </c>
      <c r="J19" s="36"/>
    </row>
    <row r="20" spans="2:10" x14ac:dyDescent="0.3">
      <c r="B20" s="2392"/>
      <c r="C20" s="1237"/>
      <c r="D20" s="347"/>
      <c r="E20" s="351"/>
      <c r="F20" s="2401"/>
      <c r="G20" s="2402"/>
      <c r="H20" s="349" t="str">
        <f>IF(D20="","",IF(AND(D20&lt;&gt;"",OR(E20="",E20="-",E20="Current")),G5-D20,E20-D20))</f>
        <v/>
      </c>
      <c r="I20" s="350">
        <f>IF(D20&lt;&gt;0,D20,D9)</f>
        <v>0</v>
      </c>
      <c r="J20" s="36"/>
    </row>
    <row r="21" spans="2:10" x14ac:dyDescent="0.3">
      <c r="B21" s="2392"/>
      <c r="C21" s="1237"/>
      <c r="D21" s="347"/>
      <c r="E21" s="351"/>
      <c r="F21" s="2401"/>
      <c r="G21" s="2402"/>
      <c r="H21" s="349" t="str">
        <f>IF(D21="","",IF(AND(D21&lt;&gt;"",OR(E21="",E21="-",E21="Current")),G5-D21,E21-D21))</f>
        <v/>
      </c>
      <c r="I21" s="350">
        <f>IF(D21&lt;&gt;0,D21,D9)</f>
        <v>0</v>
      </c>
      <c r="J21" s="36"/>
    </row>
    <row r="22" spans="2:10" x14ac:dyDescent="0.3">
      <c r="B22" s="2392"/>
      <c r="C22" s="1237"/>
      <c r="D22" s="347"/>
      <c r="E22" s="351"/>
      <c r="F22" s="2401"/>
      <c r="G22" s="2402"/>
      <c r="H22" s="349" t="str">
        <f>IF(D22="","",IF(AND(D22&lt;&gt;"",OR(E22="",E22="-",E22="Current")),G5-D22,E22-D22))</f>
        <v/>
      </c>
      <c r="I22" s="350">
        <f>IF(D22&lt;&gt;0,D22,D9)</f>
        <v>0</v>
      </c>
      <c r="J22" s="36"/>
    </row>
    <row r="23" spans="2:10" x14ac:dyDescent="0.3">
      <c r="B23" s="2392"/>
      <c r="C23" s="1237"/>
      <c r="D23" s="347"/>
      <c r="E23" s="351"/>
      <c r="F23" s="2401"/>
      <c r="G23" s="2402"/>
      <c r="H23" s="349" t="str">
        <f>IF(D23="","",IF(AND(D23&lt;&gt;"",OR(E23="",E23="-",E23="Current")),G5-D23,E23-D23))</f>
        <v/>
      </c>
      <c r="I23" s="350">
        <f>IF(D23&lt;&gt;0,D23,D9)</f>
        <v>0</v>
      </c>
      <c r="J23" s="36"/>
    </row>
    <row r="24" spans="2:10" ht="15" thickBot="1" x14ac:dyDescent="0.35">
      <c r="B24" s="2398"/>
      <c r="C24" s="1263"/>
      <c r="D24" s="352"/>
      <c r="E24" s="353"/>
      <c r="F24" s="2403"/>
      <c r="G24" s="2404"/>
      <c r="H24" s="349" t="str">
        <f>IF(D24="","",IF(AND(D24&lt;&gt;"",OR(E24="",E24="-",E24="Current")),G5-D24,E24-D24))</f>
        <v/>
      </c>
      <c r="I24" s="350">
        <f>IF(D24&lt;&gt;0,D24,D9)</f>
        <v>0</v>
      </c>
      <c r="J24" s="36"/>
    </row>
    <row r="25" spans="2:10" x14ac:dyDescent="0.3">
      <c r="B25" s="43"/>
    </row>
    <row r="59" spans="7:9" ht="16.5" customHeight="1" x14ac:dyDescent="0.3"/>
    <row r="63" spans="7:9" x14ac:dyDescent="0.3">
      <c r="G63" s="1419" t="str">
        <f>Version</f>
        <v>Version 2026.1</v>
      </c>
      <c r="H63" s="1419"/>
      <c r="I63" s="1419"/>
    </row>
  </sheetData>
  <sheetProtection algorithmName="SHA-512" hashValue="5dkfjp/Rad02BprGtME5o3WBgcihtonuonc0rTCQHfK0ZYxKIrZswKDfawgCUMFeM/QGiaNxh1pJPtNNGRzHNA==" saltValue="yq347lEvjCG0M5r0+0wFVQ==" spinCount="100000" sheet="1" objects="1" scenarios="1" selectLockedCells="1"/>
  <mergeCells count="24">
    <mergeCell ref="B24:C24"/>
    <mergeCell ref="G63:I63"/>
    <mergeCell ref="B21:C21"/>
    <mergeCell ref="B22:C22"/>
    <mergeCell ref="B23:C23"/>
    <mergeCell ref="F9:G24"/>
    <mergeCell ref="B18:C18"/>
    <mergeCell ref="B19:C19"/>
    <mergeCell ref="B20:C20"/>
    <mergeCell ref="B15:C15"/>
    <mergeCell ref="B16:C16"/>
    <mergeCell ref="B17:C17"/>
    <mergeCell ref="B12:C12"/>
    <mergeCell ref="B13:C13"/>
    <mergeCell ref="B14:C14"/>
    <mergeCell ref="B9:C9"/>
    <mergeCell ref="B10:C10"/>
    <mergeCell ref="B11:C11"/>
    <mergeCell ref="A2:I2"/>
    <mergeCell ref="C4:D4"/>
    <mergeCell ref="G5:G6"/>
    <mergeCell ref="C6:E6"/>
    <mergeCell ref="B8:C8"/>
    <mergeCell ref="F8:G8"/>
  </mergeCells>
  <printOptions horizontalCentered="1"/>
  <pageMargins left="0.25" right="0.25" top="0.25" bottom="0.25" header="0.3" footer="0.3"/>
  <pageSetup paperSize="5" scale="97"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9" r:id="rId4" name="Button 5">
              <controlPr defaultSize="0" print="0" autoFill="0" autoPict="0" macro="[0]!IW_Copy">
                <anchor moveWithCells="1" sizeWithCells="1">
                  <from>
                    <xdr:col>0</xdr:col>
                    <xdr:colOff>487680</xdr:colOff>
                    <xdr:row>0</xdr:row>
                    <xdr:rowOff>7620</xdr:rowOff>
                  </from>
                  <to>
                    <xdr:col>1</xdr:col>
                    <xdr:colOff>426720</xdr:colOff>
                    <xdr:row>1</xdr:row>
                    <xdr:rowOff>106680</xdr:rowOff>
                  </to>
                </anchor>
              </controlPr>
            </control>
          </mc:Choice>
        </mc:AlternateContent>
        <mc:AlternateContent xmlns:mc="http://schemas.openxmlformats.org/markup-compatibility/2006">
          <mc:Choice Requires="x14">
            <control shapeId="518150" r:id="rId5" name="Button 6">
              <controlPr defaultSize="0" print="0" autoFill="0" autoPict="0" macro="[0]!IW_Home">
                <anchor moveWithCells="1" sizeWithCells="1">
                  <from>
                    <xdr:col>0</xdr:col>
                    <xdr:colOff>0</xdr:colOff>
                    <xdr:row>0</xdr:row>
                    <xdr:rowOff>7620</xdr:rowOff>
                  </from>
                  <to>
                    <xdr:col>0</xdr:col>
                    <xdr:colOff>434340</xdr:colOff>
                    <xdr:row>1</xdr:row>
                    <xdr:rowOff>106680</xdr:rowOff>
                  </to>
                </anchor>
              </controlPr>
            </control>
          </mc:Choice>
        </mc:AlternateContent>
        <mc:AlternateContent xmlns:mc="http://schemas.openxmlformats.org/markup-compatibility/2006">
          <mc:Choice Requires="x14">
            <control shapeId="518151" r:id="rId6" name="Button 7">
              <controlPr defaultSize="0" print="0" autoFill="0" autoPict="0" macro="[0]!EmpHistory_Clear">
                <anchor moveWithCells="1" sizeWithCells="1">
                  <from>
                    <xdr:col>1</xdr:col>
                    <xdr:colOff>480060</xdr:colOff>
                    <xdr:row>0</xdr:row>
                    <xdr:rowOff>7620</xdr:rowOff>
                  </from>
                  <to>
                    <xdr:col>1</xdr:col>
                    <xdr:colOff>914400</xdr:colOff>
                    <xdr:row>1</xdr:row>
                    <xdr:rowOff>106680</xdr:rowOff>
                  </to>
                </anchor>
              </controlPr>
            </control>
          </mc:Choice>
        </mc:AlternateContent>
        <mc:AlternateContent xmlns:mc="http://schemas.openxmlformats.org/markup-compatibility/2006">
          <mc:Choice Requires="x14">
            <control shapeId="518152" r:id="rId7" name="Button 8">
              <controlPr defaultSize="0" print="0" autoFill="0" autoPict="0" macro="[0]!EmpHistory_Hide">
                <anchor moveWithCells="1" sizeWithCells="1">
                  <from>
                    <xdr:col>0</xdr:col>
                    <xdr:colOff>7620</xdr:colOff>
                    <xdr:row>1</xdr:row>
                    <xdr:rowOff>160020</xdr:rowOff>
                  </from>
                  <to>
                    <xdr:col>0</xdr:col>
                    <xdr:colOff>441960</xdr:colOff>
                    <xdr:row>2</xdr:row>
                    <xdr:rowOff>15240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92D050"/>
  </sheetPr>
  <dimension ref="A1:L58"/>
  <sheetViews>
    <sheetView showGridLines="0" showRowColHeaders="0" showRuler="0" view="pageLayout" zoomScale="90" zoomScaleNormal="100" zoomScalePageLayoutView="90" workbookViewId="0">
      <selection activeCell="D6" sqref="D6:H6"/>
    </sheetView>
  </sheetViews>
  <sheetFormatPr defaultColWidth="9.109375" defaultRowHeight="14.4" x14ac:dyDescent="0.3"/>
  <cols>
    <col min="1" max="1" width="6.44140625" style="15" customWidth="1"/>
    <col min="2" max="2" width="6" customWidth="1"/>
    <col min="3" max="3" width="4.109375" customWidth="1"/>
    <col min="6" max="6" width="9" customWidth="1"/>
    <col min="7" max="7" width="9.5546875" customWidth="1"/>
    <col min="8" max="8" width="12.44140625" customWidth="1"/>
    <col min="9" max="9" width="18.5546875" customWidth="1"/>
    <col min="10" max="10" width="9.6640625" customWidth="1"/>
    <col min="11" max="11" width="9.5546875" customWidth="1"/>
    <col min="12" max="12" width="1.33203125" customWidth="1"/>
    <col min="13" max="13" width="25" customWidth="1"/>
  </cols>
  <sheetData>
    <row r="1" spans="1:12" ht="15" customHeight="1" x14ac:dyDescent="0.3">
      <c r="D1" s="2157" t="str">
        <f>IF(OR('I&amp;D Worksheet'!J8="FHA",'I&amp;D Worksheet'!J8="VA",'I&amp;D Worksheet'!J8="USDA"),CONCATENATE("This worksheet is not applicable for the selected Loan Type (",'I&amp;D Worksheet'!J8,")"),"")</f>
        <v/>
      </c>
      <c r="E1" s="2157"/>
      <c r="F1" s="2157"/>
      <c r="G1" s="2157"/>
      <c r="H1" s="2157"/>
      <c r="I1" s="2157"/>
    </row>
    <row r="2" spans="1:12" ht="36" customHeight="1" x14ac:dyDescent="0.5">
      <c r="A2" s="1321" t="s">
        <v>588</v>
      </c>
      <c r="B2" s="1321"/>
      <c r="C2" s="1321"/>
      <c r="D2" s="1321"/>
      <c r="E2" s="1321"/>
      <c r="F2" s="1321"/>
      <c r="G2" s="1321"/>
      <c r="H2" s="1321"/>
      <c r="I2" s="1321"/>
      <c r="J2" s="1321"/>
      <c r="K2" s="1321"/>
      <c r="L2" s="1321"/>
    </row>
    <row r="3" spans="1:12" ht="21" x14ac:dyDescent="0.4">
      <c r="A3" s="1322" t="s">
        <v>801</v>
      </c>
      <c r="B3" s="1322"/>
      <c r="C3" s="1322"/>
      <c r="D3" s="1322"/>
      <c r="E3" s="1322"/>
      <c r="F3" s="1322"/>
      <c r="G3" s="1322"/>
      <c r="H3" s="1322"/>
      <c r="I3" s="1322"/>
      <c r="J3" s="1322"/>
      <c r="K3" s="1322"/>
      <c r="L3" s="1322"/>
    </row>
    <row r="4" spans="1:12" ht="15.6" x14ac:dyDescent="0.3">
      <c r="A4"/>
      <c r="K4" s="2"/>
      <c r="L4" s="2"/>
    </row>
    <row r="5" spans="1:12" ht="15.6" x14ac:dyDescent="0.3">
      <c r="A5"/>
      <c r="D5" s="2"/>
      <c r="E5" s="2"/>
      <c r="F5" s="2"/>
      <c r="G5" s="2"/>
      <c r="H5" s="2"/>
      <c r="I5" s="2"/>
      <c r="J5" s="2"/>
      <c r="K5" s="2"/>
      <c r="L5" s="2"/>
    </row>
    <row r="6" spans="1:12" ht="15.6" x14ac:dyDescent="0.3">
      <c r="A6" s="1407" t="s">
        <v>35</v>
      </c>
      <c r="B6" s="1407"/>
      <c r="C6" s="1407"/>
      <c r="D6" s="1359"/>
      <c r="E6" s="1359"/>
      <c r="F6" s="1359"/>
      <c r="G6" s="1359"/>
      <c r="H6" s="1359"/>
      <c r="I6" s="2"/>
      <c r="J6" s="46" t="str">
        <f>IF(D6="","",D6)</f>
        <v/>
      </c>
      <c r="K6" s="2"/>
      <c r="L6" s="2"/>
    </row>
    <row r="7" spans="1:12" ht="24.6" customHeight="1" x14ac:dyDescent="0.3">
      <c r="A7" s="2411" t="s">
        <v>930</v>
      </c>
      <c r="B7" s="2411"/>
      <c r="C7" s="2411"/>
      <c r="D7" s="2411"/>
      <c r="E7" s="2411"/>
      <c r="F7" s="2411"/>
      <c r="G7" s="2411"/>
      <c r="H7" s="2411"/>
      <c r="J7" s="2409" t="s">
        <v>795</v>
      </c>
      <c r="K7" s="1614"/>
    </row>
    <row r="8" spans="1:12" ht="9.6" customHeight="1" x14ac:dyDescent="0.3">
      <c r="A8" s="2411"/>
      <c r="B8" s="2411"/>
      <c r="C8" s="2411"/>
      <c r="D8" s="2411"/>
      <c r="E8" s="2411"/>
      <c r="F8" s="2411"/>
      <c r="G8" s="2411"/>
      <c r="H8" s="2411"/>
      <c r="J8" s="1988">
        <v>2025</v>
      </c>
      <c r="K8" s="1988"/>
    </row>
    <row r="9" spans="1:12" ht="14.4" customHeight="1" x14ac:dyDescent="0.3">
      <c r="A9" s="2410" t="s">
        <v>1271</v>
      </c>
      <c r="B9" s="2410"/>
      <c r="C9" s="2410"/>
      <c r="D9" s="2410"/>
      <c r="E9" s="2410"/>
      <c r="F9" s="2410"/>
      <c r="G9" s="2410"/>
      <c r="H9" s="2410"/>
      <c r="J9" s="1988"/>
      <c r="K9" s="1988"/>
    </row>
    <row r="10" spans="1:12" ht="30.6" customHeight="1" x14ac:dyDescent="0.3">
      <c r="A10" s="386" t="s">
        <v>1</v>
      </c>
      <c r="B10" s="2147" t="s">
        <v>1281</v>
      </c>
      <c r="C10" s="2421"/>
      <c r="D10" s="2421"/>
      <c r="E10" s="2421"/>
      <c r="F10" s="2421"/>
      <c r="G10" s="2421"/>
      <c r="H10" s="2421"/>
      <c r="I10" s="2421"/>
      <c r="J10" s="2127"/>
      <c r="K10" s="2127"/>
      <c r="L10" s="3"/>
    </row>
    <row r="11" spans="1:12" ht="17.399999999999999" customHeight="1" x14ac:dyDescent="0.3">
      <c r="A11" s="4" t="s">
        <v>2</v>
      </c>
      <c r="B11" s="1701" t="s">
        <v>1309</v>
      </c>
      <c r="C11" s="1701"/>
      <c r="D11" s="1701"/>
      <c r="E11" s="1701"/>
      <c r="F11" s="1701"/>
      <c r="G11" s="1701"/>
      <c r="H11" s="1701"/>
      <c r="I11" s="1701"/>
      <c r="J11" s="1917"/>
      <c r="K11" s="1917"/>
      <c r="L11" s="3"/>
    </row>
    <row r="12" spans="1:12" s="421" customFormat="1" ht="21" customHeight="1" thickBot="1" x14ac:dyDescent="0.35">
      <c r="A12" s="386"/>
      <c r="B12" s="2276" t="s">
        <v>1310</v>
      </c>
      <c r="C12" s="2276"/>
      <c r="D12" s="2276"/>
      <c r="E12" s="2276"/>
      <c r="F12" s="2276"/>
      <c r="G12" s="2276"/>
      <c r="H12" s="2276"/>
      <c r="I12" s="2276"/>
      <c r="J12" s="548"/>
      <c r="K12" s="548"/>
      <c r="L12" s="502"/>
    </row>
    <row r="13" spans="1:12" s="421" customFormat="1" ht="15.6" x14ac:dyDescent="0.3">
      <c r="A13" s="386"/>
      <c r="B13" s="537"/>
      <c r="C13" s="537"/>
      <c r="D13" s="537"/>
      <c r="E13" s="2412" t="s">
        <v>1327</v>
      </c>
      <c r="F13" s="2413"/>
      <c r="G13" s="2413"/>
      <c r="H13" s="2413"/>
      <c r="I13" s="2416" t="str">
        <f>IF(AND(J10&lt;&gt;"",J11&lt;&gt;"",J11&gt;=J10),"Pass",IF(AND(J10&lt;&gt;"",J11&lt;&gt;"",J11&lt;J10),"Fail",IF(OR(J10="",J11=""),"","")))</f>
        <v/>
      </c>
      <c r="J13" s="549"/>
      <c r="K13" s="549"/>
      <c r="L13" s="502"/>
    </row>
    <row r="14" spans="1:12" s="421" customFormat="1" ht="11.4" customHeight="1" x14ac:dyDescent="0.3">
      <c r="A14" s="386"/>
      <c r="B14" s="537"/>
      <c r="C14" s="537"/>
      <c r="D14" s="537"/>
      <c r="E14" s="2414"/>
      <c r="F14" s="2415"/>
      <c r="G14" s="2415"/>
      <c r="H14" s="2415"/>
      <c r="I14" s="2417"/>
      <c r="J14" s="549"/>
      <c r="K14" s="549"/>
      <c r="L14" s="502"/>
    </row>
    <row r="15" spans="1:12" s="421" customFormat="1" ht="35.4" customHeight="1" thickBot="1" x14ac:dyDescent="0.35">
      <c r="A15" s="386"/>
      <c r="B15" s="537"/>
      <c r="C15" s="537"/>
      <c r="D15" s="537"/>
      <c r="E15" s="2418" t="str">
        <f>IF(OR(J10="",J11=""),"Complete line 1 above from Income wkst, and line 2 from the K-1.
Enter $0 if the K-1 line item is blank",
IF(I13="FAIL","Liquidity Test Required, proceed to Test 2 below",
IF(I13="Pass","You may stop here as they meet the distribution requirement, Liquidity Test not required","")))</f>
        <v>Complete line 1 above from Income wkst, and line 2 from the K-1.
Enter $0 if the K-1 line item is blank</v>
      </c>
      <c r="F15" s="2419"/>
      <c r="G15" s="2419"/>
      <c r="H15" s="2419"/>
      <c r="I15" s="2420"/>
      <c r="J15" s="549"/>
      <c r="K15" s="549"/>
      <c r="L15" s="502"/>
    </row>
    <row r="16" spans="1:12" ht="36.6" customHeight="1" x14ac:dyDescent="0.3">
      <c r="A16" s="2411" t="s">
        <v>931</v>
      </c>
      <c r="B16" s="2411"/>
      <c r="C16" s="2411"/>
      <c r="D16" s="2411"/>
      <c r="E16" s="2411"/>
      <c r="F16" s="2411"/>
      <c r="G16" s="2411"/>
      <c r="H16" s="2411"/>
      <c r="J16" s="551"/>
      <c r="K16" s="551"/>
    </row>
    <row r="17" spans="1:12" ht="25.2" customHeight="1" x14ac:dyDescent="0.3">
      <c r="A17" s="2410" t="s">
        <v>920</v>
      </c>
      <c r="B17" s="2410"/>
      <c r="C17" s="2410"/>
      <c r="D17" s="2410"/>
      <c r="E17" s="2410"/>
      <c r="F17" s="2410"/>
      <c r="G17" s="2410"/>
      <c r="H17" s="2410"/>
      <c r="I17" s="2"/>
      <c r="L17" s="2"/>
    </row>
    <row r="18" spans="1:12" ht="15.6" x14ac:dyDescent="0.3">
      <c r="A18" s="4" t="s">
        <v>1</v>
      </c>
      <c r="B18" s="1701" t="s">
        <v>589</v>
      </c>
      <c r="C18" s="1701"/>
      <c r="D18" s="1701"/>
      <c r="E18" s="1701"/>
      <c r="F18" s="1701"/>
      <c r="G18" s="1701"/>
      <c r="H18" s="1701"/>
      <c r="I18" s="1701"/>
      <c r="J18" s="1985"/>
      <c r="K18" s="1985"/>
      <c r="L18" s="3"/>
    </row>
    <row r="19" spans="1:12" ht="15.6" x14ac:dyDescent="0.3">
      <c r="A19" s="4" t="s">
        <v>2</v>
      </c>
      <c r="B19" s="1701" t="s">
        <v>590</v>
      </c>
      <c r="C19" s="1701"/>
      <c r="D19" s="1701"/>
      <c r="E19" s="1701"/>
      <c r="F19" s="1701"/>
      <c r="G19" s="1701"/>
      <c r="H19" s="1701"/>
      <c r="I19" s="3"/>
      <c r="J19" s="1957"/>
      <c r="K19" s="1957"/>
      <c r="L19" s="3"/>
    </row>
    <row r="20" spans="1:12" ht="15.6" x14ac:dyDescent="0.3">
      <c r="A20" s="4" t="s">
        <v>3</v>
      </c>
      <c r="B20" s="1701" t="s">
        <v>591</v>
      </c>
      <c r="C20" s="1701"/>
      <c r="D20" s="1701"/>
      <c r="E20" s="1701"/>
      <c r="F20" s="1701"/>
      <c r="G20" s="1701"/>
      <c r="H20" s="1701"/>
      <c r="I20" s="3"/>
      <c r="J20" s="1957"/>
      <c r="K20" s="1957"/>
      <c r="L20" s="3"/>
    </row>
    <row r="21" spans="1:12" ht="15.6" x14ac:dyDescent="0.3">
      <c r="A21" s="4" t="s">
        <v>4</v>
      </c>
      <c r="B21" s="2" t="s">
        <v>239</v>
      </c>
      <c r="C21" s="2194"/>
      <c r="D21" s="2194"/>
      <c r="E21" s="2194"/>
      <c r="F21" s="2194"/>
      <c r="G21" s="2194"/>
      <c r="H21" s="2081"/>
      <c r="I21" s="2081"/>
      <c r="J21" s="2192"/>
      <c r="K21" s="2192"/>
      <c r="L21" s="3"/>
    </row>
    <row r="22" spans="1:12" ht="10.8" customHeight="1" x14ac:dyDescent="0.3">
      <c r="A22" s="4"/>
      <c r="B22" s="1416" t="s">
        <v>1030</v>
      </c>
      <c r="C22" s="1416"/>
      <c r="D22" s="1416"/>
      <c r="E22" s="1416"/>
      <c r="F22" s="1416"/>
      <c r="G22" s="1416"/>
      <c r="H22" s="1416"/>
      <c r="I22" s="1416"/>
      <c r="J22" s="2193"/>
      <c r="K22" s="2193"/>
      <c r="L22" s="3"/>
    </row>
    <row r="23" spans="1:12" ht="16.5" customHeight="1" thickBot="1" x14ac:dyDescent="0.35">
      <c r="A23" s="4" t="s">
        <v>5</v>
      </c>
      <c r="B23" s="1427" t="s">
        <v>592</v>
      </c>
      <c r="C23" s="1427"/>
      <c r="D23" s="1427"/>
      <c r="E23" s="1427"/>
      <c r="F23" s="1427"/>
      <c r="G23" s="1427"/>
      <c r="H23" s="1427"/>
      <c r="I23" s="3"/>
      <c r="J23" s="2128">
        <f>J18+J19+J20+J21</f>
        <v>0</v>
      </c>
      <c r="K23" s="2128"/>
      <c r="L23" s="3"/>
    </row>
    <row r="24" spans="1:12" ht="16.8" customHeight="1" thickTop="1" x14ac:dyDescent="0.3">
      <c r="A24" s="4"/>
      <c r="B24" s="3"/>
      <c r="C24" s="3"/>
      <c r="D24" s="3"/>
      <c r="E24" s="3"/>
      <c r="F24" s="3"/>
      <c r="G24" s="3"/>
      <c r="H24" s="3"/>
      <c r="I24" s="3"/>
      <c r="J24" s="2432">
        <f>J18+J19</f>
        <v>0</v>
      </c>
      <c r="K24" s="2432"/>
      <c r="L24" s="3"/>
    </row>
    <row r="25" spans="1:12" ht="12.6" customHeight="1" x14ac:dyDescent="0.3">
      <c r="A25" s="4"/>
      <c r="B25" s="56"/>
      <c r="C25" s="56"/>
      <c r="D25" s="56"/>
      <c r="E25" s="56"/>
      <c r="F25" s="56"/>
      <c r="G25" s="56"/>
      <c r="H25" s="56"/>
      <c r="I25" s="56"/>
      <c r="J25" s="1733" t="str">
        <f>IF(AND(J23&gt;0,K54=TRUE),"Error","")</f>
        <v/>
      </c>
      <c r="K25" s="1733"/>
      <c r="L25" s="56"/>
    </row>
    <row r="26" spans="1:12" ht="15.6" x14ac:dyDescent="0.3">
      <c r="A26" s="2431" t="s">
        <v>593</v>
      </c>
      <c r="B26" s="2431"/>
      <c r="C26" s="2431"/>
      <c r="D26" s="2431"/>
      <c r="E26" s="2431"/>
      <c r="F26" s="2431"/>
      <c r="G26" s="2431"/>
      <c r="H26" s="2"/>
      <c r="I26" s="3"/>
      <c r="J26" s="11"/>
      <c r="K26" s="11"/>
      <c r="L26" s="3"/>
    </row>
    <row r="27" spans="1:12" ht="15.6" x14ac:dyDescent="0.3">
      <c r="A27" s="4" t="s">
        <v>6</v>
      </c>
      <c r="B27" s="1876" t="s">
        <v>820</v>
      </c>
      <c r="C27" s="1876"/>
      <c r="D27" s="1876"/>
      <c r="E27" s="1876"/>
      <c r="F27" s="1876"/>
      <c r="G27" s="1876"/>
      <c r="H27" s="1876"/>
      <c r="I27" s="1876"/>
      <c r="J27" s="1985"/>
      <c r="K27" s="1985"/>
      <c r="L27" s="212" t="s">
        <v>255</v>
      </c>
    </row>
    <row r="28" spans="1:12" ht="15.6" x14ac:dyDescent="0.3">
      <c r="A28" s="4" t="s">
        <v>7</v>
      </c>
      <c r="B28" s="1701" t="s">
        <v>595</v>
      </c>
      <c r="C28" s="1701"/>
      <c r="D28" s="1701"/>
      <c r="E28" s="1701"/>
      <c r="F28" s="1701"/>
      <c r="G28" s="1701"/>
      <c r="H28" s="1701"/>
      <c r="I28" s="1508" t="s">
        <v>933</v>
      </c>
      <c r="J28" s="2096"/>
      <c r="K28" s="2096"/>
      <c r="L28" s="1228"/>
    </row>
    <row r="29" spans="1:12" ht="8.4" customHeight="1" x14ac:dyDescent="0.3">
      <c r="A29" s="4"/>
      <c r="B29" s="2119" t="s">
        <v>932</v>
      </c>
      <c r="C29" s="2119"/>
      <c r="D29" s="2119"/>
      <c r="E29" s="2119"/>
      <c r="F29" s="2119"/>
      <c r="G29" s="2119"/>
      <c r="H29" s="2119"/>
      <c r="I29" s="2246"/>
      <c r="J29" s="2097"/>
      <c r="K29" s="2097"/>
      <c r="L29" s="1228"/>
    </row>
    <row r="30" spans="1:12" ht="15.75" customHeight="1" x14ac:dyDescent="0.3">
      <c r="A30" s="4" t="s">
        <v>8</v>
      </c>
      <c r="B30" s="1701" t="s">
        <v>596</v>
      </c>
      <c r="C30" s="1701"/>
      <c r="D30" s="1701"/>
      <c r="E30" s="1701"/>
      <c r="F30" s="1701"/>
      <c r="G30" s="1701"/>
      <c r="H30" s="1701"/>
      <c r="I30" s="3"/>
      <c r="J30" s="1985"/>
      <c r="K30" s="1985"/>
      <c r="L30" s="3"/>
    </row>
    <row r="31" spans="1:12" ht="15.75" customHeight="1" x14ac:dyDescent="0.3">
      <c r="A31" s="4" t="s">
        <v>9</v>
      </c>
      <c r="B31" s="2" t="s">
        <v>239</v>
      </c>
      <c r="C31" s="2194"/>
      <c r="D31" s="2194"/>
      <c r="E31" s="2194"/>
      <c r="F31" s="2194"/>
      <c r="G31" s="2194"/>
      <c r="H31" s="2"/>
      <c r="I31" s="3"/>
      <c r="J31" s="1985"/>
      <c r="K31" s="1985"/>
      <c r="L31" s="3"/>
    </row>
    <row r="32" spans="1:12" ht="16.5" customHeight="1" thickBot="1" x14ac:dyDescent="0.35">
      <c r="A32" s="4" t="s">
        <v>10</v>
      </c>
      <c r="B32" s="1427" t="s">
        <v>594</v>
      </c>
      <c r="C32" s="1427"/>
      <c r="D32" s="1427"/>
      <c r="E32" s="1427"/>
      <c r="F32" s="1427"/>
      <c r="G32" s="1427"/>
      <c r="H32" s="1427"/>
      <c r="I32" s="3"/>
      <c r="J32" s="1959">
        <f>IF(K53=TRUE,J27+J30+J31,J27+J28+J30+J31)</f>
        <v>0</v>
      </c>
      <c r="K32" s="1959"/>
      <c r="L32" s="3"/>
    </row>
    <row r="33" spans="1:12" ht="16.2" customHeight="1" thickTop="1" x14ac:dyDescent="0.3">
      <c r="A33" s="4"/>
      <c r="B33" s="3"/>
      <c r="C33" s="3"/>
      <c r="D33" s="3"/>
      <c r="E33" s="3"/>
      <c r="F33" s="3"/>
      <c r="G33" s="3"/>
      <c r="H33" s="3"/>
      <c r="I33" s="3"/>
      <c r="J33" s="2407"/>
      <c r="K33" s="2407"/>
      <c r="L33" s="3"/>
    </row>
    <row r="34" spans="1:12" ht="13.2" customHeight="1" x14ac:dyDescent="0.3">
      <c r="A34" s="4"/>
      <c r="B34" s="3"/>
      <c r="C34" s="3"/>
      <c r="D34" s="3"/>
      <c r="E34" s="3"/>
      <c r="F34" s="3"/>
      <c r="G34" s="3"/>
      <c r="H34" s="3"/>
      <c r="I34" s="3"/>
      <c r="J34" s="1733" t="str">
        <f>IF(AND(J32&gt;0,L54=TRUE),"Error","")</f>
        <v/>
      </c>
      <c r="K34" s="1733"/>
      <c r="L34" s="3"/>
    </row>
    <row r="35" spans="1:12" ht="9" customHeight="1" x14ac:dyDescent="0.3">
      <c r="A35" s="4"/>
      <c r="B35" s="3"/>
      <c r="C35" s="3"/>
      <c r="D35" s="3"/>
      <c r="E35" s="3"/>
      <c r="F35" s="3"/>
      <c r="G35" s="3"/>
      <c r="H35" s="3"/>
      <c r="I35" s="3"/>
      <c r="J35" s="385"/>
      <c r="K35" s="385"/>
      <c r="L35" s="3"/>
    </row>
    <row r="36" spans="1:12" ht="31.8" customHeight="1" thickBot="1" x14ac:dyDescent="0.35">
      <c r="A36" s="23" t="s">
        <v>11</v>
      </c>
      <c r="B36" s="1809" t="s">
        <v>927</v>
      </c>
      <c r="C36" s="1809"/>
      <c r="D36" s="1809"/>
      <c r="E36" s="1809"/>
      <c r="F36" s="1809"/>
      <c r="G36" s="1809"/>
      <c r="H36" s="1809"/>
      <c r="I36" s="30"/>
      <c r="J36" s="2429" t="str">
        <f>IF(AND(J23&gt;0,J32&gt;0,L54=FALSE,K54=FALSE),J23/J32,IF(AND(J23&gt;0,L54=TRUE,K54=FALSE,J32=0),"N/A - No Liabilities",IF(AND(J32&gt;0,K54=TRUE,L54=FALSE,J23=0),"N/A - No Assets", IF(AND(K54=TRUE,L54=TRUE,J23=0,J32=0),"N/A - No Assets or Liabilities",""))))</f>
        <v/>
      </c>
      <c r="K36" s="2429"/>
      <c r="L36" s="30"/>
    </row>
    <row r="37" spans="1:12" ht="26.4" customHeight="1" thickTop="1" x14ac:dyDescent="0.3">
      <c r="A37" s="23"/>
      <c r="B37" s="30"/>
      <c r="C37" s="30"/>
      <c r="D37" s="359"/>
      <c r="E37" s="359"/>
      <c r="F37" s="359"/>
      <c r="G37" s="359"/>
      <c r="H37" s="359"/>
      <c r="I37" s="359"/>
      <c r="J37" s="2430" t="str">
        <f>IF(J36="","",IF(AND(J36&gt;=1,J36&lt;&gt;"N/A - No Assets or Liabilities",J36&lt;&gt;"N/A - No Assets"),"Pass",IF(J36&lt;1,"Fail",IF(J36="N/A - No Assets or Liabilities","Cannot Determine",IF(J36="N/A - No Assets","Fail",IF(J36="No Liabilities","Pass",""))))))</f>
        <v/>
      </c>
      <c r="K37" s="2430"/>
      <c r="L37" s="360"/>
    </row>
    <row r="38" spans="1:12" ht="12.6" customHeight="1" x14ac:dyDescent="0.3">
      <c r="A38" s="23"/>
      <c r="B38" s="30"/>
      <c r="C38" s="30"/>
      <c r="D38" s="359"/>
      <c r="E38" s="359"/>
      <c r="F38" s="359"/>
      <c r="G38" s="359"/>
      <c r="H38" s="359"/>
      <c r="I38" s="359"/>
      <c r="J38" s="550"/>
      <c r="K38" s="550"/>
      <c r="L38" s="360"/>
    </row>
    <row r="39" spans="1:12" ht="30.6" customHeight="1" thickBot="1" x14ac:dyDescent="0.35">
      <c r="A39" s="23" t="s">
        <v>29</v>
      </c>
      <c r="B39" s="1809" t="s">
        <v>928</v>
      </c>
      <c r="C39" s="1809"/>
      <c r="D39" s="1809"/>
      <c r="E39" s="1809"/>
      <c r="F39" s="1809"/>
      <c r="G39" s="1809"/>
      <c r="H39" s="1809"/>
      <c r="I39" s="30"/>
      <c r="J39" s="2429" t="str">
        <f>IF(AND(J24&gt;0,J32&gt;0,L54=FALSE,K54=FALSE),J24/J32,IF(AND(J23&gt;0,L54=TRUE,K54=FALSE,J32=0),"N/A - No Liabilities",IF(AND(J32&gt;0,K54=TRUE,L54=FALSE,J23=0),"N/A - No Assets", IF(AND(K54=TRUE,L54=TRUE,J23=0,J32=0),"N/A - No Assets or Liabilities",""))))</f>
        <v/>
      </c>
      <c r="K39" s="2429"/>
      <c r="L39" s="30"/>
    </row>
    <row r="40" spans="1:12" ht="25.8" customHeight="1" thickTop="1" x14ac:dyDescent="0.3">
      <c r="A40" s="23"/>
      <c r="B40" s="30"/>
      <c r="C40" s="30"/>
      <c r="D40" s="359"/>
      <c r="E40" s="359"/>
      <c r="F40" s="359"/>
      <c r="G40" s="359"/>
      <c r="H40" s="359"/>
      <c r="I40" s="359"/>
      <c r="J40" s="2430" t="str">
        <f>IF(J39="","",IF(AND(J39&gt;=1,J39&lt;&gt;"N/A - No Assets or Liabilities", J39&lt;&gt;"N/A - No Assets"),"Pass",IF(J39&lt;1,"Fail",IF(J39="N/A - No Assets or Liabilities","Cannot Determine",IF(J39="N/A - No Assets","Fail",IF(J39="No Liabilities","Pass",""))))))</f>
        <v/>
      </c>
      <c r="K40" s="2430"/>
      <c r="L40" s="360"/>
    </row>
    <row r="41" spans="1:12" ht="15" customHeight="1" x14ac:dyDescent="0.3">
      <c r="A41" s="2408" t="str">
        <f>IF(OR(AND(J37="Pass",J40="Fail"), AND(J37="Fail",J40="Pass")),"    Line 13 Required", IF(AND(J37="Pass",J40="Pass"),"  Both Pass, Line 13 Not Required but can answer...", IF(AND(J37="Fail",J40="Fail",),"  Both Fail, Line 13 Not Required but can answer...","")))</f>
        <v/>
      </c>
      <c r="B41" s="2408"/>
      <c r="C41" s="2408"/>
      <c r="D41" s="2408"/>
      <c r="E41" s="2408"/>
      <c r="F41" s="2408"/>
      <c r="G41" s="2"/>
      <c r="H41" s="2"/>
      <c r="I41" s="2"/>
      <c r="J41" s="2"/>
      <c r="K41" s="6"/>
      <c r="L41" s="6"/>
    </row>
    <row r="42" spans="1:12" ht="30" customHeight="1" x14ac:dyDescent="0.3">
      <c r="A42" s="386" t="s">
        <v>39</v>
      </c>
      <c r="B42" s="2428" t="s">
        <v>802</v>
      </c>
      <c r="C42" s="2428"/>
      <c r="D42" s="2428"/>
      <c r="E42" s="2428"/>
      <c r="F42" s="2428"/>
      <c r="G42" s="2105"/>
      <c r="H42" s="2105"/>
      <c r="I42" s="3"/>
      <c r="J42" s="2"/>
      <c r="K42" s="5"/>
      <c r="L42" s="21"/>
    </row>
    <row r="43" spans="1:12" ht="18" customHeight="1" thickBot="1" x14ac:dyDescent="0.35">
      <c r="A43" s="4"/>
      <c r="B43" s="3"/>
      <c r="C43" s="3"/>
      <c r="D43" s="3"/>
      <c r="E43" s="3"/>
      <c r="F43" s="3"/>
      <c r="G43" s="3"/>
      <c r="H43" s="3"/>
      <c r="I43" s="3"/>
      <c r="J43" s="2"/>
      <c r="K43" s="5"/>
      <c r="L43" s="21"/>
    </row>
    <row r="44" spans="1:12" ht="10.8" customHeight="1" x14ac:dyDescent="0.3">
      <c r="A44" s="4"/>
      <c r="B44" s="3"/>
      <c r="C44" s="3"/>
      <c r="D44" s="3"/>
      <c r="E44" s="2412" t="str">
        <f>IF(OR(J25="error",J34="error"),"Correct Error",IF(OR(AND(J37="Pass",J40="Fail",J54=0),AND(J37="Fail",J40="Pass",J54=0)),"Answer Line 13",IF(AND(J37="Pass",J40="Pass",J54=0),"Both Pass",IF(AND(J37="Fail",J40="Fail",J54=0),"Both Fail",IF(J54=1,"Use the Quick Ratio",IF(J54=2,"Use the Current Ratio","Result"))))))</f>
        <v>Result</v>
      </c>
      <c r="F44" s="2413"/>
      <c r="G44" s="2413"/>
      <c r="H44" s="2413"/>
      <c r="I44" s="2422" t="str">
        <f>IF(AND(J37="Pass",J40="Pass"),"Pass",IF(AND(J37="Fail",J40="Fail"),"Fail*",IF(J54=1,J40,IF(J54=2,J37,""))))</f>
        <v/>
      </c>
      <c r="J44" s="2"/>
      <c r="K44" s="5"/>
      <c r="L44" s="21"/>
    </row>
    <row r="45" spans="1:12" ht="13.8" customHeight="1" x14ac:dyDescent="0.3">
      <c r="A45" s="4"/>
      <c r="B45" s="3"/>
      <c r="C45" s="3"/>
      <c r="D45" s="3"/>
      <c r="E45" s="2414"/>
      <c r="F45" s="2415"/>
      <c r="G45" s="2415"/>
      <c r="H45" s="2415"/>
      <c r="I45" s="2423"/>
      <c r="J45" s="2"/>
      <c r="K45" s="5"/>
      <c r="L45" s="21"/>
    </row>
    <row r="46" spans="1:12" ht="60.6" customHeight="1" thickBot="1" x14ac:dyDescent="0.35">
      <c r="A46" s="4"/>
      <c r="B46" s="3"/>
      <c r="C46" s="3"/>
      <c r="D46" s="3"/>
      <c r="E46" s="2424" t="str">
        <f>IF(AND(I13&lt;&gt;"pass",I44="FAIL*"),"*Business income can still be used IF it is documented that the income was actually distributed to the borrower.",IF(AND(I13&lt;&gt;"pass",J37="Cannot Determine"),"No Assets and No Liabilities indicated. If schedule L is blank, a balance sheet indicating business assets and liabilities is needed to  complete the liquidity test, or you must document that the income was actually distributed to the borrower",IF(I13="Pass","Test 1 for distributions indicated on the K-1 Passed, nothing additional required","")))</f>
        <v/>
      </c>
      <c r="F46" s="2425"/>
      <c r="G46" s="2425"/>
      <c r="H46" s="2425"/>
      <c r="I46" s="2426"/>
      <c r="J46" s="2"/>
      <c r="K46" s="5"/>
      <c r="L46" s="21"/>
    </row>
    <row r="47" spans="1:12" ht="4.8" customHeight="1" x14ac:dyDescent="0.3">
      <c r="A47" s="4"/>
      <c r="B47" s="3"/>
      <c r="C47" s="217"/>
      <c r="D47" s="361"/>
      <c r="E47" s="361"/>
      <c r="F47" s="361"/>
      <c r="G47" s="361"/>
      <c r="H47" s="3"/>
      <c r="I47" s="2427" t="s">
        <v>453</v>
      </c>
      <c r="J47" s="2427"/>
      <c r="K47" s="2427"/>
      <c r="L47" s="2427"/>
    </row>
    <row r="48" spans="1:12" ht="4.8" customHeight="1" x14ac:dyDescent="0.3">
      <c r="A48" s="4"/>
      <c r="B48" s="3"/>
      <c r="C48" s="217"/>
      <c r="D48" s="361"/>
      <c r="E48" s="361"/>
      <c r="F48" s="361"/>
      <c r="G48" s="361"/>
      <c r="H48" s="3"/>
      <c r="I48" s="2427"/>
      <c r="J48" s="2427"/>
      <c r="K48" s="2427"/>
      <c r="L48" s="2427"/>
    </row>
    <row r="49" spans="1:12" ht="15" customHeight="1" x14ac:dyDescent="0.3">
      <c r="A49" s="1475" t="s">
        <v>1074</v>
      </c>
      <c r="B49" s="1475"/>
      <c r="C49" s="1475"/>
      <c r="D49" s="1475"/>
      <c r="E49" s="1475"/>
      <c r="F49" s="361"/>
      <c r="G49" s="361"/>
      <c r="H49" s="19"/>
      <c r="I49" s="2427"/>
      <c r="J49" s="2427"/>
      <c r="K49" s="2427"/>
      <c r="L49" s="2427"/>
    </row>
    <row r="50" spans="1:12" x14ac:dyDescent="0.3">
      <c r="A50" s="1325"/>
      <c r="B50" s="1325"/>
      <c r="C50" s="1325"/>
      <c r="D50" s="1325"/>
      <c r="E50" s="1325"/>
      <c r="F50" s="1325"/>
      <c r="G50" s="1325"/>
      <c r="H50" s="1325"/>
      <c r="I50" s="1325"/>
      <c r="J50" s="1325"/>
      <c r="K50" s="1325"/>
      <c r="L50" s="1325"/>
    </row>
    <row r="51" spans="1:12" x14ac:dyDescent="0.3">
      <c r="A51" s="1325"/>
      <c r="B51" s="1325"/>
      <c r="C51" s="1325"/>
      <c r="D51" s="1325"/>
      <c r="E51" s="1325"/>
      <c r="F51" s="1325"/>
      <c r="G51" s="1325"/>
      <c r="H51" s="1325"/>
      <c r="I51" s="1325"/>
      <c r="J51" s="1325"/>
      <c r="K51" s="1325"/>
      <c r="L51" s="1325"/>
    </row>
    <row r="52" spans="1:12" ht="18.600000000000001" customHeight="1" x14ac:dyDescent="0.3">
      <c r="A52" s="1341" t="s">
        <v>934</v>
      </c>
      <c r="B52" s="1341"/>
      <c r="C52" s="1341"/>
      <c r="D52" s="1341"/>
      <c r="E52" s="1341"/>
      <c r="F52" s="1341"/>
      <c r="G52" s="1341"/>
      <c r="H52" s="1341"/>
      <c r="I52" s="1341"/>
      <c r="J52" s="1341"/>
      <c r="K52" s="28"/>
      <c r="L52" s="28"/>
    </row>
    <row r="53" spans="1:12" hidden="1" x14ac:dyDescent="0.3">
      <c r="K53" s="1046" t="b">
        <v>0</v>
      </c>
    </row>
    <row r="54" spans="1:12" hidden="1" x14ac:dyDescent="0.3">
      <c r="G54" s="24"/>
      <c r="H54" s="24"/>
      <c r="I54" s="24"/>
      <c r="J54" s="1045"/>
      <c r="K54" s="1046" t="b">
        <v>0</v>
      </c>
      <c r="L54" s="1046" t="b">
        <v>0</v>
      </c>
    </row>
    <row r="55" spans="1:12" ht="15.75" customHeight="1" x14ac:dyDescent="0.3">
      <c r="A55" s="2062" t="s">
        <v>1282</v>
      </c>
      <c r="B55" s="2062"/>
      <c r="C55" s="2062"/>
      <c r="D55" s="2062"/>
      <c r="E55" s="2062"/>
      <c r="F55" s="2062"/>
    </row>
    <row r="56" spans="1:12" ht="12" customHeight="1" x14ac:dyDescent="0.3">
      <c r="A56" s="1076"/>
      <c r="B56" s="1076"/>
      <c r="C56" s="1076"/>
      <c r="D56" s="1076"/>
      <c r="E56" s="1076"/>
      <c r="F56" s="1076"/>
    </row>
    <row r="57" spans="1:12" ht="12" customHeight="1" x14ac:dyDescent="0.3">
      <c r="A57" s="1076"/>
      <c r="B57" s="1076"/>
      <c r="C57" s="1076"/>
      <c r="D57" s="1076"/>
      <c r="E57" s="1076"/>
      <c r="F57" s="1076"/>
    </row>
    <row r="58" spans="1:12" ht="12" customHeight="1" x14ac:dyDescent="0.3">
      <c r="A58" s="1482" t="str">
        <f ca="1">REPLACE(CELL("filename",A58),1,FIND("]",CELL("filename",A58)),"")</f>
        <v>Business Liquidity</v>
      </c>
      <c r="B58" s="1482"/>
      <c r="C58" s="1482"/>
      <c r="D58" s="1482"/>
      <c r="J58" s="1419" t="str">
        <f>Version</f>
        <v>Version 2026.1</v>
      </c>
      <c r="K58" s="1419"/>
      <c r="L58" s="1419"/>
    </row>
  </sheetData>
  <sheetProtection algorithmName="SHA-512" hashValue="FscfvA3ciKUVEwfLpN3YJzmy6k+fVggrJAoCKCtzzP2xnWlAHBR9yJV+J5tAtEXEkpMKZsfu7KJCwSCn5L+O8A==" saltValue="cJl1AJE+FI3Hf/iYq84Zmg==" spinCount="100000" sheet="1" objects="1" scenarios="1" selectLockedCells="1"/>
  <mergeCells count="68">
    <mergeCell ref="B22:I22"/>
    <mergeCell ref="J37:K37"/>
    <mergeCell ref="J25:K25"/>
    <mergeCell ref="J24:K24"/>
    <mergeCell ref="J21:K22"/>
    <mergeCell ref="J34:K34"/>
    <mergeCell ref="H21:I21"/>
    <mergeCell ref="J40:K40"/>
    <mergeCell ref="B39:H39"/>
    <mergeCell ref="J39:K39"/>
    <mergeCell ref="A2:L2"/>
    <mergeCell ref="A3:L3"/>
    <mergeCell ref="A6:C6"/>
    <mergeCell ref="D6:H6"/>
    <mergeCell ref="A26:G26"/>
    <mergeCell ref="B19:H19"/>
    <mergeCell ref="J19:K19"/>
    <mergeCell ref="B18:I18"/>
    <mergeCell ref="J18:K18"/>
    <mergeCell ref="B20:H20"/>
    <mergeCell ref="J20:K20"/>
    <mergeCell ref="B23:H23"/>
    <mergeCell ref="A7:H8"/>
    <mergeCell ref="A52:J52"/>
    <mergeCell ref="A55:F55"/>
    <mergeCell ref="J23:K23"/>
    <mergeCell ref="I44:I45"/>
    <mergeCell ref="E44:H45"/>
    <mergeCell ref="E46:I46"/>
    <mergeCell ref="I47:L49"/>
    <mergeCell ref="J30:K30"/>
    <mergeCell ref="B32:H32"/>
    <mergeCell ref="J32:K32"/>
    <mergeCell ref="B42:F42"/>
    <mergeCell ref="G42:H42"/>
    <mergeCell ref="B36:H36"/>
    <mergeCell ref="A50:L51"/>
    <mergeCell ref="A49:E49"/>
    <mergeCell ref="J36:K36"/>
    <mergeCell ref="J7:K7"/>
    <mergeCell ref="A17:H17"/>
    <mergeCell ref="B12:I12"/>
    <mergeCell ref="A16:H16"/>
    <mergeCell ref="E13:H14"/>
    <mergeCell ref="I13:I14"/>
    <mergeCell ref="E15:I15"/>
    <mergeCell ref="A9:H9"/>
    <mergeCell ref="J10:K10"/>
    <mergeCell ref="J8:K9"/>
    <mergeCell ref="J11:K11"/>
    <mergeCell ref="B10:I10"/>
    <mergeCell ref="B11:I11"/>
    <mergeCell ref="D1:I1"/>
    <mergeCell ref="J58:L58"/>
    <mergeCell ref="C21:G21"/>
    <mergeCell ref="C31:G31"/>
    <mergeCell ref="J31:K31"/>
    <mergeCell ref="B29:H29"/>
    <mergeCell ref="B27:I27"/>
    <mergeCell ref="J27:K27"/>
    <mergeCell ref="B28:H28"/>
    <mergeCell ref="I28:I29"/>
    <mergeCell ref="J28:K29"/>
    <mergeCell ref="L28:L29"/>
    <mergeCell ref="B30:H30"/>
    <mergeCell ref="A58:D58"/>
    <mergeCell ref="J33:K33"/>
    <mergeCell ref="A41:F41"/>
  </mergeCells>
  <conditionalFormatting sqref="J40:K40">
    <cfRule type="expression" dxfId="42" priority="6">
      <formula>$J$40="Cannot Determine"</formula>
    </cfRule>
    <cfRule type="expression" dxfId="41" priority="19">
      <formula>$J$40="Fail"</formula>
    </cfRule>
    <cfRule type="expression" dxfId="40" priority="20">
      <formula>$J$40="Pass"</formula>
    </cfRule>
  </conditionalFormatting>
  <conditionalFormatting sqref="I44:I45">
    <cfRule type="expression" dxfId="39" priority="16">
      <formula>$I$44="pass"</formula>
    </cfRule>
  </conditionalFormatting>
  <conditionalFormatting sqref="E44:H45">
    <cfRule type="expression" dxfId="38" priority="15">
      <formula>OR($E$44="Correct Error",$E$44="Answer Line 13")</formula>
    </cfRule>
  </conditionalFormatting>
  <conditionalFormatting sqref="B42:D42">
    <cfRule type="expression" dxfId="37" priority="14">
      <formula>OR(AND(J37="Pass",J40="Fail"),AND(J37="Fail",J40="Pass"))</formula>
    </cfRule>
  </conditionalFormatting>
  <conditionalFormatting sqref="A41">
    <cfRule type="expression" dxfId="36" priority="13">
      <formula>OR(AND(I36="Pass",I39="Fail"),AND(I36="Fail",I39="Pass"))</formula>
    </cfRule>
  </conditionalFormatting>
  <conditionalFormatting sqref="I13:I14">
    <cfRule type="expression" dxfId="35" priority="12">
      <formula>$I$13="pass"</formula>
    </cfRule>
  </conditionalFormatting>
  <conditionalFormatting sqref="E13:H14">
    <cfRule type="expression" dxfId="34" priority="11">
      <formula>OR($E$44="Correct Error",$E$44="Answer Line 13")</formula>
    </cfRule>
  </conditionalFormatting>
  <conditionalFormatting sqref="E15:I15">
    <cfRule type="expression" dxfId="33" priority="9">
      <formula>$I$13="Pass"</formula>
    </cfRule>
    <cfRule type="expression" dxfId="32" priority="10">
      <formula>$I$13="Fail"</formula>
    </cfRule>
  </conditionalFormatting>
  <conditionalFormatting sqref="J28:K29">
    <cfRule type="expression" dxfId="31" priority="8">
      <formula>$K$53=TRUE</formula>
    </cfRule>
  </conditionalFormatting>
  <conditionalFormatting sqref="F42">
    <cfRule type="expression" dxfId="30" priority="1487">
      <formula>OR(AND(M37="Pass",M40="Fail"),AND(M37="Fail",M40="Pass"))</formula>
    </cfRule>
  </conditionalFormatting>
  <conditionalFormatting sqref="E42">
    <cfRule type="expression" dxfId="29" priority="1488">
      <formula>OR(AND(#REF!="Pass",#REF!="Fail"),AND(#REF!="Fail",#REF!="Pass"))</formula>
    </cfRule>
  </conditionalFormatting>
  <conditionalFormatting sqref="J37:K37">
    <cfRule type="expression" dxfId="28" priority="3">
      <formula>$J$37="Cannot Determine"</formula>
    </cfRule>
    <cfRule type="expression" dxfId="27" priority="4">
      <formula>$J$37="Fail"</formula>
    </cfRule>
    <cfRule type="expression" dxfId="26" priority="5">
      <formula>$J$37="Pass"</formula>
    </cfRule>
  </conditionalFormatting>
  <conditionalFormatting sqref="E46:I46">
    <cfRule type="expression" dxfId="25" priority="2">
      <formula>$E$46="Test 1 for distributions indicated on the K-1 Passed, nothing additional required"</formula>
    </cfRule>
  </conditionalFormatting>
  <conditionalFormatting sqref="J23:K23">
    <cfRule type="expression" dxfId="24" priority="1517">
      <formula>AND($K$54=TRUE,$J$23&gt;0)</formula>
    </cfRule>
  </conditionalFormatting>
  <conditionalFormatting sqref="J32:K32">
    <cfRule type="expression" dxfId="23" priority="1518">
      <formula>AND($L$54=TRUE,$J$32&gt;0)</formula>
    </cfRule>
  </conditionalFormatting>
  <conditionalFormatting sqref="D1:I1">
    <cfRule type="expression" dxfId="22" priority="1">
      <formula>$D$1&lt;&gt;""</formula>
    </cfRule>
  </conditionalFormatting>
  <printOptions horizontalCentered="1"/>
  <pageMargins left="0.25" right="0.25" top="0.25" bottom="0.25" header="0.3" footer="0.3"/>
  <pageSetup paperSize="5" scale="94" fitToWidth="0" fitToHeight="0" orientation="portrait" r:id="rId1"/>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3029" r:id="rId4" name="Check Box 5">
              <controlPr defaultSize="0" autoFill="0" autoLine="0" autoPict="0">
                <anchor moveWithCells="1">
                  <from>
                    <xdr:col>9</xdr:col>
                    <xdr:colOff>289560</xdr:colOff>
                    <xdr:row>32</xdr:row>
                    <xdr:rowOff>7620</xdr:rowOff>
                  </from>
                  <to>
                    <xdr:col>10</xdr:col>
                    <xdr:colOff>426720</xdr:colOff>
                    <xdr:row>33</xdr:row>
                    <xdr:rowOff>22860</xdr:rowOff>
                  </to>
                </anchor>
              </controlPr>
            </control>
          </mc:Choice>
        </mc:AlternateContent>
        <mc:AlternateContent xmlns:mc="http://schemas.openxmlformats.org/markup-compatibility/2006">
          <mc:Choice Requires="x14">
            <control shapeId="513031" r:id="rId5" name="Check Box 7">
              <controlPr defaultSize="0" autoFill="0" autoLine="0" autoPict="0">
                <anchor moveWithCells="1">
                  <from>
                    <xdr:col>9</xdr:col>
                    <xdr:colOff>350520</xdr:colOff>
                    <xdr:row>23</xdr:row>
                    <xdr:rowOff>15240</xdr:rowOff>
                  </from>
                  <to>
                    <xdr:col>10</xdr:col>
                    <xdr:colOff>480060</xdr:colOff>
                    <xdr:row>24</xdr:row>
                    <xdr:rowOff>15240</xdr:rowOff>
                  </to>
                </anchor>
              </controlPr>
            </control>
          </mc:Choice>
        </mc:AlternateContent>
        <mc:AlternateContent xmlns:mc="http://schemas.openxmlformats.org/markup-compatibility/2006">
          <mc:Choice Requires="x14">
            <control shapeId="513036" r:id="rId6" name="Option Button 12">
              <controlPr defaultSize="0" autoFill="0" autoLine="0" autoPict="0">
                <anchor moveWithCells="1">
                  <from>
                    <xdr:col>6</xdr:col>
                    <xdr:colOff>342900</xdr:colOff>
                    <xdr:row>41</xdr:row>
                    <xdr:rowOff>53340</xdr:rowOff>
                  </from>
                  <to>
                    <xdr:col>7</xdr:col>
                    <xdr:colOff>480060</xdr:colOff>
                    <xdr:row>41</xdr:row>
                    <xdr:rowOff>350520</xdr:rowOff>
                  </to>
                </anchor>
              </controlPr>
            </control>
          </mc:Choice>
        </mc:AlternateContent>
        <mc:AlternateContent xmlns:mc="http://schemas.openxmlformats.org/markup-compatibility/2006">
          <mc:Choice Requires="x14">
            <control shapeId="513038" r:id="rId7" name="Option Button 14">
              <controlPr defaultSize="0" autoFill="0" autoLine="0" autoPict="0">
                <anchor moveWithCells="1">
                  <from>
                    <xdr:col>8</xdr:col>
                    <xdr:colOff>312420</xdr:colOff>
                    <xdr:row>41</xdr:row>
                    <xdr:rowOff>45720</xdr:rowOff>
                  </from>
                  <to>
                    <xdr:col>8</xdr:col>
                    <xdr:colOff>1112520</xdr:colOff>
                    <xdr:row>41</xdr:row>
                    <xdr:rowOff>350520</xdr:rowOff>
                  </to>
                </anchor>
              </controlPr>
            </control>
          </mc:Choice>
        </mc:AlternateContent>
        <mc:AlternateContent xmlns:mc="http://schemas.openxmlformats.org/markup-compatibility/2006">
          <mc:Choice Requires="x14">
            <control shapeId="513043" r:id="rId8" name="Check Box 19">
              <controlPr defaultSize="0" autoFill="0" autoLine="0" autoPict="0">
                <anchor moveWithCells="1">
                  <from>
                    <xdr:col>8</xdr:col>
                    <xdr:colOff>60960</xdr:colOff>
                    <xdr:row>26</xdr:row>
                    <xdr:rowOff>144780</xdr:rowOff>
                  </from>
                  <to>
                    <xdr:col>8</xdr:col>
                    <xdr:colOff>274320</xdr:colOff>
                    <xdr:row>28</xdr:row>
                    <xdr:rowOff>7620</xdr:rowOff>
                  </to>
                </anchor>
              </controlPr>
            </control>
          </mc:Choice>
        </mc:AlternateContent>
        <mc:AlternateContent xmlns:mc="http://schemas.openxmlformats.org/markup-compatibility/2006">
          <mc:Choice Requires="x14">
            <control shapeId="513044" r:id="rId9" name="Button 20">
              <controlPr defaultSize="0" print="0" autoFill="0" autoPict="0" macro="[0]!IW_Copy">
                <anchor moveWithCells="1" sizeWithCells="1">
                  <from>
                    <xdr:col>1</xdr:col>
                    <xdr:colOff>22860</xdr:colOff>
                    <xdr:row>0</xdr:row>
                    <xdr:rowOff>7620</xdr:rowOff>
                  </from>
                  <to>
                    <xdr:col>2</xdr:col>
                    <xdr:colOff>30480</xdr:colOff>
                    <xdr:row>1</xdr:row>
                    <xdr:rowOff>99060</xdr:rowOff>
                  </to>
                </anchor>
              </controlPr>
            </control>
          </mc:Choice>
        </mc:AlternateContent>
        <mc:AlternateContent xmlns:mc="http://schemas.openxmlformats.org/markup-compatibility/2006">
          <mc:Choice Requires="x14">
            <control shapeId="513045" r:id="rId10" name="Button 21">
              <controlPr defaultSize="0" print="0" autoFill="0" autoPict="0" macro="[0]!IW_Home">
                <anchor moveWithCells="1" sizeWithCells="1">
                  <from>
                    <xdr:col>0</xdr:col>
                    <xdr:colOff>0</xdr:colOff>
                    <xdr:row>0</xdr:row>
                    <xdr:rowOff>7620</xdr:rowOff>
                  </from>
                  <to>
                    <xdr:col>0</xdr:col>
                    <xdr:colOff>434340</xdr:colOff>
                    <xdr:row>1</xdr:row>
                    <xdr:rowOff>99060</xdr:rowOff>
                  </to>
                </anchor>
              </controlPr>
            </control>
          </mc:Choice>
        </mc:AlternateContent>
        <mc:AlternateContent xmlns:mc="http://schemas.openxmlformats.org/markup-compatibility/2006">
          <mc:Choice Requires="x14">
            <control shapeId="513046" r:id="rId11" name="Button 22">
              <controlPr defaultSize="0" print="0" autoFill="0" autoPict="0" macro="[0]!BusLiq_Clear">
                <anchor moveWithCells="1" sizeWithCells="1">
                  <from>
                    <xdr:col>2</xdr:col>
                    <xdr:colOff>83820</xdr:colOff>
                    <xdr:row>0</xdr:row>
                    <xdr:rowOff>7620</xdr:rowOff>
                  </from>
                  <to>
                    <xdr:col>3</xdr:col>
                    <xdr:colOff>220980</xdr:colOff>
                    <xdr:row>1</xdr:row>
                    <xdr:rowOff>99060</xdr:rowOff>
                  </to>
                </anchor>
              </controlPr>
            </control>
          </mc:Choice>
        </mc:AlternateContent>
        <mc:AlternateContent xmlns:mc="http://schemas.openxmlformats.org/markup-compatibility/2006">
          <mc:Choice Requires="x14">
            <control shapeId="513047" r:id="rId12" name="Button 23">
              <controlPr defaultSize="0" print="0" autoFill="0" autoPict="0" macro="[0]!BusLiq_Hide">
                <anchor moveWithCells="1" sizeWithCells="1">
                  <from>
                    <xdr:col>0</xdr:col>
                    <xdr:colOff>7620</xdr:colOff>
                    <xdr:row>1</xdr:row>
                    <xdr:rowOff>152400</xdr:rowOff>
                  </from>
                  <to>
                    <xdr:col>0</xdr:col>
                    <xdr:colOff>441960</xdr:colOff>
                    <xdr:row>1</xdr:row>
                    <xdr:rowOff>449580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B0294-D1F0-4AF0-B836-F3026E57F9CC}">
  <sheetPr codeName="Sheet30">
    <tabColor rgb="FF92D050"/>
  </sheetPr>
  <dimension ref="A1:P69"/>
  <sheetViews>
    <sheetView showGridLines="0" showRowColHeaders="0" showRuler="0" view="pageLayout" zoomScale="90" zoomScaleNormal="100" zoomScalePageLayoutView="90" workbookViewId="0">
      <selection activeCell="D6" sqref="D6:I6"/>
    </sheetView>
  </sheetViews>
  <sheetFormatPr defaultColWidth="9.109375" defaultRowHeight="14.4" x14ac:dyDescent="0.3"/>
  <cols>
    <col min="1" max="1" width="5.88671875" style="15" customWidth="1"/>
    <col min="2" max="2" width="5" customWidth="1"/>
    <col min="3" max="3" width="4" customWidth="1"/>
    <col min="4" max="4" width="4.44140625" customWidth="1"/>
    <col min="5" max="5" width="3.109375" customWidth="1"/>
    <col min="6" max="6" width="1.77734375" customWidth="1"/>
    <col min="7" max="7" width="4.6640625" customWidth="1"/>
    <col min="8" max="8" width="9.77734375" customWidth="1"/>
    <col min="9" max="9" width="17.77734375" customWidth="1"/>
    <col min="10" max="10" width="1.33203125" customWidth="1"/>
    <col min="11" max="11" width="17.109375" customWidth="1"/>
    <col min="12" max="12" width="3.77734375" customWidth="1"/>
    <col min="13" max="13" width="9.77734375" customWidth="1"/>
    <col min="14" max="14" width="8" customWidth="1"/>
    <col min="15" max="15" width="2.77734375" customWidth="1"/>
    <col min="16" max="16" width="0.6640625" customWidth="1"/>
  </cols>
  <sheetData>
    <row r="1" spans="1:16" ht="15" customHeight="1" x14ac:dyDescent="0.3"/>
    <row r="2" spans="1:16" ht="36" customHeight="1" x14ac:dyDescent="0.5">
      <c r="A2" s="1321" t="s">
        <v>789</v>
      </c>
      <c r="B2" s="1321"/>
      <c r="C2" s="1321"/>
      <c r="D2" s="1321"/>
      <c r="E2" s="1321"/>
      <c r="F2" s="1321"/>
      <c r="G2" s="1321"/>
      <c r="H2" s="1321"/>
      <c r="I2" s="1321"/>
      <c r="J2" s="1321"/>
      <c r="K2" s="1321"/>
      <c r="L2" s="1321"/>
      <c r="M2" s="1321"/>
      <c r="N2" s="1321"/>
      <c r="O2" s="1321"/>
      <c r="P2" s="1321"/>
    </row>
    <row r="3" spans="1:16" ht="21" x14ac:dyDescent="0.4">
      <c r="A3" s="1322" t="s">
        <v>797</v>
      </c>
      <c r="B3" s="1322"/>
      <c r="C3" s="1322"/>
      <c r="D3" s="1322"/>
      <c r="E3" s="1322"/>
      <c r="F3" s="1322"/>
      <c r="G3" s="1322"/>
      <c r="H3" s="1322"/>
      <c r="I3" s="1322"/>
      <c r="J3" s="1322"/>
      <c r="K3" s="1322"/>
      <c r="L3" s="1322"/>
      <c r="M3" s="1322"/>
      <c r="N3" s="1322"/>
      <c r="O3" s="1322"/>
      <c r="P3" s="1322"/>
    </row>
    <row r="4" spans="1:16" ht="15.6" x14ac:dyDescent="0.3">
      <c r="A4"/>
      <c r="L4" s="2"/>
      <c r="M4" s="2"/>
      <c r="N4" s="2"/>
      <c r="O4" s="2"/>
    </row>
    <row r="5" spans="1:16" ht="15.6" x14ac:dyDescent="0.3">
      <c r="A5"/>
      <c r="D5" s="2"/>
      <c r="E5" s="2"/>
      <c r="F5" s="2"/>
      <c r="G5" s="2"/>
      <c r="H5" s="2"/>
      <c r="I5" s="2"/>
      <c r="J5" s="2"/>
      <c r="K5" s="2"/>
      <c r="L5" s="2"/>
      <c r="M5" s="2"/>
      <c r="N5" s="2"/>
      <c r="O5" s="2"/>
    </row>
    <row r="6" spans="1:16" ht="15.6" x14ac:dyDescent="0.3">
      <c r="A6" s="1407" t="s">
        <v>35</v>
      </c>
      <c r="B6" s="1407"/>
      <c r="C6" s="1407"/>
      <c r="D6" s="1359"/>
      <c r="E6" s="1359"/>
      <c r="F6" s="1359"/>
      <c r="G6" s="1359"/>
      <c r="H6" s="1359"/>
      <c r="I6" s="1359"/>
      <c r="J6" s="2"/>
      <c r="K6" s="46" t="str">
        <f>IF(D6="","",D6)</f>
        <v/>
      </c>
      <c r="L6" s="2"/>
      <c r="M6" s="2"/>
      <c r="N6" s="2"/>
      <c r="O6" s="2"/>
    </row>
    <row r="7" spans="1:16" ht="4.2" customHeight="1" x14ac:dyDescent="0.3">
      <c r="A7" s="4"/>
      <c r="B7" s="4"/>
      <c r="C7" s="4"/>
      <c r="D7" s="380"/>
      <c r="E7" s="380"/>
      <c r="F7" s="380"/>
      <c r="G7" s="380"/>
      <c r="H7" s="380"/>
      <c r="I7" s="380"/>
      <c r="J7" s="2"/>
      <c r="K7" s="46"/>
      <c r="L7" s="2"/>
      <c r="M7" s="2"/>
      <c r="N7" s="2"/>
      <c r="O7" s="2"/>
    </row>
    <row r="8" spans="1:16" ht="15.6" x14ac:dyDescent="0.3">
      <c r="A8" s="1407" t="s">
        <v>790</v>
      </c>
      <c r="B8" s="1407"/>
      <c r="C8" s="1407"/>
      <c r="D8" s="1359"/>
      <c r="E8" s="1359"/>
      <c r="F8" s="1359"/>
      <c r="G8" s="1359"/>
      <c r="H8" s="1359"/>
      <c r="I8" s="392"/>
      <c r="J8" s="2"/>
      <c r="K8" s="46"/>
      <c r="L8" s="2"/>
      <c r="M8" s="2"/>
      <c r="N8" s="2"/>
      <c r="O8" s="2"/>
    </row>
    <row r="9" spans="1:16" ht="34.799999999999997" customHeight="1" x14ac:dyDescent="0.3">
      <c r="A9" s="2437" t="s">
        <v>1242</v>
      </c>
      <c r="B9" s="2437"/>
      <c r="C9" s="2437"/>
      <c r="D9" s="2437"/>
      <c r="E9" s="2437"/>
      <c r="F9" s="2437"/>
      <c r="G9" s="2437"/>
      <c r="H9" s="2437"/>
      <c r="I9" s="2437"/>
      <c r="M9" s="2434" t="s">
        <v>795</v>
      </c>
      <c r="N9" s="2435"/>
    </row>
    <row r="10" spans="1:16" ht="24" customHeight="1" x14ac:dyDescent="0.3">
      <c r="A10" s="1364" t="s">
        <v>822</v>
      </c>
      <c r="B10" s="1364"/>
      <c r="C10" s="1364"/>
      <c r="D10" s="1364"/>
      <c r="E10" s="1364"/>
      <c r="F10" s="1364"/>
      <c r="G10" s="1364"/>
      <c r="H10" s="1364"/>
      <c r="I10" s="1364"/>
      <c r="J10" s="2"/>
      <c r="K10" s="381"/>
      <c r="L10" s="381"/>
      <c r="M10" s="2433">
        <v>2025</v>
      </c>
      <c r="N10" s="2433"/>
      <c r="O10" s="35"/>
    </row>
    <row r="11" spans="1:16" ht="15.6" x14ac:dyDescent="0.3">
      <c r="A11" s="4" t="s">
        <v>1</v>
      </c>
      <c r="B11" s="1701" t="s">
        <v>791</v>
      </c>
      <c r="C11" s="1701"/>
      <c r="D11" s="1701"/>
      <c r="E11" s="1701"/>
      <c r="F11" s="1831" t="str">
        <f>IF(D8="Schedule C","Line 28",IF(D8="1065 (Partnership)","Line 22  (Prior to 2023 - Line 21)",IF(D8="1120s (S Corporation)","Line 21  (Prior to 2023 - Line 20)",IF(D8="1120 (Full Corporation)","Line 27",""))))</f>
        <v/>
      </c>
      <c r="G11" s="1831"/>
      <c r="H11" s="1831"/>
      <c r="I11" s="1831"/>
      <c r="J11" s="2"/>
      <c r="K11" s="6"/>
      <c r="L11" s="6"/>
      <c r="M11" s="1957"/>
      <c r="N11" s="1957"/>
      <c r="O11" s="6"/>
      <c r="P11" s="3"/>
    </row>
    <row r="12" spans="1:16" ht="15.6" x14ac:dyDescent="0.3">
      <c r="A12" s="4" t="s">
        <v>2</v>
      </c>
      <c r="B12" s="1701" t="s">
        <v>792</v>
      </c>
      <c r="C12" s="1701"/>
      <c r="D12" s="1701"/>
      <c r="E12" s="1831" t="str">
        <f>IF(D8="Schedule C","Line 13",IF(D8="1065 (Partnership)","Line 16C",IF(D8="1120s (S Corporation)","Line 14",IF(D8="1120 (Full Corporation)","Line 20",""))))</f>
        <v/>
      </c>
      <c r="F12" s="1831"/>
      <c r="G12" s="1831"/>
      <c r="H12" s="1831"/>
      <c r="I12" s="1831"/>
      <c r="J12" s="3"/>
      <c r="K12" s="6"/>
      <c r="L12" s="11" t="s">
        <v>14</v>
      </c>
      <c r="M12" s="1957"/>
      <c r="N12" s="1957"/>
      <c r="O12" s="6" t="s">
        <v>13</v>
      </c>
      <c r="P12" s="3"/>
    </row>
    <row r="13" spans="1:16" ht="15.6" x14ac:dyDescent="0.3">
      <c r="A13" s="4" t="s">
        <v>3</v>
      </c>
      <c r="B13" s="1701" t="s">
        <v>793</v>
      </c>
      <c r="C13" s="1701"/>
      <c r="D13" s="1701"/>
      <c r="E13" s="1701"/>
      <c r="F13" s="1701"/>
      <c r="G13" s="1701"/>
      <c r="H13" s="1831" t="str">
        <f>IF(D8="Schedule C","If they W2 themselves and you can see the",IF(D8="1065 (Partnership)","Line 9 (Be sure to only use the borrowers pay;",IF(D8="1120s (S Corporation)","Line 7 (Be sure to only use the borrowers pay;",IF(D8="1120 (Full Corporation)","Line 12 (Be sure to only use the borrowers pay;",""))))</f>
        <v/>
      </c>
      <c r="I13" s="1831"/>
      <c r="J13" s="1831"/>
      <c r="K13" s="1831"/>
      <c r="L13" s="2376" t="s">
        <v>14</v>
      </c>
      <c r="M13" s="2192"/>
      <c r="N13" s="2192"/>
      <c r="O13" s="2464" t="s">
        <v>13</v>
      </c>
      <c r="P13" s="3"/>
    </row>
    <row r="14" spans="1:16" ht="10.199999999999999" customHeight="1" x14ac:dyDescent="0.3">
      <c r="A14" s="4"/>
      <c r="B14" s="2119" t="str">
        <f>IF(D8="Schedule C","    expense on Schedule C this can be subtracted, however this is uncommon",IF(D8="1065 (Partnership)","    if multiple owners, use borrower W2 amout for that year)",IF(D8="1120s (S Corporation)","    if multiple owners use borrower W2 amout for that year)",IF(D8="1120 (Full Corporation)","if multiple owners, use W2 amout, unless a Fiscal year in which case use the 1125-E)",""))))</f>
        <v/>
      </c>
      <c r="C14" s="2119"/>
      <c r="D14" s="2119"/>
      <c r="E14" s="2119"/>
      <c r="F14" s="2119"/>
      <c r="G14" s="2119"/>
      <c r="H14" s="2119"/>
      <c r="I14" s="2119"/>
      <c r="J14" s="2119"/>
      <c r="K14" s="2119"/>
      <c r="L14" s="2376"/>
      <c r="M14" s="2193"/>
      <c r="N14" s="2193"/>
      <c r="O14" s="2464"/>
      <c r="P14" s="3"/>
    </row>
    <row r="15" spans="1:16" ht="15.6" x14ac:dyDescent="0.3">
      <c r="A15" s="4" t="s">
        <v>4</v>
      </c>
      <c r="B15" s="1701" t="s">
        <v>794</v>
      </c>
      <c r="C15" s="1701"/>
      <c r="D15" s="1701"/>
      <c r="E15" s="1701"/>
      <c r="F15" s="1701"/>
      <c r="G15" s="1831" t="str">
        <f>IF(D8="Schedule C","Line 4",IF(D8="1065 (Partnership)","Line 2",IF(D8="1120s (S Corporation)","Line 2",IF(D8="1120 (Full Corporation)","Line 2",""))))</f>
        <v/>
      </c>
      <c r="H15" s="1831"/>
      <c r="I15" s="1831"/>
      <c r="J15" s="3"/>
      <c r="K15" s="11"/>
      <c r="L15" s="11"/>
      <c r="M15" s="1917"/>
      <c r="N15" s="1917"/>
      <c r="O15" s="11"/>
      <c r="P15" s="3"/>
    </row>
    <row r="16" spans="1:16" ht="16.5" customHeight="1" x14ac:dyDescent="0.3">
      <c r="A16" s="4" t="s">
        <v>5</v>
      </c>
      <c r="B16" s="1427" t="s">
        <v>799</v>
      </c>
      <c r="C16" s="1427"/>
      <c r="D16" s="1427"/>
      <c r="E16" s="1427"/>
      <c r="F16" s="1427"/>
      <c r="G16" s="1427"/>
      <c r="H16" s="1427"/>
      <c r="I16" s="1427"/>
      <c r="J16" s="3"/>
      <c r="K16" s="378"/>
      <c r="L16" s="378"/>
      <c r="M16" s="2459">
        <f>M11-M12-M13+M15</f>
        <v>0</v>
      </c>
      <c r="N16" s="2459"/>
      <c r="O16" s="378"/>
      <c r="P16" s="3"/>
    </row>
    <row r="17" spans="1:16" ht="15" customHeight="1" x14ac:dyDescent="0.3">
      <c r="A17" s="4" t="s">
        <v>6</v>
      </c>
      <c r="B17" s="1701" t="s">
        <v>798</v>
      </c>
      <c r="C17" s="1701"/>
      <c r="D17" s="1701"/>
      <c r="E17" s="1701"/>
      <c r="F17" s="1701"/>
      <c r="G17" s="1701"/>
      <c r="H17" s="384"/>
      <c r="I17" s="3"/>
      <c r="J17" s="3"/>
      <c r="K17" s="378"/>
      <c r="L17" s="378"/>
      <c r="M17" s="22"/>
      <c r="N17" s="22"/>
      <c r="O17" s="378"/>
      <c r="P17" s="3"/>
    </row>
    <row r="18" spans="1:16" ht="3" customHeight="1" x14ac:dyDescent="0.3">
      <c r="A18" s="4"/>
      <c r="B18" s="3"/>
      <c r="C18" s="3"/>
      <c r="D18" s="3"/>
      <c r="E18" s="3"/>
      <c r="F18" s="3"/>
      <c r="G18" s="3"/>
      <c r="H18" s="3"/>
      <c r="I18" s="3"/>
      <c r="J18" s="3"/>
      <c r="K18" s="3"/>
      <c r="L18" s="378"/>
      <c r="M18" s="22"/>
      <c r="N18" s="22"/>
      <c r="O18" s="378"/>
      <c r="P18" s="3"/>
    </row>
    <row r="19" spans="1:16" ht="10.199999999999999" customHeight="1" x14ac:dyDescent="0.3">
      <c r="A19" s="4"/>
      <c r="B19" s="442"/>
      <c r="C19" s="2463" t="s">
        <v>299</v>
      </c>
      <c r="D19" s="2467"/>
      <c r="E19" s="2467"/>
      <c r="F19" s="2467"/>
      <c r="G19" s="2467"/>
      <c r="H19" s="2467"/>
      <c r="I19" s="3"/>
      <c r="J19" s="3"/>
      <c r="K19" s="3"/>
      <c r="L19" s="378"/>
      <c r="M19" s="22"/>
      <c r="N19" s="22"/>
      <c r="O19" s="378"/>
      <c r="P19" s="3"/>
    </row>
    <row r="20" spans="1:16" ht="9.6" customHeight="1" x14ac:dyDescent="0.3">
      <c r="A20" s="4"/>
      <c r="B20" s="442"/>
      <c r="C20" s="2462" t="str">
        <f>CONCATENATE(M10," Start:")</f>
        <v>2025 Start:</v>
      </c>
      <c r="D20" s="2463"/>
      <c r="E20" s="2461" t="str">
        <f>CONCATENATE(M10," End:")</f>
        <v>2025 End:</v>
      </c>
      <c r="F20" s="2462"/>
      <c r="G20" s="2463"/>
      <c r="H20" s="382" t="s">
        <v>178</v>
      </c>
      <c r="I20" s="3"/>
      <c r="J20" s="3"/>
      <c r="K20" s="3"/>
      <c r="L20" s="378"/>
      <c r="M20" s="22"/>
      <c r="N20" s="22"/>
      <c r="O20" s="378"/>
      <c r="P20" s="3"/>
    </row>
    <row r="21" spans="1:16" ht="9.6" customHeight="1" x14ac:dyDescent="0.3">
      <c r="A21" s="4"/>
      <c r="B21" s="442"/>
      <c r="C21" s="2453"/>
      <c r="D21" s="2454"/>
      <c r="E21" s="2457"/>
      <c r="F21" s="2453"/>
      <c r="G21" s="2454"/>
      <c r="H21" s="383" t="str">
        <f>IF(OR(C21="",E21=""),"",ROUND(H22,2))</f>
        <v/>
      </c>
      <c r="I21" s="3"/>
      <c r="J21" s="3"/>
      <c r="K21" s="3"/>
      <c r="L21" s="378"/>
      <c r="M21" s="2460"/>
      <c r="N21" s="2460"/>
      <c r="O21" s="378"/>
      <c r="P21" s="3"/>
    </row>
    <row r="22" spans="1:16" ht="3.6" customHeight="1" x14ac:dyDescent="0.3">
      <c r="A22" s="4"/>
      <c r="B22" s="3"/>
      <c r="C22" s="2456"/>
      <c r="D22" s="2456"/>
      <c r="E22" s="2455">
        <f>YEARFRAC(C21,E21+1,4)</f>
        <v>2.7777777777777779E-3</v>
      </c>
      <c r="F22" s="2455"/>
      <c r="G22" s="2455"/>
      <c r="H22" s="208">
        <f>E22*12</f>
        <v>3.3333333333333333E-2</v>
      </c>
      <c r="I22" s="3"/>
      <c r="J22" s="3"/>
      <c r="K22" s="3"/>
      <c r="L22" s="378"/>
      <c r="M22" s="22"/>
      <c r="N22" s="22"/>
      <c r="O22" s="378"/>
      <c r="P22" s="3"/>
    </row>
    <row r="23" spans="1:16" ht="18" customHeight="1" thickBot="1" x14ac:dyDescent="0.35">
      <c r="A23" s="4" t="s">
        <v>7</v>
      </c>
      <c r="B23" s="1427" t="s">
        <v>800</v>
      </c>
      <c r="C23" s="1427"/>
      <c r="D23" s="1427"/>
      <c r="E23" s="1427"/>
      <c r="F23" s="1427"/>
      <c r="G23" s="1427"/>
      <c r="H23" s="1427"/>
      <c r="I23" s="1427"/>
      <c r="J23" s="3"/>
      <c r="K23" s="378"/>
      <c r="L23" s="378"/>
      <c r="M23" s="2122">
        <f>IF(H17&gt;0,ROUNDUP(M16/H17,2),0)</f>
        <v>0</v>
      </c>
      <c r="N23" s="2122"/>
      <c r="O23" s="378"/>
      <c r="P23" s="3"/>
    </row>
    <row r="24" spans="1:16" ht="9" customHeight="1" thickTop="1" x14ac:dyDescent="0.3">
      <c r="A24" s="4"/>
      <c r="B24" s="3"/>
      <c r="C24" s="3"/>
      <c r="D24" s="3"/>
      <c r="E24" s="3"/>
      <c r="F24" s="3"/>
      <c r="G24" s="3"/>
      <c r="H24" s="3"/>
      <c r="I24" s="3"/>
      <c r="J24" s="3"/>
      <c r="K24" s="377"/>
      <c r="L24" s="377"/>
      <c r="M24" s="2432" t="s">
        <v>821</v>
      </c>
      <c r="N24" s="2432"/>
      <c r="O24" s="377"/>
      <c r="P24" s="3"/>
    </row>
    <row r="25" spans="1:16" ht="16.8" customHeight="1" x14ac:dyDescent="0.35">
      <c r="A25" s="4"/>
      <c r="C25" s="2"/>
      <c r="D25" s="1413" t="s">
        <v>796</v>
      </c>
      <c r="E25" s="1413"/>
      <c r="F25" s="1413"/>
      <c r="G25" s="2458">
        <f>IF(AND(D8&lt;&gt;"",M23&lt;&gt;0),M23,0)</f>
        <v>0</v>
      </c>
      <c r="H25" s="2458"/>
      <c r="I25" s="1876" t="s">
        <v>828</v>
      </c>
      <c r="J25" s="1876"/>
      <c r="K25" s="1876"/>
      <c r="L25" s="1876"/>
      <c r="M25" s="1876"/>
      <c r="N25" s="2"/>
    </row>
    <row r="26" spans="1:16" ht="15.6" customHeight="1" x14ac:dyDescent="0.3">
      <c r="A26" s="4"/>
      <c r="C26" s="452"/>
      <c r="D26" s="2438" t="s">
        <v>830</v>
      </c>
      <c r="E26" s="2438"/>
      <c r="F26" s="2438"/>
      <c r="G26" s="2438"/>
      <c r="H26" s="2438"/>
      <c r="I26" s="2438"/>
      <c r="J26" s="2438"/>
      <c r="K26" s="2438"/>
      <c r="L26" s="2438"/>
      <c r="M26" s="2438"/>
      <c r="N26" s="452"/>
      <c r="O26" s="2"/>
    </row>
    <row r="27" spans="1:16" ht="18" customHeight="1" x14ac:dyDescent="0.3">
      <c r="A27" s="4"/>
      <c r="B27" s="452"/>
      <c r="C27" s="452"/>
      <c r="D27" s="2438"/>
      <c r="E27" s="2438"/>
      <c r="F27" s="2438"/>
      <c r="G27" s="2438"/>
      <c r="H27" s="2438"/>
      <c r="I27" s="2438"/>
      <c r="J27" s="2438"/>
      <c r="K27" s="2438"/>
      <c r="L27" s="2438"/>
      <c r="M27" s="2438"/>
      <c r="N27" s="452"/>
      <c r="O27" s="2"/>
    </row>
    <row r="28" spans="1:16" ht="15.75" customHeight="1" x14ac:dyDescent="0.35">
      <c r="A28" s="1364" t="s">
        <v>829</v>
      </c>
      <c r="B28" s="1364"/>
      <c r="C28" s="1364"/>
      <c r="D28" s="1364"/>
      <c r="E28" s="1364"/>
      <c r="F28" s="1364"/>
      <c r="G28" s="1364"/>
      <c r="H28" s="1364"/>
      <c r="I28" s="1364"/>
      <c r="J28" s="379"/>
      <c r="K28" s="379"/>
      <c r="L28" s="379"/>
      <c r="M28" s="379"/>
      <c r="N28" s="21"/>
      <c r="O28" s="72"/>
    </row>
    <row r="29" spans="1:16" ht="7.2" customHeight="1" x14ac:dyDescent="0.3">
      <c r="A29" s="4"/>
      <c r="B29" s="3"/>
      <c r="C29" s="3"/>
      <c r="D29" s="3"/>
      <c r="E29" s="3"/>
      <c r="F29" s="3"/>
      <c r="G29" s="3"/>
      <c r="H29" s="3"/>
      <c r="I29" s="3"/>
      <c r="J29" s="3"/>
      <c r="K29" s="2"/>
      <c r="L29" s="5"/>
      <c r="M29" s="21"/>
      <c r="N29" s="21"/>
      <c r="O29" s="72"/>
    </row>
    <row r="30" spans="1:16" ht="15.75" customHeight="1" x14ac:dyDescent="0.3">
      <c r="A30" s="4" t="s">
        <v>8</v>
      </c>
      <c r="B30" s="1701" t="s">
        <v>824</v>
      </c>
      <c r="C30" s="1701"/>
      <c r="D30" s="1701"/>
      <c r="E30" s="1701"/>
      <c r="F30" s="1701"/>
      <c r="G30" s="1701"/>
      <c r="H30" s="1701"/>
      <c r="I30" s="3"/>
      <c r="J30" s="3"/>
      <c r="K30" s="2"/>
      <c r="L30" s="5"/>
      <c r="M30" s="21"/>
      <c r="N30" s="21"/>
      <c r="O30" s="72"/>
    </row>
    <row r="31" spans="1:16" ht="7.2" customHeight="1" x14ac:dyDescent="0.3">
      <c r="A31" s="4"/>
      <c r="B31" s="448"/>
      <c r="C31" s="446"/>
      <c r="D31" s="444"/>
      <c r="E31" s="444"/>
      <c r="F31" s="444"/>
      <c r="G31" s="444"/>
      <c r="H31" s="444"/>
      <c r="I31" s="444"/>
      <c r="J31" s="444"/>
      <c r="K31" s="444"/>
      <c r="L31" s="444"/>
      <c r="M31" s="444"/>
      <c r="N31" s="444"/>
      <c r="O31" s="148"/>
    </row>
    <row r="32" spans="1:16" ht="32.4" customHeight="1" x14ac:dyDescent="0.3">
      <c r="A32" s="4"/>
      <c r="B32" s="55"/>
      <c r="C32" s="2465" t="s">
        <v>898</v>
      </c>
      <c r="D32" s="2465"/>
      <c r="E32" s="2465"/>
      <c r="F32" s="2465"/>
      <c r="G32" s="2465"/>
      <c r="H32" s="2465"/>
      <c r="I32" s="2465"/>
      <c r="J32" s="2465"/>
      <c r="K32" s="2465"/>
      <c r="L32" s="2465"/>
      <c r="M32" s="2465"/>
      <c r="N32" s="2465"/>
      <c r="O32" s="443"/>
    </row>
    <row r="33" spans="1:16" ht="4.8" customHeight="1" x14ac:dyDescent="0.3">
      <c r="A33" s="4"/>
      <c r="B33" s="55"/>
      <c r="C33" s="450"/>
      <c r="E33" s="450"/>
      <c r="F33" s="450"/>
      <c r="G33" s="450"/>
      <c r="H33" s="450"/>
      <c r="I33" s="450"/>
      <c r="J33" s="450"/>
      <c r="K33" s="450"/>
      <c r="L33" s="450"/>
      <c r="M33" s="450"/>
      <c r="N33" s="450"/>
      <c r="O33" s="443"/>
    </row>
    <row r="34" spans="1:16" ht="32.4" customHeight="1" x14ac:dyDescent="0.3">
      <c r="A34" s="4"/>
      <c r="B34" s="55"/>
      <c r="C34" s="2465" t="s">
        <v>831</v>
      </c>
      <c r="D34" s="2465"/>
      <c r="E34" s="2465"/>
      <c r="F34" s="2465"/>
      <c r="G34" s="2465"/>
      <c r="H34" s="2465"/>
      <c r="I34" s="2465"/>
      <c r="J34" s="2465"/>
      <c r="K34" s="2465"/>
      <c r="L34" s="2465"/>
      <c r="M34" s="2465"/>
      <c r="N34" s="2465"/>
      <c r="O34" s="443"/>
    </row>
    <row r="35" spans="1:16" ht="4.8" customHeight="1" x14ac:dyDescent="0.3">
      <c r="A35" s="4"/>
      <c r="B35" s="55"/>
      <c r="C35" s="444"/>
      <c r="E35" s="444"/>
      <c r="F35" s="444"/>
      <c r="G35" s="444"/>
      <c r="H35" s="444"/>
      <c r="I35" s="55"/>
      <c r="J35" s="55"/>
      <c r="K35" s="447"/>
      <c r="L35" s="445"/>
      <c r="M35" s="445"/>
      <c r="N35" s="445"/>
      <c r="O35" s="443"/>
    </row>
    <row r="36" spans="1:16" ht="15" customHeight="1" x14ac:dyDescent="0.3">
      <c r="A36" s="4"/>
      <c r="B36" s="55"/>
      <c r="C36" s="2465" t="s">
        <v>825</v>
      </c>
      <c r="D36" s="2465"/>
      <c r="E36" s="2465"/>
      <c r="F36" s="2465"/>
      <c r="G36" s="2465"/>
      <c r="H36" s="2465"/>
      <c r="I36" s="2465"/>
      <c r="J36" s="2465"/>
      <c r="K36" s="2465"/>
      <c r="L36" s="2465"/>
      <c r="M36" s="2465"/>
      <c r="N36" s="2465"/>
      <c r="O36" s="443"/>
    </row>
    <row r="37" spans="1:16" ht="20.399999999999999" customHeight="1" x14ac:dyDescent="0.3">
      <c r="A37" s="4"/>
      <c r="B37" s="55"/>
      <c r="C37" s="449"/>
      <c r="D37" s="444"/>
      <c r="E37" s="444"/>
      <c r="F37" s="444"/>
      <c r="G37" s="444"/>
      <c r="H37" s="444"/>
      <c r="I37" s="55"/>
      <c r="J37" s="55"/>
      <c r="K37" s="447"/>
      <c r="L37" s="445"/>
      <c r="M37" s="445"/>
      <c r="N37" s="445"/>
      <c r="O37" s="443"/>
    </row>
    <row r="38" spans="1:16" ht="2.4" customHeight="1" x14ac:dyDescent="0.3">
      <c r="A38" s="4"/>
      <c r="B38" s="55"/>
      <c r="C38" s="449"/>
      <c r="D38" s="444"/>
      <c r="E38" s="444"/>
      <c r="F38" s="444"/>
      <c r="G38" s="444"/>
      <c r="H38" s="444"/>
      <c r="I38" s="55"/>
      <c r="J38" s="55"/>
      <c r="K38" s="447"/>
      <c r="L38" s="445"/>
      <c r="M38" s="445"/>
      <c r="N38" s="445"/>
      <c r="O38" s="443"/>
    </row>
    <row r="39" spans="1:16" ht="16.2" customHeight="1" x14ac:dyDescent="0.3">
      <c r="A39" s="4" t="s">
        <v>9</v>
      </c>
      <c r="B39" s="2436" t="str">
        <f>IF(O64=1,"Enter total combined remaining balance of all documented business accounts (account balance should be after funds needed are pulled)",IF(O64=2,"Enter total combined remaining balance of all documented business accounts to be used in PCL (account balance should be after funds needed are pulled)",IF(OR(O64=3,O64=0),"Enter total combined balance of all documented business accounts to be used in PCL (account balance should include funds needed/being used for reserves)","")))</f>
        <v>Enter total combined balance of all documented business accounts to be used in PCL (account balance should include funds needed/being used for reserves)</v>
      </c>
      <c r="C39" s="2436"/>
      <c r="D39" s="2436"/>
      <c r="E39" s="2436"/>
      <c r="F39" s="2436"/>
      <c r="G39" s="2436"/>
      <c r="H39" s="2436"/>
      <c r="I39" s="2436"/>
      <c r="J39" s="2436"/>
      <c r="K39" s="2436"/>
      <c r="L39" s="452"/>
      <c r="M39" s="2440"/>
      <c r="N39" s="2440"/>
      <c r="O39" s="443"/>
    </row>
    <row r="40" spans="1:16" ht="14.4" customHeight="1" x14ac:dyDescent="0.3">
      <c r="A40" s="4"/>
      <c r="B40" s="2436"/>
      <c r="C40" s="2436"/>
      <c r="D40" s="2436"/>
      <c r="E40" s="2436"/>
      <c r="F40" s="2436"/>
      <c r="G40" s="2436"/>
      <c r="H40" s="2436"/>
      <c r="I40" s="2436"/>
      <c r="J40" s="2436"/>
      <c r="K40" s="2436"/>
      <c r="L40" s="452"/>
      <c r="M40" s="453"/>
      <c r="N40" s="453"/>
      <c r="O40" s="443"/>
    </row>
    <row r="41" spans="1:16" ht="16.8" customHeight="1" x14ac:dyDescent="0.3">
      <c r="A41" s="4"/>
      <c r="B41" s="55"/>
      <c r="C41" s="449"/>
      <c r="D41" s="449"/>
      <c r="E41" s="449"/>
      <c r="F41" s="449"/>
      <c r="G41" s="449"/>
      <c r="H41" s="449"/>
      <c r="I41" s="449"/>
      <c r="J41" s="449"/>
      <c r="K41" s="449"/>
      <c r="L41" s="2450">
        <f>M39-M23</f>
        <v>0</v>
      </c>
      <c r="M41" s="2450"/>
      <c r="N41" s="2466">
        <f>ROUNDDOWN(L41*H42,2)</f>
        <v>0</v>
      </c>
      <c r="O41" s="2466"/>
      <c r="P41" s="458"/>
    </row>
    <row r="42" spans="1:16" ht="20.399999999999999" customHeight="1" x14ac:dyDescent="0.3">
      <c r="A42" s="23" t="s">
        <v>10</v>
      </c>
      <c r="B42" s="2451" t="s">
        <v>826</v>
      </c>
      <c r="C42" s="2451"/>
      <c r="D42" s="2451"/>
      <c r="E42" s="2451"/>
      <c r="F42" s="2451"/>
      <c r="G42" s="2451"/>
      <c r="H42" s="467">
        <v>0</v>
      </c>
      <c r="I42" s="449"/>
      <c r="J42" s="55"/>
      <c r="K42" s="447"/>
      <c r="L42" s="445"/>
      <c r="M42" s="445"/>
      <c r="N42" s="445"/>
      <c r="O42" s="445"/>
      <c r="P42" s="445"/>
    </row>
    <row r="43" spans="1:16" ht="16.2" customHeight="1" x14ac:dyDescent="0.3">
      <c r="A43" s="4"/>
      <c r="B43" s="2452" t="s">
        <v>827</v>
      </c>
      <c r="C43" s="2452"/>
      <c r="D43" s="2452"/>
      <c r="E43" s="2452"/>
      <c r="F43" s="2452"/>
      <c r="G43" s="2452"/>
      <c r="H43" s="2452"/>
      <c r="I43" s="449"/>
      <c r="J43" s="449"/>
      <c r="K43" s="449"/>
      <c r="L43" s="449"/>
      <c r="M43" s="445"/>
      <c r="N43" s="445"/>
      <c r="O43" s="443"/>
    </row>
    <row r="44" spans="1:16" ht="4.8" customHeight="1" thickBot="1" x14ac:dyDescent="0.4">
      <c r="A44" s="4"/>
      <c r="B44" s="2"/>
      <c r="C44" s="2"/>
      <c r="D44" s="451"/>
      <c r="E44" s="451"/>
      <c r="F44" s="451"/>
      <c r="G44" s="451"/>
      <c r="H44" s="2"/>
      <c r="I44" s="2"/>
      <c r="J44" s="2"/>
      <c r="K44" s="2"/>
      <c r="L44" s="2"/>
      <c r="M44" s="2"/>
      <c r="N44" s="2"/>
    </row>
    <row r="45" spans="1:16" ht="18.600000000000001" customHeight="1" x14ac:dyDescent="0.35">
      <c r="A45" s="4"/>
      <c r="B45" s="2441" t="s">
        <v>1303</v>
      </c>
      <c r="C45" s="2442"/>
      <c r="D45" s="2442"/>
      <c r="E45" s="2442"/>
      <c r="F45" s="2442"/>
      <c r="G45" s="2442"/>
      <c r="H45" s="2442"/>
      <c r="I45" s="2442"/>
      <c r="J45" s="2442"/>
      <c r="K45" s="2442"/>
      <c r="L45" s="2442"/>
      <c r="M45" s="2442"/>
      <c r="N45" s="2443"/>
      <c r="O45" s="2"/>
    </row>
    <row r="46" spans="1:16" ht="3" customHeight="1" x14ac:dyDescent="0.3">
      <c r="A46" s="4"/>
      <c r="B46" s="454"/>
      <c r="C46" s="452"/>
      <c r="D46" s="452"/>
      <c r="E46" s="452"/>
      <c r="F46" s="452"/>
      <c r="G46" s="452"/>
      <c r="H46" s="452"/>
      <c r="I46" s="452"/>
      <c r="J46" s="452"/>
      <c r="K46" s="452"/>
      <c r="L46" s="452"/>
      <c r="M46" s="452"/>
      <c r="N46" s="455"/>
      <c r="O46" s="2"/>
    </row>
    <row r="47" spans="1:16" ht="28.8" customHeight="1" x14ac:dyDescent="0.3">
      <c r="A47" s="4"/>
      <c r="B47" s="2447" t="str">
        <f>IF(AND(H42&lt;&gt;0,M23&lt;&gt;0,O64=1,M39&gt;=M23),CONCATENATE("Funds already pulled from borrowers business account(s)"),IF(AND(H42&lt;&gt;0,M23&lt;&gt;0,O64=2,M39&gt;=M23),CONCATENATE("Funds already pulled from borrowers business account(s)"),IF(AND(H42&lt;&gt;0,M23&lt;&gt;0,O64=3,M39&gt;=M23),CONCATENATE("Funds have not been pulled from borrowers business account(s), or business funds are only being used for reserves"),IF(AND(M39&lt;&gt;"",M23&lt;&gt;"",M39&lt;M23),"Insufficient Funds in business account to support 'Total Monthly Expense Cash Flow'",""))))</f>
        <v/>
      </c>
      <c r="C47" s="2448"/>
      <c r="D47" s="2448"/>
      <c r="E47" s="2448"/>
      <c r="F47" s="2448"/>
      <c r="G47" s="2448"/>
      <c r="H47" s="2448"/>
      <c r="I47" s="2448"/>
      <c r="J47" s="2448"/>
      <c r="K47" s="2448"/>
      <c r="L47" s="2448"/>
      <c r="M47" s="2448"/>
      <c r="N47" s="2449"/>
      <c r="O47" s="2"/>
    </row>
    <row r="48" spans="1:16" ht="4.2" customHeight="1" x14ac:dyDescent="0.3">
      <c r="A48" s="4"/>
      <c r="B48" s="461"/>
      <c r="C48" s="462"/>
      <c r="D48" s="462"/>
      <c r="E48" s="462"/>
      <c r="F48" s="462"/>
      <c r="G48" s="462"/>
      <c r="H48" s="462"/>
      <c r="I48" s="462"/>
      <c r="J48" s="462"/>
      <c r="K48" s="462"/>
      <c r="L48" s="462"/>
      <c r="M48" s="462"/>
      <c r="N48" s="463"/>
      <c r="O48" s="2"/>
    </row>
    <row r="49" spans="1:16" ht="28.8" customHeight="1" x14ac:dyDescent="0.3">
      <c r="A49" s="4"/>
      <c r="B49" s="2444" t="str">
        <f>IF(AND(H42&lt;&gt;0,M23&lt;&gt;0,O64=1),CONCATENATE("1. At least $",M23," must be remaining in this business's account(s)."),IF(AND(H42&lt;&gt;0,M23&lt;&gt;0,O64=2),CONCATENATE("1. At least $",M23," must be remaining in this business's account(s) and cannot be used towards reserves."),IF(AND(H42&lt;&gt;0,M23&lt;&gt;0,O64=3),CONCATENATE("1. At least $",M23," must be maintained in this business's account(s) after accounting for any funds coming from the business and cannot be used towards reserves."),"")))</f>
        <v/>
      </c>
      <c r="C49" s="2445"/>
      <c r="D49" s="2445"/>
      <c r="E49" s="2445"/>
      <c r="F49" s="2445"/>
      <c r="G49" s="2445"/>
      <c r="H49" s="2445"/>
      <c r="I49" s="2445"/>
      <c r="J49" s="2445"/>
      <c r="K49" s="2445"/>
      <c r="L49" s="2445"/>
      <c r="M49" s="2445"/>
      <c r="N49" s="2446"/>
      <c r="O49" s="72"/>
    </row>
    <row r="50" spans="1:16" ht="3.6" customHeight="1" x14ac:dyDescent="0.3">
      <c r="A50" s="4"/>
      <c r="B50" s="464"/>
      <c r="C50" s="465"/>
      <c r="D50" s="465"/>
      <c r="E50" s="465"/>
      <c r="F50" s="465"/>
      <c r="G50" s="465"/>
      <c r="H50" s="465"/>
      <c r="I50" s="465"/>
      <c r="J50" s="465"/>
      <c r="K50" s="465"/>
      <c r="L50" s="465"/>
      <c r="M50" s="465"/>
      <c r="N50" s="466"/>
      <c r="O50" s="72"/>
    </row>
    <row r="51" spans="1:16" ht="28.8" customHeight="1" x14ac:dyDescent="0.3">
      <c r="A51" s="4"/>
      <c r="B51" s="2444" t="str">
        <f>IF(AND(H42&lt;&gt;0,M23&lt;&gt;0,O64=1),"2. Source/Document the transfer of funds; Source large deposits if required by agency guidelines.",IF(AND(H42&lt;&gt;0,M23&lt;&gt;0,O64=2,H42=1,M39&lt;&gt;0),CONCATENATE("2. At most $",N41," ($",M39," - $",M23,") total business assets may be added in MD as assets/reserves."),IF(AND(H42&lt;&gt;0,M23&lt;&gt;0,O64=2,M39&lt;&gt;0,H42&lt;1),CONCATENATE("2. At most, $",N41," (($",M39," - $",M23,") ",(H42*100),"%) total business assets may be added in MD as assets/reserves."),IF(AND(H42&lt;&gt;0,M23&lt;&gt;0,O64=3,M39&lt;&gt;0,H42=1),CONCATENATE("2. At most $",N41," ($",M39," - $",M23,") total business assets may be added in MD as assets/reserves."),IF(AND(H42&lt;&gt;0,M23&lt;&gt;0,O64=3,M39&lt;&gt;0,H42&lt;1),CONCATENATE("2. At most, $",N41," (($",M39," - $",M23,") ",(H42*100),"%) total business assets may be added in MD as assets/reserves."),"")))))</f>
        <v/>
      </c>
      <c r="C51" s="2445"/>
      <c r="D51" s="2445"/>
      <c r="E51" s="2445"/>
      <c r="F51" s="2445"/>
      <c r="G51" s="2445"/>
      <c r="H51" s="2445"/>
      <c r="I51" s="2445"/>
      <c r="J51" s="2445"/>
      <c r="K51" s="2445"/>
      <c r="L51" s="2445"/>
      <c r="M51" s="2445"/>
      <c r="N51" s="2446"/>
      <c r="O51" s="72"/>
    </row>
    <row r="52" spans="1:16" ht="3" customHeight="1" x14ac:dyDescent="0.3">
      <c r="A52" s="4"/>
      <c r="B52" s="464"/>
      <c r="C52" s="465"/>
      <c r="D52" s="465"/>
      <c r="E52" s="465"/>
      <c r="F52" s="465"/>
      <c r="G52" s="465"/>
      <c r="H52" s="465"/>
      <c r="I52" s="465"/>
      <c r="J52" s="465"/>
      <c r="K52" s="465"/>
      <c r="L52" s="465"/>
      <c r="M52" s="465"/>
      <c r="N52" s="466"/>
      <c r="O52" s="72"/>
    </row>
    <row r="53" spans="1:16" ht="30" customHeight="1" x14ac:dyDescent="0.3">
      <c r="A53" s="4"/>
      <c r="B53" s="2444" t="str">
        <f>IF(AND(H42&lt;&gt;0,M23&lt;&gt;0,H42&gt;0,O64=1),"3. Document borrowers ownership of account per agency guidelines.",IF(AND(H42&lt;&gt;0,M39&lt;&gt;0,M23&lt;&gt;0,O64=2),"3. Source/Document the transfer of funds; Source large deposits if required by agency guidelines.",IF(AND(H42&lt;&gt;0,M39&lt;&gt;0,M23&lt;&gt;0,O64=3),"3. Source large deposits if required by agency guidelines.","")))</f>
        <v/>
      </c>
      <c r="C53" s="2445"/>
      <c r="D53" s="2445"/>
      <c r="E53" s="2445"/>
      <c r="F53" s="2445"/>
      <c r="G53" s="2445"/>
      <c r="H53" s="2445"/>
      <c r="I53" s="2445"/>
      <c r="J53" s="2445"/>
      <c r="K53" s="2445"/>
      <c r="L53" s="2445"/>
      <c r="M53" s="2445"/>
      <c r="N53" s="2446"/>
      <c r="O53" s="72"/>
    </row>
    <row r="54" spans="1:16" ht="28.8" customHeight="1" x14ac:dyDescent="0.3">
      <c r="A54" s="4"/>
      <c r="B54" s="2444" t="str">
        <f>IF(AND(H42&lt;&gt;0,M39&lt;&gt;0,M23&lt;&gt;0,H42&gt;0,O64=2),"4. Document borrowers ownership of account per agency guidelines.",IF(AND(H42&lt;&gt;0,M39&lt;&gt;0,M23&lt;&gt;0,H42&lt;1,O64=3),"4. Document borrowers ownership of account per agency guidelines.",""))</f>
        <v/>
      </c>
      <c r="C54" s="2445"/>
      <c r="D54" s="2445"/>
      <c r="E54" s="2445"/>
      <c r="F54" s="2445"/>
      <c r="G54" s="2445"/>
      <c r="H54" s="2445"/>
      <c r="I54" s="2445"/>
      <c r="J54" s="2445"/>
      <c r="K54" s="2445"/>
      <c r="L54" s="2445"/>
      <c r="M54" s="2445"/>
      <c r="N54" s="2446"/>
      <c r="O54" s="72"/>
    </row>
    <row r="55" spans="1:16" ht="5.4" customHeight="1" thickBot="1" x14ac:dyDescent="0.35">
      <c r="A55" s="4"/>
      <c r="B55" s="456"/>
      <c r="C55" s="459"/>
      <c r="D55" s="459"/>
      <c r="E55" s="459"/>
      <c r="F55" s="459"/>
      <c r="G55" s="459"/>
      <c r="H55" s="459"/>
      <c r="I55" s="459"/>
      <c r="J55" s="459"/>
      <c r="K55" s="459"/>
      <c r="L55" s="459"/>
      <c r="M55" s="459"/>
      <c r="N55" s="460"/>
      <c r="O55" s="72"/>
    </row>
    <row r="56" spans="1:16" ht="9" customHeight="1" x14ac:dyDescent="0.3">
      <c r="A56" s="4"/>
      <c r="B56" s="3"/>
      <c r="C56" s="217"/>
      <c r="D56" s="361"/>
      <c r="E56" s="361"/>
      <c r="F56" s="361"/>
      <c r="G56" s="361"/>
      <c r="H56" s="361"/>
      <c r="I56" s="3"/>
      <c r="J56" s="3"/>
      <c r="K56" s="2"/>
    </row>
    <row r="57" spans="1:16" ht="21.6" customHeight="1" x14ac:dyDescent="0.3">
      <c r="A57" s="4"/>
      <c r="B57" s="3"/>
      <c r="C57" s="217"/>
      <c r="D57" s="361"/>
      <c r="E57" s="361"/>
      <c r="F57" s="361"/>
      <c r="G57" s="361"/>
      <c r="H57" s="361"/>
      <c r="I57" s="3"/>
      <c r="J57" s="3"/>
      <c r="K57" s="2439" t="s">
        <v>453</v>
      </c>
      <c r="L57" s="2439"/>
      <c r="M57" s="2439"/>
      <c r="N57" s="2439"/>
      <c r="O57" s="2439"/>
    </row>
    <row r="58" spans="1:16" ht="12.6" customHeight="1" x14ac:dyDescent="0.3">
      <c r="A58" s="1475" t="s">
        <v>1074</v>
      </c>
      <c r="B58" s="1475"/>
      <c r="C58" s="1475"/>
      <c r="D58" s="1475"/>
      <c r="E58" s="1475"/>
      <c r="F58" s="1475"/>
      <c r="G58" s="1475"/>
      <c r="H58" s="1475"/>
      <c r="I58" s="19"/>
      <c r="J58" s="19"/>
      <c r="K58" s="19"/>
      <c r="L58" s="254"/>
      <c r="M58" s="254"/>
      <c r="N58" s="254"/>
      <c r="O58" s="254"/>
    </row>
    <row r="59" spans="1:16" x14ac:dyDescent="0.3">
      <c r="A59" s="1325"/>
      <c r="B59" s="1325"/>
      <c r="C59" s="1325"/>
      <c r="D59" s="1325"/>
      <c r="E59" s="1325"/>
      <c r="F59" s="1325"/>
      <c r="G59" s="1325"/>
      <c r="H59" s="1325"/>
      <c r="I59" s="1325"/>
      <c r="J59" s="1325"/>
      <c r="K59" s="1325"/>
      <c r="L59" s="1325"/>
      <c r="M59" s="1325"/>
      <c r="N59" s="1325"/>
      <c r="O59" s="1325"/>
      <c r="P59" s="1325"/>
    </row>
    <row r="60" spans="1:16" x14ac:dyDescent="0.3">
      <c r="A60" s="1325"/>
      <c r="B60" s="1325"/>
      <c r="C60" s="1325"/>
      <c r="D60" s="1325"/>
      <c r="E60" s="1325"/>
      <c r="F60" s="1325"/>
      <c r="G60" s="1325"/>
      <c r="H60" s="1325"/>
      <c r="I60" s="1325"/>
      <c r="J60" s="1325"/>
      <c r="K60" s="1325"/>
      <c r="L60" s="1325"/>
      <c r="M60" s="1325"/>
      <c r="N60" s="1325"/>
      <c r="O60" s="1325"/>
      <c r="P60" s="1325"/>
    </row>
    <row r="61" spans="1:16" ht="14.25" customHeight="1" x14ac:dyDescent="0.3">
      <c r="A61" s="1325"/>
      <c r="B61" s="1325"/>
      <c r="C61" s="1325"/>
      <c r="D61" s="1325"/>
      <c r="E61" s="1325"/>
      <c r="F61" s="1325"/>
      <c r="G61" s="1325"/>
      <c r="H61" s="1325"/>
      <c r="I61" s="1325"/>
      <c r="J61" s="1325"/>
      <c r="K61" s="1325"/>
      <c r="L61" s="1325"/>
      <c r="M61" s="1325"/>
      <c r="N61" s="1325"/>
      <c r="O61" s="1325"/>
      <c r="P61" s="1325"/>
    </row>
    <row r="62" spans="1:16" hidden="1" x14ac:dyDescent="0.3">
      <c r="A62" s="609"/>
      <c r="B62" s="28"/>
      <c r="C62" s="28"/>
      <c r="D62" s="28"/>
      <c r="E62" s="28"/>
      <c r="F62" s="28"/>
      <c r="G62" s="28"/>
      <c r="H62" s="28"/>
      <c r="I62" s="28"/>
      <c r="J62" s="28"/>
      <c r="K62" s="28"/>
      <c r="L62" s="28"/>
      <c r="M62" s="28"/>
      <c r="N62" s="28"/>
      <c r="O62" s="28"/>
    </row>
    <row r="63" spans="1:16" hidden="1" x14ac:dyDescent="0.3">
      <c r="O63" s="36"/>
    </row>
    <row r="64" spans="1:16" hidden="1" x14ac:dyDescent="0.3">
      <c r="O64" s="1046"/>
    </row>
    <row r="65" spans="1:16" ht="15.75" customHeight="1" x14ac:dyDescent="0.3">
      <c r="A65" s="1482" t="str">
        <f ca="1">REPLACE(CELL("filename",A65),1,FIND("]",CELL("filename",A65)),"")</f>
        <v>Business Cash Flow</v>
      </c>
      <c r="B65" s="1482"/>
      <c r="C65" s="1482"/>
      <c r="D65" s="1482"/>
    </row>
    <row r="66" spans="1:16" hidden="1" x14ac:dyDescent="0.3"/>
    <row r="69" spans="1:16" x14ac:dyDescent="0.3">
      <c r="M69" s="1419" t="str">
        <f>Version</f>
        <v>Version 2026.1</v>
      </c>
      <c r="N69" s="1419"/>
      <c r="O69" s="1419"/>
      <c r="P69" s="1419"/>
    </row>
  </sheetData>
  <sheetProtection algorithmName="SHA-512" hashValue="8y6b/ogWnT4bNUXm6t9addEqaEA+c8RT3yky3G8e4JOBV0wmLHwQ0FM4TkSnlQBU0wD1h0AvPo3xfWOjl0kchw==" saltValue="1WZvM/poYDP0WdeolQgI2w==" spinCount="100000" sheet="1" objects="1" scenarios="1" selectLockedCells="1"/>
  <mergeCells count="65">
    <mergeCell ref="M69:P69"/>
    <mergeCell ref="A59:P61"/>
    <mergeCell ref="A58:H58"/>
    <mergeCell ref="L13:L14"/>
    <mergeCell ref="O13:O14"/>
    <mergeCell ref="C36:N36"/>
    <mergeCell ref="C32:N32"/>
    <mergeCell ref="C34:N34"/>
    <mergeCell ref="A28:I28"/>
    <mergeCell ref="N41:O41"/>
    <mergeCell ref="B23:I23"/>
    <mergeCell ref="B16:I16"/>
    <mergeCell ref="G15:I15"/>
    <mergeCell ref="B13:G13"/>
    <mergeCell ref="B15:F15"/>
    <mergeCell ref="C19:H19"/>
    <mergeCell ref="H13:K13"/>
    <mergeCell ref="B14:K14"/>
    <mergeCell ref="B17:G17"/>
    <mergeCell ref="E20:G20"/>
    <mergeCell ref="C20:D20"/>
    <mergeCell ref="M11:N11"/>
    <mergeCell ref="M12:N12"/>
    <mergeCell ref="M13:N14"/>
    <mergeCell ref="M16:N16"/>
    <mergeCell ref="M24:N24"/>
    <mergeCell ref="M15:N15"/>
    <mergeCell ref="M21:N21"/>
    <mergeCell ref="M23:N23"/>
    <mergeCell ref="C21:D21"/>
    <mergeCell ref="E22:G22"/>
    <mergeCell ref="C22:D22"/>
    <mergeCell ref="E21:G21"/>
    <mergeCell ref="B30:H30"/>
    <mergeCell ref="G25:H25"/>
    <mergeCell ref="I25:M25"/>
    <mergeCell ref="D26:M27"/>
    <mergeCell ref="D25:F25"/>
    <mergeCell ref="K57:O57"/>
    <mergeCell ref="M39:N39"/>
    <mergeCell ref="B45:N45"/>
    <mergeCell ref="B49:N49"/>
    <mergeCell ref="B51:N51"/>
    <mergeCell ref="B47:N47"/>
    <mergeCell ref="B53:N53"/>
    <mergeCell ref="L41:M41"/>
    <mergeCell ref="B54:N54"/>
    <mergeCell ref="B42:G42"/>
    <mergeCell ref="B43:H43"/>
    <mergeCell ref="A65:D65"/>
    <mergeCell ref="A2:P2"/>
    <mergeCell ref="A3:P3"/>
    <mergeCell ref="A6:C6"/>
    <mergeCell ref="D6:I6"/>
    <mergeCell ref="M10:N10"/>
    <mergeCell ref="M9:N9"/>
    <mergeCell ref="A8:C8"/>
    <mergeCell ref="A10:I10"/>
    <mergeCell ref="B39:K40"/>
    <mergeCell ref="B11:E11"/>
    <mergeCell ref="D8:H8"/>
    <mergeCell ref="A9:I9"/>
    <mergeCell ref="E12:I12"/>
    <mergeCell ref="B12:D12"/>
    <mergeCell ref="F11:I11"/>
  </mergeCells>
  <conditionalFormatting sqref="A9">
    <cfRule type="expression" dxfId="21" priority="1">
      <formula>$D$8&lt;&gt;""</formula>
    </cfRule>
  </conditionalFormatting>
  <conditionalFormatting sqref="D8:H8">
    <cfRule type="expression" dxfId="20" priority="9">
      <formula>AND($M$16&lt;&gt;0,$D$8="")</formula>
    </cfRule>
  </conditionalFormatting>
  <conditionalFormatting sqref="M24:N24">
    <cfRule type="expression" dxfId="19" priority="8">
      <formula>AND($D$8="",$M$23&lt;&gt;0)</formula>
    </cfRule>
  </conditionalFormatting>
  <conditionalFormatting sqref="B47:N47">
    <cfRule type="expression" dxfId="18" priority="5">
      <formula>$B$47="Insufficient Funds in business account to support 'Total Monthly Expense Cash Flow'"</formula>
    </cfRule>
  </conditionalFormatting>
  <conditionalFormatting sqref="B49:N54">
    <cfRule type="expression" dxfId="17" priority="3">
      <formula>$B$47="Insufficient Funds in business account to support 'Total Monthly Expense Cash Flow'"</formula>
    </cfRule>
  </conditionalFormatting>
  <conditionalFormatting sqref="M39:N39">
    <cfRule type="expression" dxfId="16" priority="2">
      <formula>$B$47="Insufficient Funds in business account to support 'Total Monthly Expense Cash Flow'"</formula>
    </cfRule>
  </conditionalFormatting>
  <conditionalFormatting sqref="A9:I9">
    <cfRule type="expression" dxfId="15" priority="11">
      <formula>AND($M$16&lt;&gt;0,$D$8="")</formula>
    </cfRule>
  </conditionalFormatting>
  <dataValidations disablePrompts="1" count="1">
    <dataValidation type="list" allowBlank="1" showInputMessage="1" showErrorMessage="1" sqref="D8:H8" xr:uid="{F9382D85-FD69-46C0-9784-781BF940AAEA}">
      <formula1>"Schedule C, 1065 (Partnership), 1120s (S Corporation), 1120 (Full Corporation)"</formula1>
    </dataValidation>
  </dataValidations>
  <printOptions horizontalCentered="1"/>
  <pageMargins left="0.25" right="0.25" top="0.25" bottom="0.25" header="0.3" footer="0.3"/>
  <pageSetup paperSize="5" scale="97" fitToWidth="0" orientation="portrait" r:id="rId1"/>
  <ignoredErrors>
    <ignoredError sqref="A11 A12:A16 A18:A22"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522256" r:id="rId4" name="Option Button 16">
              <controlPr defaultSize="0" autoFill="0" autoLine="0" autoPict="0">
                <anchor moveWithCells="1">
                  <from>
                    <xdr:col>1</xdr:col>
                    <xdr:colOff>91440</xdr:colOff>
                    <xdr:row>31</xdr:row>
                    <xdr:rowOff>15240</xdr:rowOff>
                  </from>
                  <to>
                    <xdr:col>13</xdr:col>
                    <xdr:colOff>518160</xdr:colOff>
                    <xdr:row>31</xdr:row>
                    <xdr:rowOff>228600</xdr:rowOff>
                  </to>
                </anchor>
              </controlPr>
            </control>
          </mc:Choice>
        </mc:AlternateContent>
        <mc:AlternateContent xmlns:mc="http://schemas.openxmlformats.org/markup-compatibility/2006">
          <mc:Choice Requires="x14">
            <control shapeId="522257" r:id="rId5" name="Option Button 17">
              <controlPr defaultSize="0" autoFill="0" autoLine="0" autoPict="0">
                <anchor moveWithCells="1">
                  <from>
                    <xdr:col>1</xdr:col>
                    <xdr:colOff>91440</xdr:colOff>
                    <xdr:row>33</xdr:row>
                    <xdr:rowOff>15240</xdr:rowOff>
                  </from>
                  <to>
                    <xdr:col>13</xdr:col>
                    <xdr:colOff>518160</xdr:colOff>
                    <xdr:row>33</xdr:row>
                    <xdr:rowOff>243840</xdr:rowOff>
                  </to>
                </anchor>
              </controlPr>
            </control>
          </mc:Choice>
        </mc:AlternateContent>
        <mc:AlternateContent xmlns:mc="http://schemas.openxmlformats.org/markup-compatibility/2006">
          <mc:Choice Requires="x14">
            <control shapeId="522258" r:id="rId6" name="Option Button 18">
              <controlPr defaultSize="0" autoFill="0" autoLine="0" autoPict="0">
                <anchor moveWithCells="1">
                  <from>
                    <xdr:col>1</xdr:col>
                    <xdr:colOff>91440</xdr:colOff>
                    <xdr:row>35</xdr:row>
                    <xdr:rowOff>15240</xdr:rowOff>
                  </from>
                  <to>
                    <xdr:col>14</xdr:col>
                    <xdr:colOff>68580</xdr:colOff>
                    <xdr:row>36</xdr:row>
                    <xdr:rowOff>0</xdr:rowOff>
                  </to>
                </anchor>
              </controlPr>
            </control>
          </mc:Choice>
        </mc:AlternateContent>
        <mc:AlternateContent xmlns:mc="http://schemas.openxmlformats.org/markup-compatibility/2006">
          <mc:Choice Requires="x14">
            <control shapeId="522262" r:id="rId7" name="Button 22">
              <controlPr defaultSize="0" print="0" autoFill="0" autoPict="0" macro="[0]!IW_Copy">
                <anchor moveWithCells="1" sizeWithCells="1">
                  <from>
                    <xdr:col>1</xdr:col>
                    <xdr:colOff>68580</xdr:colOff>
                    <xdr:row>0</xdr:row>
                    <xdr:rowOff>7620</xdr:rowOff>
                  </from>
                  <to>
                    <xdr:col>2</xdr:col>
                    <xdr:colOff>144780</xdr:colOff>
                    <xdr:row>1</xdr:row>
                    <xdr:rowOff>99060</xdr:rowOff>
                  </to>
                </anchor>
              </controlPr>
            </control>
          </mc:Choice>
        </mc:AlternateContent>
        <mc:AlternateContent xmlns:mc="http://schemas.openxmlformats.org/markup-compatibility/2006">
          <mc:Choice Requires="x14">
            <control shapeId="522263" r:id="rId8" name="Button 23">
              <controlPr defaultSize="0" print="0" autoFill="0" autoPict="0" macro="[0]!IW_Home">
                <anchor moveWithCells="1" sizeWithCells="1">
                  <from>
                    <xdr:col>0</xdr:col>
                    <xdr:colOff>0</xdr:colOff>
                    <xdr:row>0</xdr:row>
                    <xdr:rowOff>7620</xdr:rowOff>
                  </from>
                  <to>
                    <xdr:col>1</xdr:col>
                    <xdr:colOff>15240</xdr:colOff>
                    <xdr:row>1</xdr:row>
                    <xdr:rowOff>99060</xdr:rowOff>
                  </to>
                </anchor>
              </controlPr>
            </control>
          </mc:Choice>
        </mc:AlternateContent>
        <mc:AlternateContent xmlns:mc="http://schemas.openxmlformats.org/markup-compatibility/2006">
          <mc:Choice Requires="x14">
            <control shapeId="522264" r:id="rId9" name="Button 24">
              <controlPr defaultSize="0" print="0" autoFill="0" autoPict="0" macro="[0]!BusCash_Clear">
                <anchor moveWithCells="1" sizeWithCells="1">
                  <from>
                    <xdr:col>2</xdr:col>
                    <xdr:colOff>198120</xdr:colOff>
                    <xdr:row>0</xdr:row>
                    <xdr:rowOff>7620</xdr:rowOff>
                  </from>
                  <to>
                    <xdr:col>4</xdr:col>
                    <xdr:colOff>22860</xdr:colOff>
                    <xdr:row>1</xdr:row>
                    <xdr:rowOff>99060</xdr:rowOff>
                  </to>
                </anchor>
              </controlPr>
            </control>
          </mc:Choice>
        </mc:AlternateContent>
        <mc:AlternateContent xmlns:mc="http://schemas.openxmlformats.org/markup-compatibility/2006">
          <mc:Choice Requires="x14">
            <control shapeId="522265" r:id="rId10" name="Button 25">
              <controlPr defaultSize="0" print="0" autoFill="0" autoPict="0" macro="[0]!BusCash_Hide">
                <anchor moveWithCells="1" sizeWithCells="1">
                  <from>
                    <xdr:col>0</xdr:col>
                    <xdr:colOff>7620</xdr:colOff>
                    <xdr:row>1</xdr:row>
                    <xdr:rowOff>152400</xdr:rowOff>
                  </from>
                  <to>
                    <xdr:col>1</xdr:col>
                    <xdr:colOff>22860</xdr:colOff>
                    <xdr:row>1</xdr:row>
                    <xdr:rowOff>449580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CD43A-5219-4B7D-BD14-51FB6AE9CA31}">
  <sheetPr codeName="Sheet31">
    <tabColor rgb="FF92D050"/>
    <pageSetUpPr fitToPage="1"/>
  </sheetPr>
  <dimension ref="A1:P97"/>
  <sheetViews>
    <sheetView showGridLines="0" showRowColHeaders="0" showRuler="0" view="pageLayout" zoomScale="90" zoomScaleNormal="100" zoomScalePageLayoutView="90" workbookViewId="0">
      <selection activeCell="D7" sqref="D7:H7"/>
    </sheetView>
  </sheetViews>
  <sheetFormatPr defaultColWidth="9.109375" defaultRowHeight="14.4" x14ac:dyDescent="0.3"/>
  <cols>
    <col min="1" max="2" width="2.109375" customWidth="1"/>
    <col min="3" max="3" width="12.77734375" customWidth="1"/>
    <col min="4" max="4" width="5.77734375" customWidth="1"/>
    <col min="5" max="5" width="13.109375" customWidth="1"/>
    <col min="6" max="6" width="10.33203125" customWidth="1"/>
    <col min="7" max="8" width="9.109375" customWidth="1"/>
    <col min="9" max="9" width="6.6640625" customWidth="1"/>
    <col min="10" max="10" width="9.21875" customWidth="1"/>
    <col min="11" max="11" width="3.77734375" customWidth="1"/>
    <col min="12" max="12" width="3.6640625" customWidth="1"/>
    <col min="13" max="13" width="10" customWidth="1"/>
    <col min="14" max="14" width="9.109375" customWidth="1"/>
    <col min="15" max="15" width="2" customWidth="1"/>
  </cols>
  <sheetData>
    <row r="1" spans="1:15" x14ac:dyDescent="0.3">
      <c r="E1" s="1801" t="str">
        <f>IF(OR('I&amp;D Worksheet'!J8="Conventional",'I&amp;D Worksheet'!J8="VA",'I&amp;D Worksheet'!J8="USDA",),CONCATENATE("This worksheet is not applicable for the selected Loan Type (",'I&amp;D Worksheet'!J8,")"),"")</f>
        <v/>
      </c>
      <c r="F1" s="1801"/>
      <c r="G1" s="1801"/>
      <c r="H1" s="1801"/>
      <c r="I1" s="1801"/>
      <c r="J1" s="1801"/>
      <c r="K1" s="1801"/>
      <c r="L1" s="1801"/>
    </row>
    <row r="2" spans="1:15" ht="36.75" customHeight="1" x14ac:dyDescent="0.5">
      <c r="A2" s="1321" t="s">
        <v>912</v>
      </c>
      <c r="B2" s="1321"/>
      <c r="C2" s="1321"/>
      <c r="D2" s="1321"/>
      <c r="E2" s="1321"/>
      <c r="F2" s="1321"/>
      <c r="G2" s="1321"/>
      <c r="H2" s="1321"/>
      <c r="I2" s="1321"/>
      <c r="J2" s="1321"/>
      <c r="K2" s="1321"/>
      <c r="L2" s="1321"/>
      <c r="M2" s="1321"/>
      <c r="N2" s="1321"/>
      <c r="O2" s="1321"/>
    </row>
    <row r="3" spans="1:15" ht="3.6" customHeight="1" x14ac:dyDescent="0.3">
      <c r="A3" s="1322" t="s">
        <v>913</v>
      </c>
      <c r="B3" s="1322"/>
      <c r="C3" s="1322"/>
      <c r="D3" s="1322"/>
      <c r="E3" s="1322"/>
      <c r="F3" s="1322"/>
      <c r="G3" s="1322"/>
      <c r="H3" s="1322"/>
      <c r="I3" s="1322"/>
      <c r="J3" s="1322"/>
      <c r="K3" s="1322"/>
      <c r="L3" s="1322"/>
      <c r="M3" s="1322"/>
      <c r="N3" s="1322"/>
      <c r="O3" s="1322"/>
    </row>
    <row r="4" spans="1:15" x14ac:dyDescent="0.3">
      <c r="A4" s="1322"/>
      <c r="B4" s="1322"/>
      <c r="C4" s="1322"/>
      <c r="D4" s="1322"/>
      <c r="E4" s="1322"/>
      <c r="F4" s="1322"/>
      <c r="G4" s="1322"/>
      <c r="H4" s="1322"/>
      <c r="I4" s="1322"/>
      <c r="J4" s="1322"/>
      <c r="K4" s="1322"/>
      <c r="L4" s="1322"/>
      <c r="M4" s="1322"/>
      <c r="N4" s="1322"/>
      <c r="O4" s="1322"/>
    </row>
    <row r="5" spans="1:15" ht="21" customHeight="1" x14ac:dyDescent="0.3"/>
    <row r="6" spans="1:15" ht="13.8" customHeight="1" x14ac:dyDescent="0.3"/>
    <row r="7" spans="1:15" ht="15.75" customHeight="1" x14ac:dyDescent="0.3">
      <c r="A7" s="1812" t="s">
        <v>575</v>
      </c>
      <c r="B7" s="1812"/>
      <c r="C7" s="1812"/>
      <c r="D7" s="1359"/>
      <c r="E7" s="1359"/>
      <c r="F7" s="1359"/>
      <c r="G7" s="1359"/>
      <c r="H7" s="1359"/>
      <c r="I7" s="92"/>
    </row>
    <row r="8" spans="1:15" ht="21.75" customHeight="1" x14ac:dyDescent="0.3"/>
    <row r="9" spans="1:15" ht="7.2" customHeight="1" x14ac:dyDescent="0.3">
      <c r="A9" s="1292" t="s">
        <v>905</v>
      </c>
      <c r="B9" s="1292"/>
      <c r="C9" s="1292"/>
      <c r="D9" s="1292"/>
      <c r="E9" s="1292"/>
      <c r="F9" s="1292"/>
      <c r="G9" s="1292"/>
      <c r="H9" s="1292"/>
      <c r="I9" s="241"/>
      <c r="J9" s="2468" t="str">
        <f>IF(O69=1,"Self-sufficiency Test Required",IF(O69=2,"This test is not Required","Select 'Yes' or 'No'"))</f>
        <v>Select 'Yes' or 'No'</v>
      </c>
      <c r="K9" s="2469"/>
      <c r="L9" s="2469"/>
      <c r="M9" s="2469"/>
      <c r="N9" s="2469"/>
      <c r="O9" s="2470"/>
    </row>
    <row r="10" spans="1:15" ht="15.75" customHeight="1" x14ac:dyDescent="0.3">
      <c r="A10" s="1292"/>
      <c r="B10" s="1292"/>
      <c r="C10" s="1292"/>
      <c r="D10" s="1292"/>
      <c r="E10" s="1292"/>
      <c r="F10" s="1292"/>
      <c r="G10" s="1292"/>
      <c r="H10" s="1292"/>
      <c r="I10" s="241"/>
      <c r="J10" s="2471"/>
      <c r="K10" s="2472"/>
      <c r="L10" s="2472"/>
      <c r="M10" s="2472"/>
      <c r="N10" s="2472"/>
      <c r="O10" s="2473"/>
    </row>
    <row r="11" spans="1:15" ht="21.75" customHeight="1" x14ac:dyDescent="0.3">
      <c r="A11" s="1292"/>
      <c r="B11" s="1292"/>
      <c r="C11" s="1292"/>
      <c r="D11" s="1292"/>
      <c r="E11" s="1292"/>
      <c r="F11" s="1292"/>
      <c r="G11" s="1292"/>
      <c r="H11" s="1292"/>
      <c r="I11" s="241"/>
      <c r="J11" s="2285" t="str">
        <f>IF(O69=1,"Complete the data fields below for Pass/Fail",IF(O69=2,"Double check loan type and Number of Units","To see if this test is required"))</f>
        <v>To see if this test is required</v>
      </c>
      <c r="K11" s="2286"/>
      <c r="L11" s="2286"/>
      <c r="M11" s="2286"/>
      <c r="N11" s="2286"/>
      <c r="O11" s="2287"/>
    </row>
    <row r="12" spans="1:15" ht="7.2" customHeight="1" x14ac:dyDescent="0.3"/>
    <row r="13" spans="1:15" ht="15.6" customHeight="1" x14ac:dyDescent="0.3"/>
    <row r="14" spans="1:15" ht="9.6" customHeight="1" x14ac:dyDescent="0.3"/>
    <row r="15" spans="1:15" ht="15.75" customHeight="1" x14ac:dyDescent="0.3">
      <c r="B15" s="531" t="s">
        <v>142</v>
      </c>
      <c r="C15" s="1791" t="s">
        <v>1096</v>
      </c>
      <c r="D15" s="1791"/>
      <c r="E15" s="1791"/>
      <c r="F15" s="1791"/>
      <c r="G15" s="1791"/>
      <c r="H15" s="1791"/>
      <c r="I15" s="1791"/>
      <c r="J15" s="1791"/>
      <c r="K15" s="2193"/>
      <c r="L15" s="2193"/>
      <c r="M15" s="2193"/>
    </row>
    <row r="16" spans="1:15" ht="14.25" customHeight="1" x14ac:dyDescent="0.3">
      <c r="C16" s="2273" t="s">
        <v>914</v>
      </c>
      <c r="D16" s="2273"/>
      <c r="E16" s="2273"/>
      <c r="F16" s="2273"/>
      <c r="G16" s="2273"/>
      <c r="H16" s="2273"/>
      <c r="I16" s="2273"/>
      <c r="J16" s="2273"/>
    </row>
    <row r="17" spans="2:14" ht="14.25" customHeight="1" x14ac:dyDescent="0.3">
      <c r="C17" s="2276" t="s">
        <v>910</v>
      </c>
      <c r="D17" s="2276"/>
      <c r="E17" s="2276"/>
      <c r="F17" s="2276"/>
      <c r="G17" s="2277" t="s">
        <v>908</v>
      </c>
      <c r="H17" s="2277"/>
      <c r="J17" s="2274">
        <f>IF(K15="",0,K15*0.25)</f>
        <v>0</v>
      </c>
      <c r="K17" s="2274"/>
      <c r="L17" s="2274"/>
    </row>
    <row r="18" spans="2:14" ht="9" customHeight="1" x14ac:dyDescent="0.3">
      <c r="G18" s="2277"/>
      <c r="H18" s="2277"/>
      <c r="I18" s="44"/>
      <c r="J18" s="2275"/>
      <c r="K18" s="2275"/>
      <c r="L18" s="2275"/>
    </row>
    <row r="19" spans="2:14" ht="12.75" customHeight="1" x14ac:dyDescent="0.3"/>
    <row r="20" spans="2:14" ht="14.25" customHeight="1" x14ac:dyDescent="0.3"/>
    <row r="21" spans="2:14" ht="15.75" customHeight="1" x14ac:dyDescent="0.3">
      <c r="B21" s="531" t="s">
        <v>143</v>
      </c>
      <c r="C21" s="1791" t="s">
        <v>915</v>
      </c>
      <c r="D21" s="1791"/>
      <c r="E21" s="1791"/>
      <c r="F21" s="1791"/>
      <c r="G21" s="1791"/>
      <c r="H21" s="1791"/>
      <c r="I21" s="2193"/>
      <c r="J21" s="2193"/>
      <c r="K21" s="2193"/>
    </row>
    <row r="22" spans="2:14" ht="15.75" customHeight="1" x14ac:dyDescent="0.3">
      <c r="C22" s="535" t="s">
        <v>911</v>
      </c>
      <c r="D22" s="535"/>
      <c r="E22" s="535"/>
      <c r="F22" s="535"/>
      <c r="G22" s="535"/>
      <c r="H22" s="535"/>
    </row>
    <row r="23" spans="2:14" ht="15.75" customHeight="1" x14ac:dyDescent="0.3">
      <c r="C23" s="536" t="s">
        <v>916</v>
      </c>
      <c r="D23" s="537"/>
      <c r="E23" s="537"/>
      <c r="F23" s="537"/>
      <c r="H23" s="481"/>
      <c r="K23" s="14"/>
      <c r="L23" s="14"/>
    </row>
    <row r="24" spans="2:14" ht="15.75" customHeight="1" x14ac:dyDescent="0.35">
      <c r="G24" s="1369" t="s">
        <v>909</v>
      </c>
      <c r="H24" s="1369"/>
      <c r="J24" s="2268">
        <f>IF(I21&lt;&gt;"",I21/12,0)</f>
        <v>0</v>
      </c>
      <c r="K24" s="2268"/>
      <c r="L24" s="2268"/>
    </row>
    <row r="25" spans="2:14" ht="15.75" customHeight="1" x14ac:dyDescent="0.3"/>
    <row r="26" spans="2:14" ht="15.75" customHeight="1" x14ac:dyDescent="0.3">
      <c r="B26" s="531" t="s">
        <v>145</v>
      </c>
      <c r="C26" s="1791" t="s">
        <v>900</v>
      </c>
      <c r="D26" s="1791"/>
      <c r="E26" s="1791"/>
      <c r="F26" s="1791"/>
      <c r="G26" s="1791"/>
      <c r="H26" s="1791"/>
      <c r="J26" s="532" t="s">
        <v>14</v>
      </c>
      <c r="K26" s="2268">
        <f>IF(AND(J17&lt;&gt;0,J24&lt;&gt;0,J24&gt;=J17),J24,IF(AND(J17&lt;&gt;0,J24&lt;&gt;0,J24&lt;J17),J17,0))</f>
        <v>0</v>
      </c>
      <c r="L26" s="2268"/>
      <c r="M26" s="2268"/>
      <c r="N26" s="33" t="s">
        <v>13</v>
      </c>
    </row>
    <row r="27" spans="2:14" ht="15.75" customHeight="1" x14ac:dyDescent="0.3">
      <c r="C27" s="421" t="s">
        <v>917</v>
      </c>
      <c r="D27" s="421"/>
      <c r="E27" s="421"/>
      <c r="F27" s="421"/>
      <c r="G27" s="421"/>
      <c r="H27" s="421"/>
    </row>
    <row r="28" spans="2:14" ht="15.75" customHeight="1" x14ac:dyDescent="0.3"/>
    <row r="29" spans="2:14" ht="15.75" customHeight="1" thickBot="1" x14ac:dyDescent="0.35">
      <c r="B29" s="531" t="s">
        <v>146</v>
      </c>
      <c r="C29" s="1836" t="s">
        <v>907</v>
      </c>
      <c r="D29" s="1836"/>
      <c r="E29" s="1836"/>
      <c r="F29" s="1836"/>
      <c r="G29" s="1836"/>
      <c r="H29" s="1836"/>
      <c r="K29" s="1963">
        <f>IF(AND(K15&lt;&gt;0,K26&lt;&gt;"0"),K15-K26,0)</f>
        <v>0</v>
      </c>
      <c r="L29" s="1963"/>
      <c r="M29" s="1963"/>
    </row>
    <row r="30" spans="2:14" ht="15.75" customHeight="1" thickTop="1" x14ac:dyDescent="0.3"/>
    <row r="31" spans="2:14" ht="9" customHeight="1" x14ac:dyDescent="0.3"/>
    <row r="32" spans="2:14" ht="16.8" customHeight="1" x14ac:dyDescent="0.3"/>
    <row r="33" spans="2:13" ht="7.8" customHeight="1" x14ac:dyDescent="0.3"/>
    <row r="34" spans="2:13" ht="15.75" customHeight="1" x14ac:dyDescent="0.3">
      <c r="B34" s="531" t="s">
        <v>147</v>
      </c>
      <c r="C34" s="1791" t="s">
        <v>902</v>
      </c>
      <c r="D34" s="1791"/>
      <c r="E34" s="1791"/>
      <c r="F34" s="1791"/>
      <c r="G34" s="1791"/>
      <c r="H34" s="1791"/>
      <c r="K34" s="2193"/>
      <c r="L34" s="2193"/>
      <c r="M34" s="2193"/>
    </row>
    <row r="35" spans="2:13" ht="3.75" customHeight="1" x14ac:dyDescent="0.3"/>
    <row r="36" spans="2:13" ht="15.75" customHeight="1" x14ac:dyDescent="0.3"/>
    <row r="37" spans="2:13" ht="4.2" customHeight="1" x14ac:dyDescent="0.3">
      <c r="E37" s="3"/>
      <c r="F37" s="3"/>
      <c r="I37" s="534"/>
      <c r="J37" s="534"/>
      <c r="K37" s="534"/>
      <c r="L37" s="534"/>
    </row>
    <row r="38" spans="2:13" ht="10.199999999999999" customHeight="1" x14ac:dyDescent="0.3">
      <c r="D38" s="3"/>
      <c r="E38" s="3"/>
      <c r="F38" s="3"/>
      <c r="G38" s="533"/>
      <c r="H38" s="534"/>
      <c r="I38" s="534"/>
      <c r="J38" s="534"/>
      <c r="K38" s="534"/>
      <c r="L38" s="534"/>
    </row>
    <row r="39" spans="2:13" ht="10.8" customHeight="1" x14ac:dyDescent="0.3">
      <c r="B39" s="2292" t="s">
        <v>148</v>
      </c>
      <c r="C39" s="1292" t="s">
        <v>904</v>
      </c>
      <c r="D39" s="1292"/>
      <c r="E39" s="1292"/>
      <c r="F39" s="1292"/>
      <c r="G39" s="1292"/>
      <c r="H39" s="1292"/>
      <c r="I39" s="74"/>
      <c r="J39" s="74"/>
      <c r="K39" s="2060">
        <f>IF(AND(K29&lt;&gt;"",K34&lt;&gt;""),K29-K34,0)</f>
        <v>0</v>
      </c>
      <c r="L39" s="2060"/>
      <c r="M39" s="2060"/>
    </row>
    <row r="40" spans="2:13" ht="11.4" customHeight="1" thickBot="1" x14ac:dyDescent="0.35">
      <c r="B40" s="2292"/>
      <c r="C40" s="1292"/>
      <c r="D40" s="1292"/>
      <c r="E40" s="1292"/>
      <c r="F40" s="1292"/>
      <c r="G40" s="1292"/>
      <c r="H40" s="1292"/>
      <c r="I40" s="534"/>
      <c r="J40" s="534"/>
      <c r="K40" s="1915"/>
      <c r="L40" s="1915"/>
      <c r="M40" s="1915"/>
    </row>
    <row r="41" spans="2:13" ht="3" customHeight="1" thickTop="1" x14ac:dyDescent="0.3">
      <c r="D41" s="502"/>
      <c r="E41" s="502"/>
      <c r="F41" s="502"/>
      <c r="G41" s="533"/>
      <c r="I41" s="534"/>
      <c r="J41" s="534"/>
      <c r="K41" s="534"/>
      <c r="L41" s="534"/>
    </row>
    <row r="42" spans="2:13" ht="15.75" customHeight="1" x14ac:dyDescent="0.3">
      <c r="I42" s="534"/>
      <c r="J42" s="534"/>
      <c r="K42" s="534"/>
      <c r="L42" s="534"/>
    </row>
    <row r="43" spans="2:13" ht="15.75" customHeight="1" x14ac:dyDescent="0.3">
      <c r="D43" s="3"/>
      <c r="E43" s="3"/>
      <c r="F43" s="3"/>
      <c r="G43" s="533"/>
      <c r="H43" s="534"/>
      <c r="I43" s="534"/>
      <c r="J43" s="534"/>
      <c r="K43" s="534"/>
      <c r="L43" s="534"/>
    </row>
    <row r="44" spans="2:13" ht="21" customHeight="1" thickBot="1" x14ac:dyDescent="0.35">
      <c r="D44" s="2296" t="s">
        <v>903</v>
      </c>
      <c r="E44" s="2296"/>
      <c r="F44" s="2296"/>
      <c r="G44" s="2291" t="s">
        <v>179</v>
      </c>
      <c r="H44" s="2294" t="str">
        <f>IF(AND(K29&lt;&gt;0,K34&lt;&gt;0,K39&lt;&gt;"",K39&gt;=0,K26&lt;&gt;0),CONCATENATE(ROUND((K34/K29)*100,2),"%   Pass"),IF(AND(K29&lt;&gt;0,K34&lt;&gt;0,K39&lt;&gt;"",K39&lt;0,K26&lt;&gt;0),CONCATENATE(ROUND((K34/K29)*100,2),"%   FAIL"),IF(AND(K34&lt;&gt;"",K26=0),"Error: Lines 1     &amp; 2 Required","")))</f>
        <v/>
      </c>
      <c r="I44" s="2294"/>
      <c r="J44" s="2294"/>
      <c r="K44" s="2294"/>
      <c r="L44" s="534"/>
    </row>
    <row r="45" spans="2:13" ht="24" customHeight="1" x14ac:dyDescent="0.3">
      <c r="D45" s="2295" t="s">
        <v>919</v>
      </c>
      <c r="E45" s="2295"/>
      <c r="F45" s="2295"/>
      <c r="G45" s="2291"/>
      <c r="H45" s="2294"/>
      <c r="I45" s="2294"/>
      <c r="J45" s="2294"/>
      <c r="K45" s="2294"/>
    </row>
    <row r="46" spans="2:13" ht="15.75" customHeight="1" x14ac:dyDescent="0.3"/>
    <row r="47" spans="2:13" ht="15.75" customHeight="1" x14ac:dyDescent="0.3"/>
    <row r="48" spans="2:13" ht="15.75" customHeight="1" x14ac:dyDescent="0.3"/>
    <row r="49" spans="1:15" ht="15.75" customHeight="1" x14ac:dyDescent="0.3"/>
    <row r="50" spans="1:15" ht="15.75" customHeight="1" x14ac:dyDescent="0.3"/>
    <row r="51" spans="1:15" ht="16.5" customHeight="1" x14ac:dyDescent="0.3"/>
    <row r="52" spans="1:15" ht="10.5" customHeight="1" x14ac:dyDescent="0.3"/>
    <row r="53" spans="1:15" ht="8.25" customHeight="1" x14ac:dyDescent="0.3"/>
    <row r="54" spans="1:15" ht="5.25" customHeight="1" x14ac:dyDescent="0.3"/>
    <row r="55" spans="1:15" ht="34.5" customHeight="1" x14ac:dyDescent="0.3"/>
    <row r="56" spans="1:15" ht="21" customHeight="1" x14ac:dyDescent="0.3"/>
    <row r="57" spans="1:15" ht="15.75" customHeight="1" x14ac:dyDescent="0.3"/>
    <row r="58" spans="1:15" ht="18" hidden="1" customHeight="1" x14ac:dyDescent="0.3"/>
    <row r="60" spans="1:15" ht="43.8" customHeight="1" x14ac:dyDescent="0.3"/>
    <row r="61" spans="1:15" ht="10.5" customHeight="1" x14ac:dyDescent="0.3"/>
    <row r="62" spans="1:15" ht="14.4" customHeight="1" x14ac:dyDescent="0.3">
      <c r="A62" s="1475" t="s">
        <v>1074</v>
      </c>
      <c r="B62" s="1475"/>
      <c r="C62" s="1475"/>
      <c r="D62" s="1475"/>
      <c r="E62" s="19"/>
      <c r="F62" s="19"/>
      <c r="G62" s="19"/>
      <c r="H62" s="19"/>
      <c r="I62" s="19"/>
      <c r="J62" s="19"/>
      <c r="K62" s="19"/>
      <c r="L62" s="19"/>
      <c r="M62" s="19"/>
      <c r="N62" s="19"/>
    </row>
    <row r="63" spans="1:15" x14ac:dyDescent="0.3">
      <c r="A63" s="1325"/>
      <c r="B63" s="1325"/>
      <c r="C63" s="1325"/>
      <c r="D63" s="1325"/>
      <c r="E63" s="1325"/>
      <c r="F63" s="1325"/>
      <c r="G63" s="1325"/>
      <c r="H63" s="1325"/>
      <c r="I63" s="1325"/>
      <c r="J63" s="1325"/>
      <c r="K63" s="1325"/>
      <c r="L63" s="1325"/>
      <c r="M63" s="1325"/>
      <c r="N63" s="1325"/>
      <c r="O63" s="1325"/>
    </row>
    <row r="64" spans="1:15" x14ac:dyDescent="0.3">
      <c r="A64" s="1325"/>
      <c r="B64" s="1325"/>
      <c r="C64" s="1325"/>
      <c r="D64" s="1325"/>
      <c r="E64" s="1325"/>
      <c r="F64" s="1325"/>
      <c r="G64" s="1325"/>
      <c r="H64" s="1325"/>
      <c r="I64" s="1325"/>
      <c r="J64" s="1325"/>
      <c r="K64" s="1325"/>
      <c r="L64" s="1325"/>
      <c r="M64" s="1325"/>
      <c r="N64" s="1325"/>
      <c r="O64" s="1325"/>
    </row>
    <row r="65" spans="1:16" x14ac:dyDescent="0.3">
      <c r="A65" s="1325"/>
      <c r="B65" s="1325"/>
      <c r="C65" s="1325"/>
      <c r="D65" s="1325"/>
      <c r="E65" s="1325"/>
      <c r="F65" s="1325"/>
      <c r="G65" s="1325"/>
      <c r="H65" s="1325"/>
      <c r="I65" s="1325"/>
      <c r="J65" s="1325"/>
      <c r="K65" s="1325"/>
      <c r="L65" s="1325"/>
      <c r="M65" s="1325"/>
      <c r="N65" s="1325"/>
      <c r="O65" s="1325"/>
    </row>
    <row r="66" spans="1:16" x14ac:dyDescent="0.3">
      <c r="A66" s="1325"/>
      <c r="B66" s="1325"/>
      <c r="C66" s="1325"/>
      <c r="D66" s="1325"/>
      <c r="E66" s="1325"/>
      <c r="F66" s="1325"/>
      <c r="G66" s="1325"/>
      <c r="H66" s="1325"/>
      <c r="I66" s="1325"/>
      <c r="J66" s="1325"/>
      <c r="K66" s="1325"/>
      <c r="L66" s="1325"/>
      <c r="M66" s="1325"/>
      <c r="N66" s="1325"/>
      <c r="O66" s="1325"/>
    </row>
    <row r="67" spans="1:16" ht="9" customHeight="1" x14ac:dyDescent="0.3">
      <c r="A67" s="47"/>
      <c r="N67" s="19"/>
      <c r="O67" s="19"/>
    </row>
    <row r="68" spans="1:16" hidden="1" x14ac:dyDescent="0.3">
      <c r="N68" s="19"/>
      <c r="O68" s="19"/>
    </row>
    <row r="69" spans="1:16" hidden="1" x14ac:dyDescent="0.3">
      <c r="N69" s="19"/>
      <c r="O69" s="1069">
        <v>0</v>
      </c>
    </row>
    <row r="70" spans="1:16" hidden="1" x14ac:dyDescent="0.3">
      <c r="N70" s="19"/>
      <c r="O70" s="1084"/>
    </row>
    <row r="71" spans="1:16" x14ac:dyDescent="0.3">
      <c r="N71" s="19"/>
      <c r="O71" s="1084"/>
    </row>
    <row r="72" spans="1:16" x14ac:dyDescent="0.3">
      <c r="N72" s="19"/>
      <c r="O72" s="1084"/>
    </row>
    <row r="73" spans="1:16" ht="15.6" x14ac:dyDescent="0.3">
      <c r="A73" s="1482" t="str">
        <f ca="1">REPLACE(CELL("filename",A73),1,FIND("]",CELL("filename",A73)),"")</f>
        <v>FHA Self-Sufficiency</v>
      </c>
      <c r="B73" s="1482"/>
      <c r="C73" s="1482"/>
      <c r="D73" s="1482"/>
      <c r="M73" s="1235" t="str">
        <f>Version</f>
        <v>Version 2026.1</v>
      </c>
      <c r="N73" s="1235"/>
      <c r="O73" s="1235"/>
      <c r="P73" s="495"/>
    </row>
    <row r="74" spans="1:16" ht="19.8" customHeight="1" x14ac:dyDescent="0.3"/>
    <row r="75" spans="1:16" ht="30.75" customHeight="1" x14ac:dyDescent="0.3"/>
    <row r="76" spans="1:16" ht="27.75" customHeight="1" x14ac:dyDescent="0.3"/>
    <row r="77" spans="1:16" ht="15" customHeight="1" x14ac:dyDescent="0.3"/>
    <row r="78" spans="1:16" ht="15" customHeight="1" x14ac:dyDescent="0.3"/>
    <row r="79" spans="1:16" ht="15" customHeight="1" x14ac:dyDescent="0.3"/>
    <row r="80" spans="1:16" ht="9" customHeight="1" x14ac:dyDescent="0.3"/>
    <row r="84" ht="9" customHeight="1" x14ac:dyDescent="0.3"/>
    <row r="87" ht="9.6" customHeight="1" x14ac:dyDescent="0.3"/>
    <row r="90" ht="9.6" customHeight="1" x14ac:dyDescent="0.3"/>
    <row r="94" ht="56.25" customHeight="1" x14ac:dyDescent="0.3"/>
    <row r="95" ht="15" customHeight="1" x14ac:dyDescent="0.3"/>
    <row r="96" ht="13.2" customHeight="1" x14ac:dyDescent="0.3"/>
    <row r="97" ht="13.8" customHeight="1" x14ac:dyDescent="0.3"/>
  </sheetData>
  <sheetProtection algorithmName="SHA-512" hashValue="khbV4GA3AtLXlsEQzUEMHHDMZ288mt4UuN5xGdxXtWQy0ci/o2ltpdt+avLft+TLXFPqpSWTUsY69+bj0HQ3Jg==" saltValue="2gRbQ7x9spa5UwDWZ1GRbQ==" spinCount="100000" sheet="1" objects="1" scenarios="1" selectLockedCells="1"/>
  <mergeCells count="35">
    <mergeCell ref="A2:O2"/>
    <mergeCell ref="A3:O4"/>
    <mergeCell ref="A9:H11"/>
    <mergeCell ref="J9:O10"/>
    <mergeCell ref="J11:O11"/>
    <mergeCell ref="D7:H7"/>
    <mergeCell ref="A7:C7"/>
    <mergeCell ref="C15:J15"/>
    <mergeCell ref="K15:M15"/>
    <mergeCell ref="C16:J16"/>
    <mergeCell ref="C17:F17"/>
    <mergeCell ref="G17:H18"/>
    <mergeCell ref="J17:L18"/>
    <mergeCell ref="C26:H26"/>
    <mergeCell ref="K26:M26"/>
    <mergeCell ref="G24:H24"/>
    <mergeCell ref="J24:L24"/>
    <mergeCell ref="I21:K21"/>
    <mergeCell ref="C21:H21"/>
    <mergeCell ref="E1:L1"/>
    <mergeCell ref="M73:O73"/>
    <mergeCell ref="H44:K45"/>
    <mergeCell ref="D45:F45"/>
    <mergeCell ref="D44:F44"/>
    <mergeCell ref="G44:G45"/>
    <mergeCell ref="A73:D73"/>
    <mergeCell ref="A62:D62"/>
    <mergeCell ref="A63:O66"/>
    <mergeCell ref="C39:H40"/>
    <mergeCell ref="K39:M40"/>
    <mergeCell ref="B39:B40"/>
    <mergeCell ref="C34:H34"/>
    <mergeCell ref="K34:M34"/>
    <mergeCell ref="C29:H29"/>
    <mergeCell ref="K29:M29"/>
  </mergeCells>
  <conditionalFormatting sqref="J9:O11">
    <cfRule type="expression" dxfId="14" priority="7">
      <formula>$O$69=1</formula>
    </cfRule>
  </conditionalFormatting>
  <conditionalFormatting sqref="K39">
    <cfRule type="expression" dxfId="13" priority="60">
      <formula>AND($K$29&lt;&gt;"",$K$34&lt;&gt;"",$K$39&gt;=0)</formula>
    </cfRule>
    <cfRule type="expression" dxfId="12" priority="61">
      <formula>$K$39&lt;0</formula>
    </cfRule>
  </conditionalFormatting>
  <conditionalFormatting sqref="I37:L37 H38:L38 I41:L41 H44 I40:J40">
    <cfRule type="expression" dxfId="11" priority="62">
      <formula>AND($K$29&lt;&gt;"",$K$34&lt;&gt;"",$K$39&lt;0)</formula>
    </cfRule>
  </conditionalFormatting>
  <conditionalFormatting sqref="H44:K45">
    <cfRule type="expression" dxfId="10" priority="5">
      <formula>$H$44="Error: Lines 1     &amp; 2 Required"</formula>
    </cfRule>
  </conditionalFormatting>
  <conditionalFormatting sqref="I21:K21">
    <cfRule type="expression" dxfId="9" priority="3">
      <formula>AND($K$34&lt;&gt;"",$I$21="")</formula>
    </cfRule>
  </conditionalFormatting>
  <conditionalFormatting sqref="K15:M15">
    <cfRule type="expression" dxfId="8" priority="2">
      <formula>AND($K$34&lt;&gt;"",$K$15="")</formula>
    </cfRule>
  </conditionalFormatting>
  <conditionalFormatting sqref="E1:L1">
    <cfRule type="expression" dxfId="7" priority="1">
      <formula>$E$1&lt;&gt;""</formula>
    </cfRule>
  </conditionalFormatting>
  <printOptions horizontalCentered="1"/>
  <pageMargins left="0.25" right="0.25" top="0.25" bottom="0.25" header="0.3" footer="0.3"/>
  <pageSetup paperSize="5" scale="93" fitToHeight="0" orientation="portrait" r:id="rId1"/>
  <rowBreaks count="1" manualBreakCount="1">
    <brk id="7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57071" r:id="rId4" name="Option Button 15">
              <controlPr defaultSize="0" autoFill="0" autoLine="0" autoPict="0">
                <anchor moveWithCells="1" sizeWithCells="1">
                  <from>
                    <xdr:col>6</xdr:col>
                    <xdr:colOff>45720</xdr:colOff>
                    <xdr:row>9</xdr:row>
                    <xdr:rowOff>76200</xdr:rowOff>
                  </from>
                  <to>
                    <xdr:col>6</xdr:col>
                    <xdr:colOff>556260</xdr:colOff>
                    <xdr:row>10</xdr:row>
                    <xdr:rowOff>129540</xdr:rowOff>
                  </to>
                </anchor>
              </controlPr>
            </control>
          </mc:Choice>
        </mc:AlternateContent>
        <mc:AlternateContent xmlns:mc="http://schemas.openxmlformats.org/markup-compatibility/2006">
          <mc:Choice Requires="x14">
            <control shapeId="557072" r:id="rId5" name="Option Button 16">
              <controlPr defaultSize="0" autoFill="0" autoLine="0" autoPict="0">
                <anchor moveWithCells="1" sizeWithCells="1">
                  <from>
                    <xdr:col>6</xdr:col>
                    <xdr:colOff>579120</xdr:colOff>
                    <xdr:row>9</xdr:row>
                    <xdr:rowOff>76200</xdr:rowOff>
                  </from>
                  <to>
                    <xdr:col>7</xdr:col>
                    <xdr:colOff>350520</xdr:colOff>
                    <xdr:row>10</xdr:row>
                    <xdr:rowOff>129540</xdr:rowOff>
                  </to>
                </anchor>
              </controlPr>
            </control>
          </mc:Choice>
        </mc:AlternateContent>
        <mc:AlternateContent xmlns:mc="http://schemas.openxmlformats.org/markup-compatibility/2006">
          <mc:Choice Requires="x14">
            <control shapeId="557073" r:id="rId6" name="Group Box 17">
              <controlPr defaultSize="0" autoFill="0" autoPict="0">
                <anchor moveWithCells="1" sizeWithCells="1">
                  <from>
                    <xdr:col>5</xdr:col>
                    <xdr:colOff>205740</xdr:colOff>
                    <xdr:row>8</xdr:row>
                    <xdr:rowOff>45720</xdr:rowOff>
                  </from>
                  <to>
                    <xdr:col>8</xdr:col>
                    <xdr:colOff>15240</xdr:colOff>
                    <xdr:row>12</xdr:row>
                    <xdr:rowOff>30480</xdr:rowOff>
                  </to>
                </anchor>
              </controlPr>
            </control>
          </mc:Choice>
        </mc:AlternateContent>
        <mc:AlternateContent xmlns:mc="http://schemas.openxmlformats.org/markup-compatibility/2006">
          <mc:Choice Requires="x14">
            <control shapeId="557076" r:id="rId7" name="Button 20">
              <controlPr defaultSize="0" print="0" autoFill="0" autoPict="0" macro="[0]!IW_Copy">
                <anchor moveWithCells="1" sizeWithCells="1">
                  <from>
                    <xdr:col>2</xdr:col>
                    <xdr:colOff>335280</xdr:colOff>
                    <xdr:row>0</xdr:row>
                    <xdr:rowOff>7620</xdr:rowOff>
                  </from>
                  <to>
                    <xdr:col>2</xdr:col>
                    <xdr:colOff>769620</xdr:colOff>
                    <xdr:row>1</xdr:row>
                    <xdr:rowOff>106680</xdr:rowOff>
                  </to>
                </anchor>
              </controlPr>
            </control>
          </mc:Choice>
        </mc:AlternateContent>
        <mc:AlternateContent xmlns:mc="http://schemas.openxmlformats.org/markup-compatibility/2006">
          <mc:Choice Requires="x14">
            <control shapeId="557077" r:id="rId8" name="Button 21">
              <controlPr defaultSize="0" print="0" autoFill="0" autoPict="0" macro="[0]!IW_Home">
                <anchor moveWithCells="1" sizeWithCells="1">
                  <from>
                    <xdr:col>1</xdr:col>
                    <xdr:colOff>0</xdr:colOff>
                    <xdr:row>0</xdr:row>
                    <xdr:rowOff>7620</xdr:rowOff>
                  </from>
                  <to>
                    <xdr:col>2</xdr:col>
                    <xdr:colOff>281940</xdr:colOff>
                    <xdr:row>1</xdr:row>
                    <xdr:rowOff>106680</xdr:rowOff>
                  </to>
                </anchor>
              </controlPr>
            </control>
          </mc:Choice>
        </mc:AlternateContent>
        <mc:AlternateContent xmlns:mc="http://schemas.openxmlformats.org/markup-compatibility/2006">
          <mc:Choice Requires="x14">
            <control shapeId="557078" r:id="rId9" name="Button 22">
              <controlPr defaultSize="0" print="0" autoFill="0" autoPict="0" macro="[0]!FHASelfSuf_Clear">
                <anchor moveWithCells="1" sizeWithCells="1">
                  <from>
                    <xdr:col>2</xdr:col>
                    <xdr:colOff>822960</xdr:colOff>
                    <xdr:row>0</xdr:row>
                    <xdr:rowOff>7620</xdr:rowOff>
                  </from>
                  <to>
                    <xdr:col>3</xdr:col>
                    <xdr:colOff>342900</xdr:colOff>
                    <xdr:row>1</xdr:row>
                    <xdr:rowOff>106680</xdr:rowOff>
                  </to>
                </anchor>
              </controlPr>
            </control>
          </mc:Choice>
        </mc:AlternateContent>
        <mc:AlternateContent xmlns:mc="http://schemas.openxmlformats.org/markup-compatibility/2006">
          <mc:Choice Requires="x14">
            <control shapeId="557079" r:id="rId10" name="Button 23">
              <controlPr defaultSize="0" print="0" autoFill="0" autoPict="0" macro="[0]!FHASelfSuf_Hide">
                <anchor moveWithCells="1" sizeWithCells="1">
                  <from>
                    <xdr:col>1</xdr:col>
                    <xdr:colOff>7620</xdr:colOff>
                    <xdr:row>1</xdr:row>
                    <xdr:rowOff>160020</xdr:rowOff>
                  </from>
                  <to>
                    <xdr:col>2</xdr:col>
                    <xdr:colOff>289560</xdr:colOff>
                    <xdr:row>1</xdr:row>
                    <xdr:rowOff>457200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AC983-434A-4A6D-B4E1-2EC3A9C11D3D}">
  <sheetPr codeName="Sheet35">
    <tabColor rgb="FF92D050"/>
    <pageSetUpPr fitToPage="1"/>
  </sheetPr>
  <dimension ref="A2:Q91"/>
  <sheetViews>
    <sheetView showGridLines="0" showRowColHeaders="0" showRuler="0" view="pageLayout" zoomScale="90" zoomScaleNormal="100" zoomScalePageLayoutView="90" workbookViewId="0">
      <selection activeCell="E7" sqref="E7:H7"/>
    </sheetView>
  </sheetViews>
  <sheetFormatPr defaultColWidth="9.109375" defaultRowHeight="14.4" x14ac:dyDescent="0.3"/>
  <cols>
    <col min="1" max="2" width="2.109375" customWidth="1"/>
    <col min="3" max="3" width="7" customWidth="1"/>
    <col min="4" max="4" width="4.44140625" customWidth="1"/>
    <col min="5" max="5" width="8.44140625" customWidth="1"/>
    <col min="6" max="6" width="4.5546875" customWidth="1"/>
    <col min="7" max="7" width="15.88671875" customWidth="1"/>
    <col min="8" max="8" width="11" customWidth="1"/>
    <col min="9" max="9" width="8.21875" customWidth="1"/>
    <col min="10" max="10" width="3.44140625" customWidth="1"/>
    <col min="11" max="11" width="9.109375" customWidth="1"/>
    <col min="12" max="12" width="3.77734375" customWidth="1"/>
    <col min="13" max="13" width="3.6640625" customWidth="1"/>
    <col min="14" max="14" width="11.77734375" customWidth="1"/>
    <col min="15" max="15" width="7.77734375" customWidth="1"/>
    <col min="16" max="16" width="2" customWidth="1"/>
  </cols>
  <sheetData>
    <row r="2" spans="1:16" ht="36.75" customHeight="1" x14ac:dyDescent="0.5">
      <c r="A2" s="1321" t="s">
        <v>997</v>
      </c>
      <c r="B2" s="1321"/>
      <c r="C2" s="1321"/>
      <c r="D2" s="1321"/>
      <c r="E2" s="1321"/>
      <c r="F2" s="1321"/>
      <c r="G2" s="1321"/>
      <c r="H2" s="1321"/>
      <c r="I2" s="1321"/>
      <c r="J2" s="1321"/>
      <c r="K2" s="1321"/>
      <c r="L2" s="1321"/>
      <c r="M2" s="1321"/>
      <c r="N2" s="1321"/>
      <c r="O2" s="1321"/>
      <c r="P2" s="1321"/>
    </row>
    <row r="3" spans="1:16" ht="3.6" customHeight="1" x14ac:dyDescent="0.3">
      <c r="A3" s="1322" t="s">
        <v>1004</v>
      </c>
      <c r="B3" s="1322"/>
      <c r="C3" s="1322"/>
      <c r="D3" s="1322"/>
      <c r="E3" s="1322"/>
      <c r="F3" s="1322"/>
      <c r="G3" s="1322"/>
      <c r="H3" s="1322"/>
      <c r="I3" s="1322"/>
      <c r="J3" s="1322"/>
      <c r="K3" s="1322"/>
      <c r="L3" s="1322"/>
      <c r="M3" s="1322"/>
      <c r="N3" s="1322"/>
      <c r="O3" s="1322"/>
      <c r="P3" s="1322"/>
    </row>
    <row r="4" spans="1:16" x14ac:dyDescent="0.3">
      <c r="A4" s="1322"/>
      <c r="B4" s="1322"/>
      <c r="C4" s="1322"/>
      <c r="D4" s="1322"/>
      <c r="E4" s="1322"/>
      <c r="F4" s="1322"/>
      <c r="G4" s="1322"/>
      <c r="H4" s="1322"/>
      <c r="I4" s="1322"/>
      <c r="J4" s="1322"/>
      <c r="K4" s="1322"/>
      <c r="L4" s="1322"/>
      <c r="M4" s="1322"/>
      <c r="N4" s="1322"/>
      <c r="O4" s="1322"/>
      <c r="P4" s="1322"/>
    </row>
    <row r="5" spans="1:16" ht="21" customHeight="1" x14ac:dyDescent="0.3"/>
    <row r="6" spans="1:16" ht="30" customHeight="1" x14ac:dyDescent="0.3">
      <c r="K6" s="1737" t="s">
        <v>1099</v>
      </c>
      <c r="L6" s="1737"/>
      <c r="M6" s="1737"/>
      <c r="N6" s="1737"/>
      <c r="O6" s="1737"/>
    </row>
    <row r="7" spans="1:16" ht="15.75" customHeight="1" x14ac:dyDescent="0.3">
      <c r="A7" s="1228" t="s">
        <v>1016</v>
      </c>
      <c r="B7" s="1228"/>
      <c r="C7" s="1228"/>
      <c r="D7" s="1228"/>
      <c r="E7" s="1359"/>
      <c r="F7" s="1359"/>
      <c r="G7" s="1359"/>
      <c r="H7" s="1359"/>
      <c r="I7" s="10"/>
      <c r="J7" s="92"/>
      <c r="K7" s="1737"/>
      <c r="L7" s="1737"/>
      <c r="M7" s="1737"/>
      <c r="N7" s="1737"/>
      <c r="O7" s="1737"/>
    </row>
    <row r="8" spans="1:16" ht="24" customHeight="1" x14ac:dyDescent="0.3"/>
    <row r="9" spans="1:16" ht="7.2" customHeight="1" x14ac:dyDescent="0.35">
      <c r="A9" s="75"/>
      <c r="B9" s="75"/>
      <c r="C9" s="75"/>
      <c r="D9" s="75"/>
      <c r="E9" s="75"/>
      <c r="F9" s="75"/>
      <c r="G9" s="75"/>
      <c r="H9" s="75"/>
      <c r="I9" s="75"/>
      <c r="J9" s="241"/>
      <c r="K9" s="557"/>
      <c r="L9" s="557"/>
      <c r="M9" s="557"/>
      <c r="N9" s="557"/>
      <c r="O9" s="557"/>
      <c r="P9" s="557"/>
    </row>
    <row r="10" spans="1:16" ht="34.799999999999997" customHeight="1" x14ac:dyDescent="0.3">
      <c r="A10" s="2478" t="s">
        <v>1011</v>
      </c>
      <c r="B10" s="2027"/>
      <c r="C10" s="2027"/>
      <c r="D10" s="2027"/>
      <c r="E10" s="2027"/>
      <c r="F10" s="2027"/>
      <c r="G10" s="2027"/>
      <c r="H10" s="2027"/>
      <c r="I10" s="2027"/>
      <c r="J10" s="2027"/>
      <c r="K10" s="2027"/>
      <c r="L10" s="2027"/>
      <c r="M10" s="2027"/>
      <c r="N10" s="2027"/>
      <c r="O10" s="2027"/>
      <c r="P10" s="2027"/>
    </row>
    <row r="11" spans="1:16" ht="14.4" customHeight="1" x14ac:dyDescent="0.3"/>
    <row r="12" spans="1:16" ht="15.6" customHeight="1" x14ac:dyDescent="0.3">
      <c r="B12" s="531" t="s">
        <v>142</v>
      </c>
      <c r="C12" s="1791" t="s">
        <v>999</v>
      </c>
      <c r="D12" s="1791"/>
      <c r="E12" s="1791"/>
      <c r="F12" s="1791"/>
      <c r="G12" s="1791"/>
      <c r="H12" s="1791"/>
      <c r="I12" s="1791"/>
      <c r="J12" s="1791"/>
      <c r="K12" s="1791"/>
      <c r="L12" s="1957"/>
      <c r="M12" s="1957"/>
      <c r="N12" s="1957"/>
    </row>
    <row r="13" spans="1:16" ht="15.6" customHeight="1" x14ac:dyDescent="0.3">
      <c r="C13" s="2273"/>
      <c r="D13" s="2273"/>
      <c r="E13" s="2273"/>
      <c r="F13" s="2273"/>
      <c r="G13" s="2273"/>
      <c r="H13" s="2273"/>
      <c r="I13" s="2273"/>
      <c r="J13" s="2273"/>
      <c r="K13" s="2273"/>
    </row>
    <row r="14" spans="1:16" ht="15.6" customHeight="1" x14ac:dyDescent="0.3">
      <c r="B14" s="531" t="s">
        <v>143</v>
      </c>
      <c r="C14" s="1791" t="s">
        <v>1000</v>
      </c>
      <c r="D14" s="1791"/>
      <c r="E14" s="1791"/>
      <c r="F14" s="1791"/>
      <c r="G14" s="1791"/>
      <c r="H14" s="1791"/>
      <c r="I14" s="1791"/>
      <c r="J14" s="626" t="s">
        <v>248</v>
      </c>
      <c r="K14" s="2479">
        <v>0</v>
      </c>
      <c r="L14" s="2479"/>
      <c r="M14" s="6"/>
    </row>
    <row r="15" spans="1:16" ht="15.6" customHeight="1" x14ac:dyDescent="0.3">
      <c r="J15" s="374"/>
    </row>
    <row r="16" spans="1:16" ht="15.6" customHeight="1" x14ac:dyDescent="0.3">
      <c r="B16" s="531" t="s">
        <v>145</v>
      </c>
      <c r="C16" s="1791" t="s">
        <v>1001</v>
      </c>
      <c r="D16" s="1791"/>
      <c r="E16" s="1791"/>
      <c r="F16" s="1791"/>
      <c r="G16" s="1791"/>
      <c r="H16" s="1791"/>
      <c r="I16" s="1791"/>
      <c r="J16" s="604"/>
      <c r="K16" s="6"/>
      <c r="L16" s="2268">
        <f>IF(AND(L12&lt;&gt;"",K14&lt;&gt;"%"),L12*K14,0)</f>
        <v>0</v>
      </c>
      <c r="M16" s="2268"/>
      <c r="N16" s="2268"/>
    </row>
    <row r="17" spans="2:15" ht="15.6" customHeight="1" x14ac:dyDescent="0.3">
      <c r="C17" s="535"/>
      <c r="D17" s="535"/>
      <c r="E17" s="535"/>
      <c r="F17" s="535"/>
      <c r="G17" s="535"/>
      <c r="H17" s="535"/>
      <c r="I17" s="535"/>
      <c r="J17" s="374"/>
    </row>
    <row r="18" spans="2:15" ht="15.6" customHeight="1" x14ac:dyDescent="0.3">
      <c r="B18" s="531" t="s">
        <v>146</v>
      </c>
      <c r="C18" s="1791" t="s">
        <v>1017</v>
      </c>
      <c r="D18" s="1791"/>
      <c r="E18" s="1791"/>
      <c r="F18" s="1791"/>
      <c r="G18" s="1791"/>
      <c r="H18" s="1791"/>
      <c r="I18" s="1791"/>
      <c r="J18" s="626" t="s">
        <v>576</v>
      </c>
      <c r="K18" s="2480">
        <v>0</v>
      </c>
      <c r="L18" s="2480"/>
      <c r="M18" s="6"/>
    </row>
    <row r="19" spans="2:15" ht="15.6" customHeight="1" x14ac:dyDescent="0.3"/>
    <row r="20" spans="2:15" ht="15.6" customHeight="1" x14ac:dyDescent="0.3">
      <c r="B20" s="531" t="s">
        <v>147</v>
      </c>
      <c r="C20" s="1791" t="s">
        <v>1008</v>
      </c>
      <c r="D20" s="1791"/>
      <c r="E20" s="1791"/>
      <c r="F20" s="1791"/>
      <c r="G20" s="1791"/>
      <c r="H20" s="1791"/>
      <c r="I20" s="1791"/>
      <c r="K20" s="532"/>
      <c r="L20" s="2268">
        <f>IF(AND(K18&lt;&gt;"",L16&lt;&gt;0),L16*K18,0)</f>
        <v>0</v>
      </c>
      <c r="M20" s="2268"/>
      <c r="N20" s="2268"/>
      <c r="O20" s="33"/>
    </row>
    <row r="21" spans="2:15" ht="14.4" customHeight="1" x14ac:dyDescent="0.3">
      <c r="C21" s="421"/>
      <c r="D21" s="421"/>
      <c r="E21" s="421"/>
      <c r="F21" s="421"/>
      <c r="G21" s="421"/>
      <c r="H21" s="421"/>
      <c r="I21" s="421"/>
      <c r="L21" s="2482" t="s">
        <v>1005</v>
      </c>
      <c r="M21" s="2483"/>
      <c r="N21" s="2483"/>
    </row>
    <row r="22" spans="2:15" ht="13.8" customHeight="1" x14ac:dyDescent="0.3">
      <c r="L22" s="2484"/>
      <c r="M22" s="2484"/>
      <c r="N22" s="2484"/>
    </row>
    <row r="23" spans="2:15" ht="15.75" customHeight="1" thickBot="1" x14ac:dyDescent="0.35">
      <c r="B23" s="531" t="s">
        <v>148</v>
      </c>
      <c r="C23" s="1836" t="s">
        <v>1009</v>
      </c>
      <c r="D23" s="1836"/>
      <c r="E23" s="1836"/>
      <c r="F23" s="1836"/>
      <c r="G23" s="1836"/>
      <c r="H23" s="1836"/>
      <c r="I23" s="1836"/>
      <c r="L23" s="1963">
        <f>IF(L20&lt;&gt;0,L20/12,0)</f>
        <v>0</v>
      </c>
      <c r="M23" s="1963"/>
      <c r="N23" s="1963"/>
    </row>
    <row r="24" spans="2:15" ht="15.75" customHeight="1" thickTop="1" x14ac:dyDescent="0.3">
      <c r="I24" s="2477" t="s">
        <v>1010</v>
      </c>
      <c r="J24" s="2477"/>
      <c r="K24" s="2477"/>
      <c r="L24" s="2474" t="str">
        <f>IF(O62=TRUE,"Limit not being applied",IF(L23&gt;166.66,"Exceeds limit, Reduced to $166.66",IF(AND(L23&lt;&gt;0,L23&lt;=166.66),"Does not 
exceed limit","")))</f>
        <v/>
      </c>
      <c r="M24" s="2474"/>
      <c r="N24" s="2474"/>
      <c r="O24" s="627"/>
    </row>
    <row r="25" spans="2:15" ht="15.75" customHeight="1" x14ac:dyDescent="0.3">
      <c r="B25" s="531" t="s">
        <v>149</v>
      </c>
      <c r="C25" s="1791" t="s">
        <v>1003</v>
      </c>
      <c r="D25" s="1791"/>
      <c r="E25" s="1791"/>
      <c r="F25" s="1791"/>
      <c r="G25" s="1791"/>
      <c r="H25" s="1791"/>
      <c r="I25" s="2477"/>
      <c r="J25" s="2477"/>
      <c r="K25" s="2477"/>
      <c r="L25" s="2475"/>
      <c r="M25" s="2475"/>
      <c r="N25" s="2475"/>
      <c r="O25" s="627"/>
    </row>
    <row r="26" spans="2:15" ht="15.6" customHeight="1" x14ac:dyDescent="0.3">
      <c r="E26" s="3"/>
      <c r="F26" s="3"/>
      <c r="G26" s="3"/>
      <c r="H26" s="533"/>
      <c r="I26" s="2477"/>
      <c r="J26" s="2477"/>
      <c r="K26" s="2477"/>
      <c r="L26" s="2476"/>
      <c r="M26" s="2476"/>
      <c r="N26" s="2476"/>
      <c r="O26" s="627"/>
    </row>
    <row r="27" spans="2:15" ht="10.8" customHeight="1" x14ac:dyDescent="0.3">
      <c r="B27" s="2292" t="s">
        <v>150</v>
      </c>
      <c r="C27" s="1292" t="s">
        <v>1002</v>
      </c>
      <c r="D27" s="1292"/>
      <c r="E27" s="1292"/>
      <c r="F27" s="1292"/>
      <c r="G27" s="1292"/>
      <c r="H27" s="1292"/>
      <c r="I27" s="1292"/>
      <c r="J27" s="74"/>
      <c r="K27" s="74"/>
      <c r="L27" s="2060">
        <f>IF(AND(O62=FALSE,L23&gt;166.66),166.66,L23)</f>
        <v>0</v>
      </c>
      <c r="M27" s="2060"/>
      <c r="N27" s="2060"/>
      <c r="O27" s="47">
        <f>IF(OR(O60=FALSE,O61=TRUE),0,L27)</f>
        <v>0</v>
      </c>
    </row>
    <row r="28" spans="2:15" ht="11.4" customHeight="1" thickBot="1" x14ac:dyDescent="0.35">
      <c r="B28" s="2292"/>
      <c r="C28" s="1292"/>
      <c r="D28" s="1292"/>
      <c r="E28" s="1292"/>
      <c r="F28" s="1292"/>
      <c r="G28" s="1292"/>
      <c r="H28" s="1292"/>
      <c r="I28" s="1292"/>
      <c r="J28" s="534"/>
      <c r="K28" s="534"/>
      <c r="L28" s="1915"/>
      <c r="M28" s="1915"/>
      <c r="N28" s="1915"/>
    </row>
    <row r="29" spans="2:15" ht="3" customHeight="1" thickTop="1" x14ac:dyDescent="0.3">
      <c r="E29" s="502"/>
      <c r="F29" s="502"/>
      <c r="G29" s="502"/>
      <c r="H29" s="533"/>
      <c r="J29" s="534"/>
      <c r="K29" s="534"/>
      <c r="L29" s="534"/>
      <c r="M29" s="534"/>
    </row>
    <row r="30" spans="2:15" ht="15.75" customHeight="1" x14ac:dyDescent="0.3">
      <c r="J30" s="534"/>
      <c r="K30" s="2481" t="str">
        <f ca="1">IF(O61=TRUE,"Omitted from Income",IF(AND(O60=FALSE,O61=FALSE,L27&lt;&gt;0),"Not Added to Income:",IF(AND(L27&lt;&gt;0,O60=TRUE,O61=FALSE,A63="MCC Income Credit"),"Added",IF(AND(L27&lt;&gt;0,O60=TRUE,O61=FALSE,A63&lt;&gt;"MCC Income Credit"),"Needs to be added to",""))))</f>
        <v/>
      </c>
      <c r="L30" s="2481"/>
      <c r="M30" s="2481"/>
      <c r="N30" s="2481"/>
      <c r="O30" s="2481"/>
    </row>
    <row r="31" spans="2:15" ht="15.75" customHeight="1" x14ac:dyDescent="0.3">
      <c r="J31" s="534"/>
      <c r="K31" s="2481" t="str">
        <f ca="1">IF(AND(O60=FALSE,O61=FALSE,L27&lt;&gt;0),"Additional Step Required, See below",IF(AND(L27&lt;&gt;0,O60=TRUE,O61=FALSE,A63&lt;&gt;"MCC Income Credit"),"Income Summary wkst Manally",""))</f>
        <v/>
      </c>
      <c r="L31" s="2481"/>
      <c r="M31" s="2481"/>
      <c r="N31" s="2481"/>
      <c r="O31" s="2481"/>
    </row>
    <row r="32" spans="2:15" ht="15.75" customHeight="1" x14ac:dyDescent="0.3">
      <c r="D32" s="1470" t="s">
        <v>1006</v>
      </c>
      <c r="E32" s="1470"/>
      <c r="F32" s="581"/>
      <c r="G32" s="3"/>
      <c r="H32" s="533"/>
      <c r="I32" s="534"/>
      <c r="J32" s="534"/>
      <c r="K32" s="628"/>
      <c r="L32" s="628"/>
      <c r="M32" s="628"/>
      <c r="N32" s="628"/>
      <c r="O32" s="628"/>
    </row>
    <row r="33" spans="4:15" ht="15.75" customHeight="1" x14ac:dyDescent="0.3">
      <c r="D33" s="1857" t="s">
        <v>1018</v>
      </c>
      <c r="E33" s="1857"/>
      <c r="F33" s="1857"/>
      <c r="G33" s="1857"/>
      <c r="H33" s="1857"/>
      <c r="I33" s="1857"/>
      <c r="J33" s="1857"/>
      <c r="K33" s="1857"/>
      <c r="L33" s="1857"/>
      <c r="M33" s="1857"/>
      <c r="N33" s="1857"/>
      <c r="O33" s="1857"/>
    </row>
    <row r="34" spans="4:15" ht="15.75" customHeight="1" x14ac:dyDescent="0.3">
      <c r="D34" s="1857"/>
      <c r="E34" s="1857"/>
      <c r="F34" s="1857"/>
      <c r="G34" s="1857"/>
      <c r="H34" s="1857"/>
      <c r="I34" s="1857"/>
      <c r="J34" s="1857"/>
      <c r="K34" s="1857"/>
      <c r="L34" s="1857"/>
      <c r="M34" s="1857"/>
      <c r="N34" s="1857"/>
      <c r="O34" s="1857"/>
    </row>
    <row r="35" spans="4:15" ht="15.75" customHeight="1" x14ac:dyDescent="0.3"/>
    <row r="36" spans="4:15" ht="15.75" customHeight="1" x14ac:dyDescent="0.3"/>
    <row r="37" spans="4:15" ht="15.75" customHeight="1" x14ac:dyDescent="0.3"/>
    <row r="38" spans="4:15" ht="15.75" customHeight="1" x14ac:dyDescent="0.3"/>
    <row r="39" spans="4:15" ht="15.75" customHeight="1" x14ac:dyDescent="0.3"/>
    <row r="40" spans="4:15" ht="15.75" customHeight="1" x14ac:dyDescent="0.3"/>
    <row r="41" spans="4:15" ht="15.75" customHeight="1" x14ac:dyDescent="0.3"/>
    <row r="42" spans="4:15" ht="12" customHeight="1" x14ac:dyDescent="0.3"/>
    <row r="43" spans="4:15" ht="15.75" customHeight="1" x14ac:dyDescent="0.3"/>
    <row r="44" spans="4:15" ht="15.75" customHeight="1" x14ac:dyDescent="0.3"/>
    <row r="45" spans="4:15" ht="16.5" customHeight="1" x14ac:dyDescent="0.3"/>
    <row r="46" spans="4:15" ht="15.6" customHeight="1" x14ac:dyDescent="0.3"/>
    <row r="47" spans="4:15" ht="16.2" customHeight="1" x14ac:dyDescent="0.3"/>
    <row r="48" spans="4:15" ht="17.399999999999999" customHeight="1" x14ac:dyDescent="0.3"/>
    <row r="49" spans="1:17" ht="21" customHeight="1" x14ac:dyDescent="0.3"/>
    <row r="50" spans="1:17" ht="15.75" customHeight="1" x14ac:dyDescent="0.3"/>
    <row r="51" spans="1:17" ht="18" customHeight="1" x14ac:dyDescent="0.3"/>
    <row r="53" spans="1:17" ht="7.5" customHeight="1" x14ac:dyDescent="0.3"/>
    <row r="54" spans="1:17" ht="10.5" customHeight="1" x14ac:dyDescent="0.3"/>
    <row r="55" spans="1:17" ht="14.4" customHeight="1" x14ac:dyDescent="0.3">
      <c r="A55" s="1475" t="s">
        <v>1074</v>
      </c>
      <c r="B55" s="1475"/>
      <c r="C55" s="1475"/>
      <c r="D55" s="1475"/>
      <c r="E55" s="1475"/>
      <c r="F55" s="1475"/>
      <c r="G55" s="1475"/>
      <c r="H55" s="19"/>
      <c r="I55" s="19"/>
      <c r="J55" s="19"/>
      <c r="K55" s="19"/>
      <c r="L55" s="19"/>
      <c r="M55" s="19"/>
      <c r="N55" s="19"/>
      <c r="O55" s="19"/>
    </row>
    <row r="56" spans="1:17" x14ac:dyDescent="0.3">
      <c r="A56" s="1325"/>
      <c r="B56" s="1325"/>
      <c r="C56" s="1325"/>
      <c r="D56" s="1325"/>
      <c r="E56" s="1325"/>
      <c r="F56" s="1325"/>
      <c r="G56" s="1325"/>
      <c r="H56" s="1325"/>
      <c r="I56" s="1325"/>
      <c r="J56" s="1325"/>
      <c r="K56" s="1325"/>
      <c r="L56" s="1325"/>
      <c r="M56" s="1325"/>
      <c r="N56" s="1325"/>
      <c r="O56" s="1325"/>
      <c r="P56" s="1325"/>
    </row>
    <row r="57" spans="1:17" x14ac:dyDescent="0.3">
      <c r="A57" s="1325"/>
      <c r="B57" s="1325"/>
      <c r="C57" s="1325"/>
      <c r="D57" s="1325"/>
      <c r="E57" s="1325"/>
      <c r="F57" s="1325"/>
      <c r="G57" s="1325"/>
      <c r="H57" s="1325"/>
      <c r="I57" s="1325"/>
      <c r="J57" s="1325"/>
      <c r="K57" s="1325"/>
      <c r="L57" s="1325"/>
      <c r="M57" s="1325"/>
      <c r="N57" s="1325"/>
      <c r="O57" s="1325"/>
      <c r="P57" s="1325"/>
    </row>
    <row r="58" spans="1:17" x14ac:dyDescent="0.3">
      <c r="A58" s="1325"/>
      <c r="B58" s="1325"/>
      <c r="C58" s="1325"/>
      <c r="D58" s="1325"/>
      <c r="E58" s="1325"/>
      <c r="F58" s="1325"/>
      <c r="G58" s="1325"/>
      <c r="H58" s="1325"/>
      <c r="I58" s="1325"/>
      <c r="J58" s="1325"/>
      <c r="K58" s="1325"/>
      <c r="L58" s="1325"/>
      <c r="M58" s="1325"/>
      <c r="N58" s="1325"/>
      <c r="O58" s="1325"/>
      <c r="P58" s="1325"/>
    </row>
    <row r="59" spans="1:17" x14ac:dyDescent="0.3">
      <c r="A59" s="1325"/>
      <c r="B59" s="1325"/>
      <c r="C59" s="1325"/>
      <c r="D59" s="1325"/>
      <c r="E59" s="1325"/>
      <c r="F59" s="1325"/>
      <c r="G59" s="1325"/>
      <c r="H59" s="1325"/>
      <c r="I59" s="1325"/>
      <c r="J59" s="1325"/>
      <c r="K59" s="1325"/>
      <c r="L59" s="1325"/>
      <c r="M59" s="1325"/>
      <c r="N59" s="1325"/>
      <c r="O59" s="1325"/>
      <c r="P59" s="1325"/>
    </row>
    <row r="60" spans="1:17" ht="9" hidden="1" customHeight="1" x14ac:dyDescent="0.3">
      <c r="A60" s="47"/>
      <c r="O60" s="1069" t="b">
        <v>0</v>
      </c>
      <c r="P60" s="19"/>
    </row>
    <row r="61" spans="1:17" hidden="1" x14ac:dyDescent="0.3">
      <c r="O61" s="1069" t="b">
        <v>0</v>
      </c>
      <c r="P61" s="19"/>
    </row>
    <row r="62" spans="1:17" hidden="1" x14ac:dyDescent="0.3">
      <c r="O62" s="1069" t="b">
        <v>0</v>
      </c>
      <c r="P62" s="625"/>
    </row>
    <row r="63" spans="1:17" ht="15.6" hidden="1" x14ac:dyDescent="0.3">
      <c r="A63" s="1482" t="str">
        <f ca="1">REPLACE(CELL("filename",A63),1,FIND("]",CELL("filename",A63)),"")</f>
        <v>MCC Income Credit</v>
      </c>
      <c r="B63" s="1482"/>
      <c r="C63" s="1482"/>
      <c r="D63" s="1482"/>
      <c r="E63" s="1482"/>
      <c r="Q63" s="495"/>
    </row>
    <row r="64" spans="1:17" ht="15.6" x14ac:dyDescent="0.3">
      <c r="A64" s="219"/>
      <c r="B64" s="219"/>
      <c r="C64" s="219"/>
      <c r="D64" s="219"/>
      <c r="E64" s="219"/>
      <c r="N64" s="1074"/>
      <c r="O64" s="1074"/>
      <c r="P64" s="1074"/>
      <c r="Q64" s="495"/>
    </row>
    <row r="65" spans="1:17" ht="15.6" x14ac:dyDescent="0.3">
      <c r="A65" s="219"/>
      <c r="B65" s="219"/>
      <c r="C65" s="219"/>
      <c r="D65" s="219"/>
      <c r="E65" s="219"/>
      <c r="N65" s="1074"/>
      <c r="O65" s="1074"/>
      <c r="P65" s="1074"/>
      <c r="Q65" s="495"/>
    </row>
    <row r="66" spans="1:17" ht="15.6" x14ac:dyDescent="0.3">
      <c r="A66" s="219"/>
      <c r="B66" s="219"/>
      <c r="C66" s="219"/>
      <c r="D66" s="219"/>
      <c r="E66" s="219"/>
      <c r="N66" s="1074"/>
      <c r="O66" s="1074"/>
      <c r="P66" s="1074"/>
      <c r="Q66" s="495"/>
    </row>
    <row r="67" spans="1:17" ht="15.6" x14ac:dyDescent="0.3">
      <c r="A67" s="219"/>
      <c r="B67" s="219"/>
      <c r="C67" s="219"/>
      <c r="D67" s="219"/>
      <c r="E67" s="219"/>
      <c r="N67" s="1235" t="str">
        <f>Version</f>
        <v>Version 2026.1</v>
      </c>
      <c r="O67" s="1235"/>
      <c r="P67" s="1235"/>
      <c r="Q67" s="495"/>
    </row>
    <row r="68" spans="1:17" ht="20.25" customHeight="1" x14ac:dyDescent="0.3"/>
    <row r="69" spans="1:17" ht="30.75" customHeight="1" x14ac:dyDescent="0.3"/>
    <row r="70" spans="1:17" ht="27.75" customHeight="1" x14ac:dyDescent="0.3"/>
    <row r="71" spans="1:17" ht="15" customHeight="1" x14ac:dyDescent="0.3"/>
    <row r="72" spans="1:17" ht="15" customHeight="1" x14ac:dyDescent="0.3"/>
    <row r="73" spans="1:17" ht="15" customHeight="1" x14ac:dyDescent="0.3"/>
    <row r="74" spans="1:17" ht="9" customHeight="1" x14ac:dyDescent="0.3"/>
    <row r="78" spans="1:17" ht="9" customHeight="1" x14ac:dyDescent="0.3"/>
    <row r="81" ht="9.6" customHeight="1" x14ac:dyDescent="0.3"/>
    <row r="84" ht="9.6" customHeight="1" x14ac:dyDescent="0.3"/>
    <row r="88" ht="56.25" customHeight="1" x14ac:dyDescent="0.3"/>
    <row r="89" ht="15" customHeight="1" x14ac:dyDescent="0.3"/>
    <row r="90" ht="13.2" customHeight="1" x14ac:dyDescent="0.3"/>
    <row r="91" ht="13.8" customHeight="1" x14ac:dyDescent="0.3"/>
  </sheetData>
  <sheetProtection algorithmName="SHA-512" hashValue="ijTC1Hms2PcsYWeFX8x7z0KREx11flYwgmJYnvN0lEHa6gsjqxHrqU+JpED6Te3NeyGeopdhqSE7qq1cqJrzEg==" saltValue="cFyAtdOXQwl70IrTNh+/mw==" spinCount="100000" sheet="1" objects="1" scenarios="1" selectLockedCells="1"/>
  <mergeCells count="34">
    <mergeCell ref="C20:I20"/>
    <mergeCell ref="L20:N20"/>
    <mergeCell ref="K30:O30"/>
    <mergeCell ref="K31:O31"/>
    <mergeCell ref="L21:N22"/>
    <mergeCell ref="C14:I14"/>
    <mergeCell ref="C12:K12"/>
    <mergeCell ref="L12:N12"/>
    <mergeCell ref="C13:K13"/>
    <mergeCell ref="C18:I18"/>
    <mergeCell ref="K14:L14"/>
    <mergeCell ref="K18:L18"/>
    <mergeCell ref="L16:N16"/>
    <mergeCell ref="C16:I16"/>
    <mergeCell ref="A2:P2"/>
    <mergeCell ref="A3:P4"/>
    <mergeCell ref="A10:P10"/>
    <mergeCell ref="E7:H7"/>
    <mergeCell ref="A7:D7"/>
    <mergeCell ref="K6:O7"/>
    <mergeCell ref="A63:E63"/>
    <mergeCell ref="N67:P67"/>
    <mergeCell ref="A56:P59"/>
    <mergeCell ref="A55:G55"/>
    <mergeCell ref="C23:I23"/>
    <mergeCell ref="L23:N23"/>
    <mergeCell ref="B27:B28"/>
    <mergeCell ref="C27:I28"/>
    <mergeCell ref="L27:N28"/>
    <mergeCell ref="L24:N26"/>
    <mergeCell ref="C25:H25"/>
    <mergeCell ref="I24:K26"/>
    <mergeCell ref="D32:E32"/>
    <mergeCell ref="D33:O34"/>
  </mergeCells>
  <conditionalFormatting sqref="L24">
    <cfRule type="expression" dxfId="6" priority="1518">
      <formula>$L$24="Exceeds Limit, Reduced to $166.66"</formula>
    </cfRule>
  </conditionalFormatting>
  <conditionalFormatting sqref="L27:N28">
    <cfRule type="expression" dxfId="5" priority="1">
      <formula>AND(O60=FALSE,O61=FALSE,L27&lt;&gt;0)</formula>
    </cfRule>
    <cfRule type="expression" dxfId="4" priority="15">
      <formula>$O$61=TRUE</formula>
    </cfRule>
  </conditionalFormatting>
  <conditionalFormatting sqref="K30:O30">
    <cfRule type="expression" dxfId="3" priority="8">
      <formula>AND($L$27&lt;&gt;0,$O$60=TRUE, $O$61=FALSE,$A$63="MCC Income Credit")</formula>
    </cfRule>
  </conditionalFormatting>
  <conditionalFormatting sqref="K30:O31">
    <cfRule type="expression" dxfId="2" priority="7">
      <formula>AND($L$27&lt;&gt;0,$O$60=TRUE,$O$61=FALSE,$A$63&lt;&gt;"MCC Income Credit")</formula>
    </cfRule>
  </conditionalFormatting>
  <conditionalFormatting sqref="D32:E32">
    <cfRule type="expression" dxfId="1" priority="4">
      <formula>AND($L$27&gt;0,$O$60=FALSE,$O$61=FALSE)</formula>
    </cfRule>
  </conditionalFormatting>
  <conditionalFormatting sqref="K6:O7">
    <cfRule type="expression" dxfId="0" priority="2">
      <formula>AND($A$63&lt;&gt;"MCC Income Credit")</formula>
    </cfRule>
  </conditionalFormatting>
  <printOptions horizontalCentered="1"/>
  <pageMargins left="0.25" right="0.25" top="0.25" bottom="0.25" header="0.3" footer="0.3"/>
  <pageSetup paperSize="5" scale="96" orientation="portrait" r:id="rId1"/>
  <rowBreaks count="1" manualBreakCount="1">
    <brk id="6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49573" r:id="rId4" name="Group Box 5">
              <controlPr defaultSize="0" autoFill="0" autoPict="0">
                <anchor moveWithCells="1" sizeWithCells="1">
                  <from>
                    <xdr:col>6</xdr:col>
                    <xdr:colOff>205740</xdr:colOff>
                    <xdr:row>8</xdr:row>
                    <xdr:rowOff>45720</xdr:rowOff>
                  </from>
                  <to>
                    <xdr:col>9</xdr:col>
                    <xdr:colOff>15240</xdr:colOff>
                    <xdr:row>10</xdr:row>
                    <xdr:rowOff>0</xdr:rowOff>
                  </to>
                </anchor>
              </controlPr>
            </control>
          </mc:Choice>
        </mc:AlternateContent>
        <mc:AlternateContent xmlns:mc="http://schemas.openxmlformats.org/markup-compatibility/2006">
          <mc:Choice Requires="x14">
            <control shapeId="749576" r:id="rId5" name="Check Box 8">
              <controlPr defaultSize="0" autoFill="0" autoLine="0" autoPict="0">
                <anchor moveWithCells="1">
                  <from>
                    <xdr:col>7</xdr:col>
                    <xdr:colOff>563880</xdr:colOff>
                    <xdr:row>23</xdr:row>
                    <xdr:rowOff>22860</xdr:rowOff>
                  </from>
                  <to>
                    <xdr:col>10</xdr:col>
                    <xdr:colOff>586740</xdr:colOff>
                    <xdr:row>25</xdr:row>
                    <xdr:rowOff>160020</xdr:rowOff>
                  </to>
                </anchor>
              </controlPr>
            </control>
          </mc:Choice>
        </mc:AlternateContent>
        <mc:AlternateContent xmlns:mc="http://schemas.openxmlformats.org/markup-compatibility/2006">
          <mc:Choice Requires="x14">
            <control shapeId="749578" r:id="rId6" name="Check Box 10">
              <controlPr defaultSize="0" autoFill="0" autoLine="0" autoPict="0">
                <anchor moveWithCells="1">
                  <from>
                    <xdr:col>14</xdr:col>
                    <xdr:colOff>53340</xdr:colOff>
                    <xdr:row>25</xdr:row>
                    <xdr:rowOff>160020</xdr:rowOff>
                  </from>
                  <to>
                    <xdr:col>15</xdr:col>
                    <xdr:colOff>91440</xdr:colOff>
                    <xdr:row>28</xdr:row>
                    <xdr:rowOff>15240</xdr:rowOff>
                  </to>
                </anchor>
              </controlPr>
            </control>
          </mc:Choice>
        </mc:AlternateContent>
        <mc:AlternateContent xmlns:mc="http://schemas.openxmlformats.org/markup-compatibility/2006">
          <mc:Choice Requires="x14">
            <control shapeId="749579" r:id="rId7" name="Check Box 11">
              <controlPr defaultSize="0" autoFill="0" autoLine="0" autoPict="0">
                <anchor moveWithCells="1">
                  <from>
                    <xdr:col>2</xdr:col>
                    <xdr:colOff>266700</xdr:colOff>
                    <xdr:row>32</xdr:row>
                    <xdr:rowOff>7620</xdr:rowOff>
                  </from>
                  <to>
                    <xdr:col>3</xdr:col>
                    <xdr:colOff>53340</xdr:colOff>
                    <xdr:row>32</xdr:row>
                    <xdr:rowOff>190500</xdr:rowOff>
                  </to>
                </anchor>
              </controlPr>
            </control>
          </mc:Choice>
        </mc:AlternateContent>
        <mc:AlternateContent xmlns:mc="http://schemas.openxmlformats.org/markup-compatibility/2006">
          <mc:Choice Requires="x14">
            <control shapeId="749580" r:id="rId8" name="Button 12">
              <controlPr defaultSize="0" print="0" autoFill="0" autoPict="0" macro="[0]!IW_Copy">
                <anchor moveWithCells="1" sizeWithCells="1">
                  <from>
                    <xdr:col>2</xdr:col>
                    <xdr:colOff>182880</xdr:colOff>
                    <xdr:row>0</xdr:row>
                    <xdr:rowOff>7620</xdr:rowOff>
                  </from>
                  <to>
                    <xdr:col>3</xdr:col>
                    <xdr:colOff>114300</xdr:colOff>
                    <xdr:row>1</xdr:row>
                    <xdr:rowOff>114300</xdr:rowOff>
                  </to>
                </anchor>
              </controlPr>
            </control>
          </mc:Choice>
        </mc:AlternateContent>
        <mc:AlternateContent xmlns:mc="http://schemas.openxmlformats.org/markup-compatibility/2006">
          <mc:Choice Requires="x14">
            <control shapeId="749581" r:id="rId9" name="Button 13">
              <controlPr defaultSize="0" print="0" autoFill="0" autoPict="0" macro="[0]!IW_Home">
                <anchor moveWithCells="1" sizeWithCells="1">
                  <from>
                    <xdr:col>0</xdr:col>
                    <xdr:colOff>0</xdr:colOff>
                    <xdr:row>0</xdr:row>
                    <xdr:rowOff>7620</xdr:rowOff>
                  </from>
                  <to>
                    <xdr:col>2</xdr:col>
                    <xdr:colOff>129540</xdr:colOff>
                    <xdr:row>1</xdr:row>
                    <xdr:rowOff>114300</xdr:rowOff>
                  </to>
                </anchor>
              </controlPr>
            </control>
          </mc:Choice>
        </mc:AlternateContent>
        <mc:AlternateContent xmlns:mc="http://schemas.openxmlformats.org/markup-compatibility/2006">
          <mc:Choice Requires="x14">
            <control shapeId="749582" r:id="rId10" name="Button 14">
              <controlPr defaultSize="0" print="0" autoFill="0" autoPict="0" macro="[0]!MCC_Clear">
                <anchor moveWithCells="1" sizeWithCells="1">
                  <from>
                    <xdr:col>3</xdr:col>
                    <xdr:colOff>167640</xdr:colOff>
                    <xdr:row>0</xdr:row>
                    <xdr:rowOff>7620</xdr:rowOff>
                  </from>
                  <to>
                    <xdr:col>4</xdr:col>
                    <xdr:colOff>281940</xdr:colOff>
                    <xdr:row>1</xdr:row>
                    <xdr:rowOff>114300</xdr:rowOff>
                  </to>
                </anchor>
              </controlPr>
            </control>
          </mc:Choice>
        </mc:AlternateContent>
        <mc:AlternateContent xmlns:mc="http://schemas.openxmlformats.org/markup-compatibility/2006">
          <mc:Choice Requires="x14">
            <control shapeId="749583" r:id="rId11" name="Button 15">
              <controlPr defaultSize="0" print="0" autoFill="0" autoPict="0" macro="[0]!MCC_OmitHide">
                <anchor moveWithCells="1" sizeWithCells="1">
                  <from>
                    <xdr:col>0</xdr:col>
                    <xdr:colOff>7620</xdr:colOff>
                    <xdr:row>1</xdr:row>
                    <xdr:rowOff>167640</xdr:rowOff>
                  </from>
                  <to>
                    <xdr:col>3</xdr:col>
                    <xdr:colOff>22860</xdr:colOff>
                    <xdr:row>2</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06B57-E7E7-4033-A2E3-A6D27AB81251}">
  <sheetPr codeName="Sheet4">
    <tabColor rgb="FF00B0F0"/>
    <pageSetUpPr fitToPage="1"/>
  </sheetPr>
  <dimension ref="A1:N51"/>
  <sheetViews>
    <sheetView view="pageLayout" zoomScale="90" zoomScaleNormal="100" zoomScalePageLayoutView="90" workbookViewId="0">
      <selection activeCell="G15" sqref="G15"/>
    </sheetView>
  </sheetViews>
  <sheetFormatPr defaultRowHeight="15.6" x14ac:dyDescent="0.3"/>
  <cols>
    <col min="1" max="1" width="1.77734375" style="2" customWidth="1"/>
    <col min="2" max="2" width="6.21875" style="2" customWidth="1"/>
    <col min="3" max="3" width="3.77734375" style="2" customWidth="1"/>
    <col min="4" max="4" width="10" style="2" customWidth="1"/>
    <col min="5" max="5" width="9.5546875" style="2" customWidth="1"/>
    <col min="6" max="6" width="9.6640625" style="2" customWidth="1"/>
    <col min="7" max="7" width="10.21875" style="2" customWidth="1"/>
    <col min="8" max="8" width="9.77734375" style="2" customWidth="1"/>
    <col min="9" max="12" width="8.88671875" style="2"/>
    <col min="13" max="13" width="3.44140625" style="2" customWidth="1"/>
    <col min="14" max="14" width="1.6640625" style="2" customWidth="1"/>
    <col min="15" max="16384" width="8.88671875" style="2"/>
  </cols>
  <sheetData>
    <row r="1" spans="1:14" ht="13.8" customHeight="1" x14ac:dyDescent="0.3">
      <c r="K1" s="1899"/>
      <c r="L1" s="1899"/>
      <c r="M1" s="1899"/>
      <c r="N1" s="1899"/>
    </row>
    <row r="2" spans="1:14" ht="34.200000000000003" customHeight="1" x14ac:dyDescent="0.5">
      <c r="A2" s="1321" t="s">
        <v>1148</v>
      </c>
      <c r="B2" s="1321"/>
      <c r="C2" s="1321"/>
      <c r="D2" s="1321"/>
      <c r="E2" s="1321"/>
      <c r="F2" s="1321"/>
      <c r="G2" s="1321"/>
      <c r="H2" s="1321"/>
      <c r="I2" s="1321"/>
      <c r="J2" s="1321"/>
      <c r="K2" s="1321"/>
      <c r="L2" s="1321"/>
      <c r="M2" s="1321"/>
      <c r="N2" s="1321"/>
    </row>
    <row r="3" spans="1:14" ht="20.399999999999999" customHeight="1" x14ac:dyDescent="0.3">
      <c r="A3" s="1208" t="s">
        <v>1147</v>
      </c>
      <c r="B3" s="1208"/>
      <c r="C3" s="1208"/>
      <c r="D3" s="1208"/>
      <c r="E3" s="1208"/>
      <c r="F3" s="1208"/>
      <c r="G3" s="1208"/>
      <c r="H3" s="1208"/>
      <c r="I3" s="1208"/>
      <c r="J3" s="1208"/>
      <c r="K3" s="1208"/>
      <c r="L3" s="1208"/>
      <c r="M3" s="1208"/>
      <c r="N3" s="1208"/>
    </row>
    <row r="4" spans="1:14" ht="15" customHeight="1" x14ac:dyDescent="0.3"/>
    <row r="5" spans="1:14" ht="15" customHeight="1" x14ac:dyDescent="0.3"/>
    <row r="6" spans="1:14" ht="15" customHeight="1" x14ac:dyDescent="0.3">
      <c r="A6" s="1413" t="s">
        <v>37</v>
      </c>
      <c r="B6" s="1413"/>
      <c r="C6" s="1413"/>
      <c r="D6" s="2485"/>
      <c r="E6" s="2485"/>
      <c r="F6" s="2485"/>
      <c r="G6" s="2485"/>
      <c r="I6" s="1413" t="s">
        <v>109</v>
      </c>
      <c r="J6" s="1413"/>
      <c r="K6" s="2486"/>
      <c r="L6" s="2486"/>
    </row>
    <row r="7" spans="1:14" ht="15" customHeight="1" x14ac:dyDescent="0.3"/>
    <row r="8" spans="1:14" s="3" customFormat="1" ht="17.399999999999999" customHeight="1" x14ac:dyDescent="0.3">
      <c r="B8" s="1900" t="s">
        <v>1024</v>
      </c>
      <c r="C8" s="1900"/>
      <c r="D8" s="1900"/>
      <c r="E8" s="1900"/>
      <c r="F8" s="1900"/>
      <c r="G8" s="1900"/>
    </row>
    <row r="9" spans="1:14" ht="15.6" customHeight="1" x14ac:dyDescent="0.3">
      <c r="C9" s="2" t="s">
        <v>1146</v>
      </c>
    </row>
    <row r="10" spans="1:14" ht="15.6" customHeight="1" x14ac:dyDescent="0.3"/>
    <row r="11" spans="1:14" ht="15.6" customHeight="1" x14ac:dyDescent="0.3"/>
    <row r="12" spans="1:14" ht="15.6" customHeight="1" x14ac:dyDescent="0.3"/>
    <row r="13" spans="1:14" ht="15.6" customHeight="1" x14ac:dyDescent="0.3"/>
    <row r="14" spans="1:14" ht="15.6" customHeight="1" x14ac:dyDescent="0.3"/>
    <row r="15" spans="1:14" ht="15.6" customHeight="1" x14ac:dyDescent="0.3"/>
    <row r="16" spans="1:14" ht="15.6" customHeight="1" x14ac:dyDescent="0.3"/>
    <row r="17" ht="15.6" customHeight="1" x14ac:dyDescent="0.3"/>
    <row r="18" ht="15.6" customHeight="1" x14ac:dyDescent="0.3"/>
    <row r="19" ht="15.6" customHeight="1" x14ac:dyDescent="0.3"/>
    <row r="20" ht="15.6" customHeight="1" x14ac:dyDescent="0.3"/>
    <row r="21" ht="15.6" customHeight="1" x14ac:dyDescent="0.3"/>
    <row r="22" ht="15.6" customHeight="1" x14ac:dyDescent="0.3"/>
    <row r="23" ht="15.6" customHeight="1" x14ac:dyDescent="0.3"/>
    <row r="24" ht="15.6" customHeight="1" x14ac:dyDescent="0.3"/>
    <row r="25" ht="15.6" customHeight="1" x14ac:dyDescent="0.3"/>
    <row r="26" ht="15.6" customHeight="1" x14ac:dyDescent="0.3"/>
    <row r="27" ht="15.6" customHeight="1" x14ac:dyDescent="0.3"/>
    <row r="28" ht="15.6" customHeight="1" x14ac:dyDescent="0.3"/>
    <row r="29" ht="15.6" customHeight="1" x14ac:dyDescent="0.3"/>
    <row r="30" ht="15.6" customHeight="1" x14ac:dyDescent="0.3"/>
    <row r="31" ht="15.6" customHeight="1" x14ac:dyDescent="0.3"/>
    <row r="32" ht="15.6" customHeight="1" x14ac:dyDescent="0.3"/>
    <row r="33" spans="1:14" ht="15.6" customHeight="1" x14ac:dyDescent="0.3"/>
    <row r="34" spans="1:14" ht="15.6" customHeight="1" x14ac:dyDescent="0.3"/>
    <row r="35" spans="1:14" ht="15.6" customHeight="1" x14ac:dyDescent="0.3"/>
    <row r="36" spans="1:14" ht="15.6" customHeight="1" x14ac:dyDescent="0.3"/>
    <row r="37" spans="1:14" ht="15.6" customHeight="1" x14ac:dyDescent="0.3"/>
    <row r="38" spans="1:14" ht="15.6" customHeight="1" x14ac:dyDescent="0.3"/>
    <row r="39" spans="1:14" ht="15.6" customHeight="1" x14ac:dyDescent="0.3">
      <c r="A39" s="1791" t="s">
        <v>1150</v>
      </c>
      <c r="B39" s="1791"/>
      <c r="C39" s="1791"/>
      <c r="D39" s="1791"/>
      <c r="E39" s="1791"/>
    </row>
    <row r="40" spans="1:14" ht="15.6" customHeight="1" x14ac:dyDescent="0.3">
      <c r="A40" s="2487"/>
      <c r="B40" s="2487"/>
      <c r="C40" s="2487"/>
      <c r="D40" s="2487"/>
      <c r="E40" s="2487"/>
      <c r="F40" s="2487"/>
      <c r="G40" s="2487"/>
      <c r="H40" s="2487"/>
      <c r="I40" s="2487"/>
      <c r="J40" s="2487"/>
      <c r="K40" s="2487"/>
      <c r="L40" s="2487"/>
      <c r="M40" s="2487"/>
      <c r="N40" s="2487"/>
    </row>
    <row r="41" spans="1:14" ht="15.6" customHeight="1" x14ac:dyDescent="0.3">
      <c r="A41" s="2487"/>
      <c r="B41" s="2487"/>
      <c r="C41" s="2487"/>
      <c r="D41" s="2487"/>
      <c r="E41" s="2487"/>
      <c r="F41" s="2487"/>
      <c r="G41" s="2487"/>
      <c r="H41" s="2487"/>
      <c r="I41" s="2487"/>
      <c r="J41" s="2487"/>
      <c r="K41" s="2487"/>
      <c r="L41" s="2487"/>
      <c r="M41" s="2487"/>
      <c r="N41" s="2487"/>
    </row>
    <row r="42" spans="1:14" ht="15.6" customHeight="1" x14ac:dyDescent="0.3">
      <c r="A42" s="2487"/>
      <c r="B42" s="2487"/>
      <c r="C42" s="2487"/>
      <c r="D42" s="2487"/>
      <c r="E42" s="2487"/>
      <c r="F42" s="2487"/>
      <c r="G42" s="2487"/>
      <c r="H42" s="2487"/>
      <c r="I42" s="2487"/>
      <c r="J42" s="2487"/>
      <c r="K42" s="2487"/>
      <c r="L42" s="2487"/>
      <c r="M42" s="2487"/>
      <c r="N42" s="2487"/>
    </row>
    <row r="43" spans="1:14" ht="9" customHeight="1" x14ac:dyDescent="0.3"/>
    <row r="44" spans="1:14" ht="9" customHeight="1" x14ac:dyDescent="0.3"/>
    <row r="45" spans="1:14" ht="9" customHeight="1" x14ac:dyDescent="0.3"/>
    <row r="46" spans="1:14" ht="15.6" customHeight="1" x14ac:dyDescent="0.3"/>
    <row r="47" spans="1:14" ht="15.6" customHeight="1" x14ac:dyDescent="0.3"/>
    <row r="48" spans="1:14" ht="15.6" customHeight="1" x14ac:dyDescent="0.3">
      <c r="A48" s="1888" t="str">
        <f ca="1">REPLACE(CELL("filename",A48),1,FIND("]",CELL("filename",A48)),"")</f>
        <v>New Worksheet Template</v>
      </c>
      <c r="B48" s="1888"/>
      <c r="C48" s="1888"/>
      <c r="D48" s="1888"/>
      <c r="L48" s="1419" t="str">
        <f>Version</f>
        <v>Version 2026.1</v>
      </c>
      <c r="M48" s="1419"/>
      <c r="N48" s="1419"/>
    </row>
    <row r="49" ht="15" customHeight="1" x14ac:dyDescent="0.3"/>
    <row r="50" ht="15" customHeight="1" x14ac:dyDescent="0.3"/>
    <row r="51" ht="15" customHeight="1" x14ac:dyDescent="0.3"/>
  </sheetData>
  <sheetProtection algorithmName="SHA-512" hashValue="sHjYlFdqKewOmSwFT/LcCVvB4nS623erLIWhhSymDtbCobs+T+wFyOJk0bVDr7/u9W0kvoqfL32JnDm9C1LRog==" saltValue="nCJ76jhUG92U58djfOaEwQ==" spinCount="100000" sheet="1" selectLockedCells="1"/>
  <mergeCells count="12">
    <mergeCell ref="L48:N48"/>
    <mergeCell ref="A48:D48"/>
    <mergeCell ref="A2:N2"/>
    <mergeCell ref="A3:N3"/>
    <mergeCell ref="B8:G8"/>
    <mergeCell ref="A40:N42"/>
    <mergeCell ref="A39:E39"/>
    <mergeCell ref="K1:N1"/>
    <mergeCell ref="A6:C6"/>
    <mergeCell ref="D6:G6"/>
    <mergeCell ref="I6:J6"/>
    <mergeCell ref="K6:L6"/>
  </mergeCells>
  <printOptions horizontalCentered="1"/>
  <pageMargins left="0.25" right="0.25" top="0.3" bottom="0.3" header="0.3" footer="0.3"/>
  <pageSetup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7926" r:id="rId4" name="Button 6">
              <controlPr defaultSize="0" print="0" autoFill="0" autoPict="0" macro="[0]!IW_Copy">
                <anchor moveWithCells="1" sizeWithCells="1">
                  <from>
                    <xdr:col>1</xdr:col>
                    <xdr:colOff>358140</xdr:colOff>
                    <xdr:row>0</xdr:row>
                    <xdr:rowOff>7620</xdr:rowOff>
                  </from>
                  <to>
                    <xdr:col>3</xdr:col>
                    <xdr:colOff>76200</xdr:colOff>
                    <xdr:row>1</xdr:row>
                    <xdr:rowOff>114300</xdr:rowOff>
                  </to>
                </anchor>
              </controlPr>
            </control>
          </mc:Choice>
        </mc:AlternateContent>
        <mc:AlternateContent xmlns:mc="http://schemas.openxmlformats.org/markup-compatibility/2006">
          <mc:Choice Requires="x14">
            <control shapeId="977927" r:id="rId5" name="Button 7">
              <controlPr defaultSize="0" print="0" autoFill="0" autoPict="0" macro="[0]!IW_Home">
                <anchor moveWithCells="1" sizeWithCells="1">
                  <from>
                    <xdr:col>0</xdr:col>
                    <xdr:colOff>0</xdr:colOff>
                    <xdr:row>0</xdr:row>
                    <xdr:rowOff>7620</xdr:rowOff>
                  </from>
                  <to>
                    <xdr:col>1</xdr:col>
                    <xdr:colOff>304800</xdr:colOff>
                    <xdr:row>1</xdr:row>
                    <xdr:rowOff>114300</xdr:rowOff>
                  </to>
                </anchor>
              </controlPr>
            </control>
          </mc:Choice>
        </mc:AlternateContent>
        <mc:AlternateContent xmlns:mc="http://schemas.openxmlformats.org/markup-compatibility/2006">
          <mc:Choice Requires="x14">
            <control shapeId="977928" r:id="rId6" name="Button 8">
              <controlPr defaultSize="0" print="0" autoFill="0" autoPict="0">
                <anchor moveWithCells="1" sizeWithCells="1">
                  <from>
                    <xdr:col>3</xdr:col>
                    <xdr:colOff>129540</xdr:colOff>
                    <xdr:row>0</xdr:row>
                    <xdr:rowOff>7620</xdr:rowOff>
                  </from>
                  <to>
                    <xdr:col>3</xdr:col>
                    <xdr:colOff>563880</xdr:colOff>
                    <xdr:row>1</xdr:row>
                    <xdr:rowOff>114300</xdr:rowOff>
                  </to>
                </anchor>
              </controlPr>
            </control>
          </mc:Choice>
        </mc:AlternateContent>
        <mc:AlternateContent xmlns:mc="http://schemas.openxmlformats.org/markup-compatibility/2006">
          <mc:Choice Requires="x14">
            <control shapeId="977929" r:id="rId7" name="Button 9">
              <controlPr defaultSize="0" print="0" autoFill="0" autoPict="0">
                <anchor moveWithCells="1" sizeWithCells="1">
                  <from>
                    <xdr:col>0</xdr:col>
                    <xdr:colOff>7620</xdr:colOff>
                    <xdr:row>1</xdr:row>
                    <xdr:rowOff>167640</xdr:rowOff>
                  </from>
                  <to>
                    <xdr:col>1</xdr:col>
                    <xdr:colOff>312420</xdr:colOff>
                    <xdr:row>2</xdr:row>
                    <xdr:rowOff>30480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0">
    <tabColor rgb="FFF92F07"/>
  </sheetPr>
  <dimension ref="A2:N73"/>
  <sheetViews>
    <sheetView showGridLines="0" showRowColHeaders="0" showRuler="0" view="pageLayout" zoomScale="90" zoomScaleNormal="100" zoomScalePageLayoutView="90" workbookViewId="0">
      <selection activeCell="E4" sqref="E4:H4"/>
    </sheetView>
  </sheetViews>
  <sheetFormatPr defaultColWidth="9.109375" defaultRowHeight="14.4" x14ac:dyDescent="0.3"/>
  <cols>
    <col min="1" max="1" width="1.88671875" style="38" customWidth="1"/>
    <col min="2" max="2" width="2.109375" style="125" customWidth="1"/>
    <col min="3" max="3" width="0.88671875" style="125" customWidth="1"/>
    <col min="4" max="4" width="10.5546875" style="125" customWidth="1"/>
    <col min="5" max="5" width="15.88671875" style="125" customWidth="1"/>
    <col min="6" max="6" width="1.109375" style="38" customWidth="1"/>
    <col min="7" max="7" width="8.44140625" style="38" customWidth="1"/>
    <col min="8" max="8" width="15.88671875" style="38" customWidth="1"/>
    <col min="9" max="9" width="1.33203125" style="38" customWidth="1"/>
    <col min="10" max="10" width="19.44140625" style="154" customWidth="1"/>
    <col min="11" max="11" width="1.33203125" style="125" customWidth="1"/>
    <col min="12" max="12" width="15.6640625" style="38" customWidth="1"/>
    <col min="13" max="13" width="2.5546875" style="38" customWidth="1"/>
    <col min="14" max="14" width="4.109375" style="38" customWidth="1"/>
    <col min="15" max="16384" width="9.109375" style="38"/>
  </cols>
  <sheetData>
    <row r="2" spans="1:14" ht="36" customHeight="1" x14ac:dyDescent="0.5">
      <c r="A2" s="1632" t="s">
        <v>135</v>
      </c>
      <c r="B2" s="1632"/>
      <c r="C2" s="1632"/>
      <c r="D2" s="1632"/>
      <c r="E2" s="1632"/>
      <c r="F2" s="1632"/>
      <c r="G2" s="1632"/>
      <c r="H2" s="1632"/>
      <c r="I2" s="1632"/>
      <c r="J2" s="1632"/>
      <c r="K2" s="1632"/>
      <c r="L2" s="1632"/>
      <c r="M2" s="1632"/>
      <c r="N2" s="1632"/>
    </row>
    <row r="3" spans="1:14" ht="16.5" customHeight="1" x14ac:dyDescent="0.45">
      <c r="B3" s="2493"/>
      <c r="C3" s="2493"/>
      <c r="D3" s="2493"/>
      <c r="E3" s="2493"/>
      <c r="F3" s="2493"/>
      <c r="G3" s="2493"/>
      <c r="H3" s="2493"/>
      <c r="I3" s="2493"/>
      <c r="J3" s="2493"/>
      <c r="K3" s="2493"/>
      <c r="L3" s="2493"/>
    </row>
    <row r="4" spans="1:14" ht="15.6" x14ac:dyDescent="0.3">
      <c r="B4" s="144"/>
      <c r="C4" s="1661" t="s">
        <v>15</v>
      </c>
      <c r="D4" s="1661"/>
      <c r="E4" s="1497"/>
      <c r="F4" s="1497"/>
      <c r="G4" s="1497"/>
      <c r="H4" s="1497"/>
      <c r="I4" s="114"/>
      <c r="J4" s="146" t="s">
        <v>109</v>
      </c>
      <c r="K4" s="2495"/>
      <c r="L4" s="2495"/>
    </row>
    <row r="5" spans="1:14" ht="18" customHeight="1" x14ac:dyDescent="0.3">
      <c r="B5" s="144"/>
      <c r="C5" s="144"/>
      <c r="D5" s="144"/>
      <c r="E5" s="145"/>
      <c r="F5" s="114"/>
      <c r="G5" s="114"/>
      <c r="H5" s="114"/>
      <c r="I5" s="114"/>
      <c r="J5" s="147"/>
      <c r="K5" s="145"/>
      <c r="L5" s="148"/>
    </row>
    <row r="6" spans="1:14" ht="13.5" customHeight="1" x14ac:dyDescent="0.3">
      <c r="A6" s="149"/>
      <c r="B6" s="2488" t="s">
        <v>142</v>
      </c>
      <c r="C6" s="2488"/>
      <c r="D6" s="2489" t="s">
        <v>136</v>
      </c>
      <c r="E6" s="2489"/>
      <c r="F6" s="150"/>
      <c r="G6" s="2494" t="s">
        <v>137</v>
      </c>
      <c r="H6" s="2494"/>
      <c r="I6" s="150"/>
      <c r="J6" s="151" t="s">
        <v>138</v>
      </c>
      <c r="K6" s="151"/>
      <c r="L6" s="2494" t="s">
        <v>139</v>
      </c>
      <c r="M6" s="2494"/>
    </row>
    <row r="7" spans="1:14" ht="13.5" customHeight="1" x14ac:dyDescent="0.3">
      <c r="B7" s="134"/>
      <c r="C7" s="134"/>
      <c r="D7" s="1396"/>
      <c r="E7" s="1396"/>
      <c r="F7" s="135"/>
      <c r="G7" s="135"/>
      <c r="H7" s="135"/>
      <c r="I7" s="134">
        <f>'Inc. Exp, W2'!H9</f>
        <v>0</v>
      </c>
      <c r="J7" s="143"/>
      <c r="K7" s="142"/>
      <c r="L7" s="2490"/>
      <c r="M7" s="2490"/>
    </row>
    <row r="8" spans="1:14" ht="16.5" customHeight="1" x14ac:dyDescent="0.3">
      <c r="B8" s="38"/>
      <c r="C8" s="140"/>
      <c r="D8" s="2498" t="s">
        <v>166</v>
      </c>
      <c r="E8" s="2498"/>
      <c r="F8" s="135"/>
      <c r="G8" s="2491" t="s">
        <v>144</v>
      </c>
      <c r="H8" s="2492" t="s">
        <v>167</v>
      </c>
      <c r="I8" s="2492"/>
      <c r="J8" s="2492"/>
      <c r="K8" s="2492"/>
      <c r="L8" s="2492"/>
      <c r="M8" s="2492"/>
    </row>
    <row r="9" spans="1:14" ht="12.75" customHeight="1" x14ac:dyDescent="0.3">
      <c r="B9" s="138"/>
      <c r="C9" s="138"/>
      <c r="D9" s="2497" t="s">
        <v>172</v>
      </c>
      <c r="E9" s="2497"/>
      <c r="F9" s="135"/>
      <c r="G9" s="2491"/>
      <c r="H9" s="2492"/>
      <c r="I9" s="2492"/>
      <c r="J9" s="2492"/>
      <c r="K9" s="2492"/>
      <c r="L9" s="2492"/>
      <c r="M9" s="2492"/>
    </row>
    <row r="10" spans="1:14" ht="12.75" customHeight="1" x14ac:dyDescent="0.3">
      <c r="B10" s="138"/>
      <c r="C10" s="138"/>
      <c r="D10" s="2497" t="s">
        <v>173</v>
      </c>
      <c r="E10" s="2497"/>
      <c r="F10" s="135"/>
      <c r="G10" s="2496"/>
      <c r="H10" s="2496"/>
      <c r="I10" s="2496"/>
      <c r="J10" s="2496"/>
      <c r="K10" s="2496"/>
      <c r="L10" s="2496"/>
      <c r="M10" s="2496"/>
    </row>
    <row r="11" spans="1:14" ht="12.75" customHeight="1" x14ac:dyDescent="0.3">
      <c r="B11" s="138"/>
      <c r="C11" s="138"/>
      <c r="D11" s="2497" t="s">
        <v>171</v>
      </c>
      <c r="E11" s="2497"/>
      <c r="F11" s="135"/>
      <c r="G11" s="2496"/>
      <c r="H11" s="2496"/>
      <c r="I11" s="2496"/>
      <c r="J11" s="2496"/>
      <c r="K11" s="2496"/>
      <c r="L11" s="2496"/>
      <c r="M11" s="2496"/>
    </row>
    <row r="12" spans="1:14" ht="27" customHeight="1" x14ac:dyDescent="0.3">
      <c r="B12" s="137"/>
      <c r="C12" s="137"/>
      <c r="D12" s="137"/>
      <c r="E12" s="137"/>
      <c r="F12" s="135"/>
      <c r="G12" s="136"/>
      <c r="H12" s="152"/>
      <c r="I12" s="152"/>
      <c r="J12" s="152"/>
      <c r="K12" s="152"/>
      <c r="L12" s="152"/>
    </row>
    <row r="13" spans="1:14" ht="13.5" customHeight="1" x14ac:dyDescent="0.3">
      <c r="A13" s="149"/>
      <c r="B13" s="2488" t="s">
        <v>143</v>
      </c>
      <c r="C13" s="2488"/>
      <c r="D13" s="2489" t="s">
        <v>136</v>
      </c>
      <c r="E13" s="2489"/>
      <c r="F13" s="150"/>
      <c r="G13" s="2494" t="s">
        <v>137</v>
      </c>
      <c r="H13" s="2494"/>
      <c r="I13" s="150"/>
      <c r="J13" s="151" t="s">
        <v>138</v>
      </c>
      <c r="K13" s="151"/>
      <c r="L13" s="2494" t="s">
        <v>139</v>
      </c>
      <c r="M13" s="2494"/>
    </row>
    <row r="14" spans="1:14" ht="13.5" customHeight="1" x14ac:dyDescent="0.3">
      <c r="B14" s="134"/>
      <c r="C14" s="134"/>
      <c r="D14" s="1396"/>
      <c r="E14" s="1396"/>
      <c r="F14" s="135"/>
      <c r="G14" s="135"/>
      <c r="H14" s="135"/>
      <c r="I14" s="134">
        <f>'Inc. Exp, W2'!H17</f>
        <v>0</v>
      </c>
      <c r="J14" s="143"/>
      <c r="K14" s="142"/>
      <c r="L14" s="2490"/>
      <c r="M14" s="2490"/>
    </row>
    <row r="15" spans="1:14" ht="16.5" customHeight="1" x14ac:dyDescent="0.3">
      <c r="B15" s="38"/>
      <c r="C15" s="140"/>
      <c r="D15" s="2498" t="s">
        <v>166</v>
      </c>
      <c r="E15" s="2498"/>
      <c r="F15" s="135"/>
      <c r="G15" s="2491" t="s">
        <v>144</v>
      </c>
      <c r="H15" s="2492" t="s">
        <v>167</v>
      </c>
      <c r="I15" s="2492"/>
      <c r="J15" s="2492"/>
      <c r="K15" s="2492"/>
      <c r="L15" s="2492"/>
      <c r="M15" s="2492"/>
    </row>
    <row r="16" spans="1:14" ht="12.75" customHeight="1" x14ac:dyDescent="0.3">
      <c r="B16" s="138"/>
      <c r="C16" s="138"/>
      <c r="D16" s="2497" t="s">
        <v>172</v>
      </c>
      <c r="E16" s="2497"/>
      <c r="F16" s="135"/>
      <c r="G16" s="2491"/>
      <c r="H16" s="2492"/>
      <c r="I16" s="2492"/>
      <c r="J16" s="2492"/>
      <c r="K16" s="2492"/>
      <c r="L16" s="2492"/>
      <c r="M16" s="2492"/>
    </row>
    <row r="17" spans="1:13" ht="12.75" customHeight="1" x14ac:dyDescent="0.3">
      <c r="B17" s="138"/>
      <c r="C17" s="138"/>
      <c r="D17" s="2497" t="s">
        <v>173</v>
      </c>
      <c r="E17" s="2497"/>
      <c r="F17" s="135"/>
      <c r="G17" s="2496"/>
      <c r="H17" s="2496"/>
      <c r="I17" s="2496"/>
      <c r="J17" s="2496"/>
      <c r="K17" s="2496"/>
      <c r="L17" s="2496"/>
      <c r="M17" s="2496"/>
    </row>
    <row r="18" spans="1:13" ht="12.75" customHeight="1" x14ac:dyDescent="0.3">
      <c r="B18" s="138"/>
      <c r="C18" s="138"/>
      <c r="D18" s="2497" t="s">
        <v>171</v>
      </c>
      <c r="E18" s="2497"/>
      <c r="F18" s="135"/>
      <c r="G18" s="2496"/>
      <c r="H18" s="2496"/>
      <c r="I18" s="2496"/>
      <c r="J18" s="2496"/>
      <c r="K18" s="2496"/>
      <c r="L18" s="2496"/>
      <c r="M18" s="2496"/>
    </row>
    <row r="19" spans="1:13" ht="27" customHeight="1" x14ac:dyDescent="0.3">
      <c r="C19" s="153"/>
      <c r="F19" s="125"/>
      <c r="G19" s="125"/>
      <c r="H19" s="125"/>
      <c r="I19" s="125"/>
      <c r="L19" s="141"/>
    </row>
    <row r="20" spans="1:13" ht="13.5" customHeight="1" x14ac:dyDescent="0.3">
      <c r="A20" s="149"/>
      <c r="B20" s="2488" t="s">
        <v>145</v>
      </c>
      <c r="C20" s="2488"/>
      <c r="D20" s="2489" t="s">
        <v>136</v>
      </c>
      <c r="E20" s="2489"/>
      <c r="F20" s="150"/>
      <c r="G20" s="2494" t="s">
        <v>137</v>
      </c>
      <c r="H20" s="2494"/>
      <c r="I20" s="150"/>
      <c r="J20" s="151" t="s">
        <v>138</v>
      </c>
      <c r="K20" s="151"/>
      <c r="L20" s="2494" t="s">
        <v>139</v>
      </c>
      <c r="M20" s="2494"/>
    </row>
    <row r="21" spans="1:13" ht="13.5" customHeight="1" x14ac:dyDescent="0.3">
      <c r="B21" s="134"/>
      <c r="C21" s="134"/>
      <c r="D21" s="1396"/>
      <c r="E21" s="1396"/>
      <c r="F21" s="135"/>
      <c r="G21" s="135"/>
      <c r="H21" s="135"/>
      <c r="I21" s="134">
        <f>'Inc. Exp, W2'!H24</f>
        <v>0</v>
      </c>
      <c r="J21" s="143"/>
      <c r="K21" s="142"/>
      <c r="L21" s="2490"/>
      <c r="M21" s="2490"/>
    </row>
    <row r="22" spans="1:13" ht="16.5" customHeight="1" x14ac:dyDescent="0.3">
      <c r="B22" s="38"/>
      <c r="C22" s="140"/>
      <c r="D22" s="2498" t="s">
        <v>166</v>
      </c>
      <c r="E22" s="2498"/>
      <c r="F22" s="135"/>
      <c r="G22" s="2491" t="s">
        <v>144</v>
      </c>
      <c r="H22" s="2492" t="s">
        <v>167</v>
      </c>
      <c r="I22" s="2492"/>
      <c r="J22" s="2492"/>
      <c r="K22" s="2492"/>
      <c r="L22" s="2492"/>
      <c r="M22" s="2492"/>
    </row>
    <row r="23" spans="1:13" ht="12.75" customHeight="1" x14ac:dyDescent="0.3">
      <c r="B23" s="138"/>
      <c r="C23" s="138"/>
      <c r="D23" s="2497" t="s">
        <v>172</v>
      </c>
      <c r="E23" s="2497"/>
      <c r="F23" s="135"/>
      <c r="G23" s="2491"/>
      <c r="H23" s="2492"/>
      <c r="I23" s="2492"/>
      <c r="J23" s="2492"/>
      <c r="K23" s="2492"/>
      <c r="L23" s="2492"/>
      <c r="M23" s="2492"/>
    </row>
    <row r="24" spans="1:13" ht="12.75" customHeight="1" x14ac:dyDescent="0.3">
      <c r="B24" s="138"/>
      <c r="C24" s="138"/>
      <c r="D24" s="2497" t="s">
        <v>173</v>
      </c>
      <c r="E24" s="2497"/>
      <c r="F24" s="135"/>
      <c r="G24" s="2496"/>
      <c r="H24" s="2496"/>
      <c r="I24" s="2496"/>
      <c r="J24" s="2496"/>
      <c r="K24" s="2496"/>
      <c r="L24" s="2496"/>
      <c r="M24" s="2496"/>
    </row>
    <row r="25" spans="1:13" ht="12.75" customHeight="1" x14ac:dyDescent="0.3">
      <c r="B25" s="138"/>
      <c r="C25" s="138"/>
      <c r="D25" s="2497" t="s">
        <v>171</v>
      </c>
      <c r="E25" s="2497"/>
      <c r="F25" s="135"/>
      <c r="G25" s="2496"/>
      <c r="H25" s="2496"/>
      <c r="I25" s="2496"/>
      <c r="J25" s="2496"/>
      <c r="K25" s="2496"/>
      <c r="L25" s="2496"/>
      <c r="M25" s="2496"/>
    </row>
    <row r="26" spans="1:13" ht="27" customHeight="1" x14ac:dyDescent="0.3">
      <c r="C26" s="155"/>
      <c r="D26" s="134"/>
      <c r="E26" s="134"/>
      <c r="F26" s="135"/>
      <c r="G26" s="135"/>
      <c r="H26" s="135"/>
      <c r="I26" s="134"/>
      <c r="J26" s="134"/>
      <c r="K26" s="134"/>
      <c r="L26" s="141"/>
    </row>
    <row r="27" spans="1:13" ht="13.5" customHeight="1" x14ac:dyDescent="0.3">
      <c r="A27" s="149"/>
      <c r="B27" s="2488" t="s">
        <v>146</v>
      </c>
      <c r="C27" s="2488"/>
      <c r="D27" s="2489" t="s">
        <v>136</v>
      </c>
      <c r="E27" s="2489"/>
      <c r="F27" s="150"/>
      <c r="G27" s="2494" t="s">
        <v>137</v>
      </c>
      <c r="H27" s="2494"/>
      <c r="I27" s="150"/>
      <c r="J27" s="151" t="s">
        <v>138</v>
      </c>
      <c r="K27" s="151"/>
      <c r="L27" s="2494" t="s">
        <v>139</v>
      </c>
      <c r="M27" s="2494"/>
    </row>
    <row r="28" spans="1:13" ht="13.5" customHeight="1" x14ac:dyDescent="0.3">
      <c r="B28" s="134"/>
      <c r="C28" s="134"/>
      <c r="D28" s="1396"/>
      <c r="E28" s="1396"/>
      <c r="F28" s="135"/>
      <c r="G28" s="135"/>
      <c r="H28" s="135"/>
      <c r="I28" s="134">
        <f>'Inc. Exp, W2'!H34</f>
        <v>0</v>
      </c>
      <c r="J28" s="143"/>
      <c r="K28" s="142"/>
      <c r="L28" s="2490"/>
      <c r="M28" s="2490"/>
    </row>
    <row r="29" spans="1:13" ht="16.5" customHeight="1" x14ac:dyDescent="0.3">
      <c r="B29" s="38"/>
      <c r="C29" s="140"/>
      <c r="D29" s="2498" t="s">
        <v>166</v>
      </c>
      <c r="E29" s="2498"/>
      <c r="F29" s="135"/>
      <c r="G29" s="2491" t="s">
        <v>144</v>
      </c>
      <c r="H29" s="2492" t="s">
        <v>167</v>
      </c>
      <c r="I29" s="2492"/>
      <c r="J29" s="2492"/>
      <c r="K29" s="2492"/>
      <c r="L29" s="2492"/>
      <c r="M29" s="2492"/>
    </row>
    <row r="30" spans="1:13" ht="12.75" customHeight="1" x14ac:dyDescent="0.3">
      <c r="B30" s="138"/>
      <c r="C30" s="138"/>
      <c r="D30" s="2497" t="s">
        <v>172</v>
      </c>
      <c r="E30" s="2497"/>
      <c r="F30" s="135"/>
      <c r="G30" s="2491"/>
      <c r="H30" s="2492"/>
      <c r="I30" s="2492"/>
      <c r="J30" s="2492"/>
      <c r="K30" s="2492"/>
      <c r="L30" s="2492"/>
      <c r="M30" s="2492"/>
    </row>
    <row r="31" spans="1:13" ht="12.75" customHeight="1" x14ac:dyDescent="0.3">
      <c r="B31" s="138"/>
      <c r="C31" s="138"/>
      <c r="D31" s="2497" t="s">
        <v>173</v>
      </c>
      <c r="E31" s="2497"/>
      <c r="F31" s="135"/>
      <c r="G31" s="2496"/>
      <c r="H31" s="2496"/>
      <c r="I31" s="2496"/>
      <c r="J31" s="2496"/>
      <c r="K31" s="2496"/>
      <c r="L31" s="2496"/>
      <c r="M31" s="2496"/>
    </row>
    <row r="32" spans="1:13" ht="12.75" customHeight="1" x14ac:dyDescent="0.3">
      <c r="B32" s="138"/>
      <c r="C32" s="138"/>
      <c r="D32" s="2497" t="s">
        <v>171</v>
      </c>
      <c r="E32" s="2497"/>
      <c r="F32" s="135"/>
      <c r="G32" s="2496"/>
      <c r="H32" s="2496"/>
      <c r="I32" s="2496"/>
      <c r="J32" s="2496"/>
      <c r="K32" s="2496"/>
      <c r="L32" s="2496"/>
      <c r="M32" s="2496"/>
    </row>
    <row r="33" spans="1:13" ht="27" customHeight="1" x14ac:dyDescent="0.3">
      <c r="B33" s="153"/>
      <c r="C33" s="153"/>
      <c r="D33" s="156"/>
      <c r="E33" s="156"/>
      <c r="F33" s="156"/>
      <c r="G33" s="156"/>
      <c r="H33" s="156"/>
      <c r="I33" s="156"/>
      <c r="J33" s="157"/>
      <c r="K33" s="158"/>
      <c r="L33" s="159"/>
    </row>
    <row r="34" spans="1:13" ht="13.5" customHeight="1" x14ac:dyDescent="0.3">
      <c r="A34" s="149"/>
      <c r="B34" s="2488" t="s">
        <v>147</v>
      </c>
      <c r="C34" s="2488"/>
      <c r="D34" s="2489" t="s">
        <v>136</v>
      </c>
      <c r="E34" s="2489"/>
      <c r="F34" s="150"/>
      <c r="G34" s="2494" t="s">
        <v>137</v>
      </c>
      <c r="H34" s="2494"/>
      <c r="I34" s="150"/>
      <c r="J34" s="151" t="s">
        <v>138</v>
      </c>
      <c r="K34" s="151"/>
      <c r="L34" s="2494" t="s">
        <v>139</v>
      </c>
      <c r="M34" s="2494"/>
    </row>
    <row r="35" spans="1:13" ht="13.5" customHeight="1" x14ac:dyDescent="0.3">
      <c r="B35" s="134"/>
      <c r="C35" s="134"/>
      <c r="D35" s="1396"/>
      <c r="E35" s="1396"/>
      <c r="F35" s="135"/>
      <c r="G35" s="135"/>
      <c r="H35" s="135"/>
      <c r="I35" s="134"/>
      <c r="J35" s="143"/>
      <c r="K35" s="142"/>
      <c r="L35" s="2490"/>
      <c r="M35" s="2490"/>
    </row>
    <row r="36" spans="1:13" ht="16.5" customHeight="1" x14ac:dyDescent="0.3">
      <c r="B36" s="38"/>
      <c r="C36" s="140"/>
      <c r="D36" s="2498" t="s">
        <v>166</v>
      </c>
      <c r="E36" s="2498"/>
      <c r="F36" s="135"/>
      <c r="G36" s="2491" t="s">
        <v>144</v>
      </c>
      <c r="H36" s="2492" t="s">
        <v>167</v>
      </c>
      <c r="I36" s="2492"/>
      <c r="J36" s="2492"/>
      <c r="K36" s="2492"/>
      <c r="L36" s="2492"/>
      <c r="M36" s="2492"/>
    </row>
    <row r="37" spans="1:13" ht="12.75" customHeight="1" x14ac:dyDescent="0.3">
      <c r="B37" s="138"/>
      <c r="C37" s="138"/>
      <c r="D37" s="2497" t="s">
        <v>172</v>
      </c>
      <c r="E37" s="2497"/>
      <c r="F37" s="135"/>
      <c r="G37" s="2491"/>
      <c r="H37" s="2492"/>
      <c r="I37" s="2492"/>
      <c r="J37" s="2492"/>
      <c r="K37" s="2492"/>
      <c r="L37" s="2492"/>
      <c r="M37" s="2492"/>
    </row>
    <row r="38" spans="1:13" ht="12.75" customHeight="1" x14ac:dyDescent="0.3">
      <c r="B38" s="138"/>
      <c r="C38" s="138"/>
      <c r="D38" s="2497" t="s">
        <v>173</v>
      </c>
      <c r="E38" s="2497"/>
      <c r="F38" s="135"/>
      <c r="G38" s="2496"/>
      <c r="H38" s="2496"/>
      <c r="I38" s="2496"/>
      <c r="J38" s="2496"/>
      <c r="K38" s="2496"/>
      <c r="L38" s="2496"/>
      <c r="M38" s="2496"/>
    </row>
    <row r="39" spans="1:13" ht="12.75" customHeight="1" x14ac:dyDescent="0.3">
      <c r="B39" s="138"/>
      <c r="C39" s="138"/>
      <c r="D39" s="2497" t="s">
        <v>171</v>
      </c>
      <c r="E39" s="2497"/>
      <c r="F39" s="135"/>
      <c r="G39" s="2496"/>
      <c r="H39" s="2496"/>
      <c r="I39" s="2496"/>
      <c r="J39" s="2496"/>
      <c r="K39" s="2496"/>
      <c r="L39" s="2496"/>
      <c r="M39" s="2496"/>
    </row>
    <row r="40" spans="1:13" ht="27" customHeight="1" x14ac:dyDescent="0.3">
      <c r="C40" s="155"/>
      <c r="D40" s="134"/>
      <c r="E40" s="134"/>
      <c r="F40" s="135"/>
      <c r="G40" s="135"/>
      <c r="H40" s="135"/>
      <c r="I40" s="134"/>
      <c r="J40" s="134"/>
      <c r="K40" s="134"/>
      <c r="L40" s="141"/>
    </row>
    <row r="41" spans="1:13" ht="13.5" customHeight="1" x14ac:dyDescent="0.3">
      <c r="A41" s="149"/>
      <c r="B41" s="2488" t="s">
        <v>148</v>
      </c>
      <c r="C41" s="2488"/>
      <c r="D41" s="2489" t="s">
        <v>136</v>
      </c>
      <c r="E41" s="2489"/>
      <c r="F41" s="150"/>
      <c r="G41" s="2494" t="s">
        <v>137</v>
      </c>
      <c r="H41" s="2494"/>
      <c r="I41" s="150"/>
      <c r="J41" s="151" t="s">
        <v>138</v>
      </c>
      <c r="K41" s="151"/>
      <c r="L41" s="2494" t="s">
        <v>139</v>
      </c>
      <c r="M41" s="2494"/>
    </row>
    <row r="42" spans="1:13" ht="13.5" customHeight="1" x14ac:dyDescent="0.3">
      <c r="B42" s="134"/>
      <c r="C42" s="134"/>
      <c r="D42" s="1396"/>
      <c r="E42" s="1396"/>
      <c r="F42" s="135"/>
      <c r="G42" s="135"/>
      <c r="H42" s="135"/>
      <c r="I42" s="134">
        <f>'Inc. Exp, W2'!H48</f>
        <v>0</v>
      </c>
      <c r="J42" s="143"/>
      <c r="K42" s="142"/>
      <c r="L42" s="2490"/>
      <c r="M42" s="2490"/>
    </row>
    <row r="43" spans="1:13" ht="16.5" customHeight="1" x14ac:dyDescent="0.3">
      <c r="B43" s="38"/>
      <c r="C43" s="140"/>
      <c r="D43" s="2498" t="s">
        <v>166</v>
      </c>
      <c r="E43" s="2498"/>
      <c r="F43" s="135"/>
      <c r="G43" s="2491" t="s">
        <v>144</v>
      </c>
      <c r="H43" s="2492" t="s">
        <v>167</v>
      </c>
      <c r="I43" s="2492"/>
      <c r="J43" s="2492"/>
      <c r="K43" s="2492"/>
      <c r="L43" s="2492"/>
      <c r="M43" s="2492"/>
    </row>
    <row r="44" spans="1:13" ht="12.75" customHeight="1" x14ac:dyDescent="0.3">
      <c r="B44" s="138"/>
      <c r="C44" s="138"/>
      <c r="D44" s="2497" t="s">
        <v>172</v>
      </c>
      <c r="E44" s="2497"/>
      <c r="F44" s="135"/>
      <c r="G44" s="2491"/>
      <c r="H44" s="2492"/>
      <c r="I44" s="2492"/>
      <c r="J44" s="2492"/>
      <c r="K44" s="2492"/>
      <c r="L44" s="2492"/>
      <c r="M44" s="2492"/>
    </row>
    <row r="45" spans="1:13" ht="12.75" customHeight="1" x14ac:dyDescent="0.3">
      <c r="B45" s="138"/>
      <c r="C45" s="138"/>
      <c r="D45" s="2497" t="s">
        <v>173</v>
      </c>
      <c r="E45" s="2497"/>
      <c r="F45" s="135"/>
      <c r="G45" s="2496"/>
      <c r="H45" s="2496"/>
      <c r="I45" s="2496"/>
      <c r="J45" s="2496"/>
      <c r="K45" s="2496"/>
      <c r="L45" s="2496"/>
      <c r="M45" s="2496"/>
    </row>
    <row r="46" spans="1:13" ht="12.75" customHeight="1" x14ac:dyDescent="0.3">
      <c r="B46" s="138"/>
      <c r="C46" s="138"/>
      <c r="D46" s="2497" t="s">
        <v>171</v>
      </c>
      <c r="E46" s="2497"/>
      <c r="F46" s="135"/>
      <c r="G46" s="2496"/>
      <c r="H46" s="2496"/>
      <c r="I46" s="2496"/>
      <c r="J46" s="2496"/>
      <c r="K46" s="2496"/>
      <c r="L46" s="2496"/>
      <c r="M46" s="2496"/>
    </row>
    <row r="47" spans="1:13" ht="27" customHeight="1" x14ac:dyDescent="0.3">
      <c r="C47" s="155"/>
      <c r="D47" s="134"/>
      <c r="E47" s="134"/>
      <c r="F47" s="135"/>
      <c r="G47" s="135"/>
      <c r="H47" s="135"/>
      <c r="I47" s="134"/>
      <c r="J47" s="134"/>
      <c r="K47" s="134"/>
      <c r="L47" s="141"/>
    </row>
    <row r="48" spans="1:13" ht="13.5" customHeight="1" x14ac:dyDescent="0.3">
      <c r="A48" s="149"/>
      <c r="B48" s="2488" t="s">
        <v>149</v>
      </c>
      <c r="C48" s="2488"/>
      <c r="D48" s="2489" t="s">
        <v>136</v>
      </c>
      <c r="E48" s="2489"/>
      <c r="F48" s="150"/>
      <c r="G48" s="2494" t="s">
        <v>137</v>
      </c>
      <c r="H48" s="2494"/>
      <c r="I48" s="150"/>
      <c r="J48" s="151" t="s">
        <v>138</v>
      </c>
      <c r="K48" s="151"/>
      <c r="L48" s="2494" t="s">
        <v>139</v>
      </c>
      <c r="M48" s="2494"/>
    </row>
    <row r="49" spans="1:13" ht="13.5" customHeight="1" x14ac:dyDescent="0.3">
      <c r="B49" s="134"/>
      <c r="C49" s="134"/>
      <c r="D49" s="1396"/>
      <c r="E49" s="1396"/>
      <c r="F49" s="135"/>
      <c r="G49" s="135"/>
      <c r="H49" s="135"/>
      <c r="I49" s="134">
        <f>'Inc. Exp, W2'!H58</f>
        <v>0</v>
      </c>
      <c r="J49" s="143"/>
      <c r="K49" s="142"/>
      <c r="L49" s="2490"/>
      <c r="M49" s="2490"/>
    </row>
    <row r="50" spans="1:13" ht="16.5" customHeight="1" x14ac:dyDescent="0.3">
      <c r="B50" s="38"/>
      <c r="C50" s="140"/>
      <c r="D50" s="2498" t="s">
        <v>166</v>
      </c>
      <c r="E50" s="2498"/>
      <c r="F50" s="135"/>
      <c r="G50" s="2491" t="s">
        <v>144</v>
      </c>
      <c r="H50" s="2492" t="s">
        <v>167</v>
      </c>
      <c r="I50" s="2492"/>
      <c r="J50" s="2492"/>
      <c r="K50" s="2492"/>
      <c r="L50" s="2492"/>
      <c r="M50" s="2492"/>
    </row>
    <row r="51" spans="1:13" ht="12.75" customHeight="1" x14ac:dyDescent="0.3">
      <c r="B51" s="138"/>
      <c r="C51" s="138"/>
      <c r="D51" s="2497" t="s">
        <v>172</v>
      </c>
      <c r="E51" s="2497"/>
      <c r="F51" s="135"/>
      <c r="G51" s="2491"/>
      <c r="H51" s="2492"/>
      <c r="I51" s="2492"/>
      <c r="J51" s="2492"/>
      <c r="K51" s="2492"/>
      <c r="L51" s="2492"/>
      <c r="M51" s="2492"/>
    </row>
    <row r="52" spans="1:13" ht="12.75" customHeight="1" x14ac:dyDescent="0.3">
      <c r="B52" s="138"/>
      <c r="C52" s="138"/>
      <c r="D52" s="2497" t="s">
        <v>173</v>
      </c>
      <c r="E52" s="2497"/>
      <c r="F52" s="135"/>
      <c r="G52" s="2496"/>
      <c r="H52" s="2496"/>
      <c r="I52" s="2496"/>
      <c r="J52" s="2496"/>
      <c r="K52" s="2496"/>
      <c r="L52" s="2496"/>
      <c r="M52" s="2496"/>
    </row>
    <row r="53" spans="1:13" ht="12.75" customHeight="1" x14ac:dyDescent="0.3">
      <c r="B53" s="138"/>
      <c r="C53" s="138"/>
      <c r="D53" s="2497" t="s">
        <v>171</v>
      </c>
      <c r="E53" s="2497"/>
      <c r="F53" s="135"/>
      <c r="G53" s="2496"/>
      <c r="H53" s="2496"/>
      <c r="I53" s="2496"/>
      <c r="J53" s="2496"/>
      <c r="K53" s="2496"/>
      <c r="L53" s="2496"/>
      <c r="M53" s="2496"/>
    </row>
    <row r="54" spans="1:13" ht="27" customHeight="1" x14ac:dyDescent="0.3">
      <c r="C54" s="155"/>
      <c r="D54" s="134"/>
      <c r="E54" s="134"/>
      <c r="F54" s="135"/>
      <c r="G54" s="135"/>
      <c r="H54" s="135"/>
      <c r="I54" s="134"/>
      <c r="J54" s="134"/>
      <c r="K54" s="134"/>
      <c r="L54" s="141"/>
    </row>
    <row r="55" spans="1:13" ht="13.5" customHeight="1" x14ac:dyDescent="0.3">
      <c r="A55" s="149"/>
      <c r="B55" s="2488" t="s">
        <v>150</v>
      </c>
      <c r="C55" s="2488"/>
      <c r="D55" s="2489" t="s">
        <v>136</v>
      </c>
      <c r="E55" s="2489"/>
      <c r="F55" s="150"/>
      <c r="G55" s="2494" t="s">
        <v>137</v>
      </c>
      <c r="H55" s="2494"/>
      <c r="I55" s="150"/>
      <c r="J55" s="151" t="s">
        <v>138</v>
      </c>
      <c r="K55" s="151"/>
      <c r="L55" s="2494" t="s">
        <v>139</v>
      </c>
      <c r="M55" s="2494"/>
    </row>
    <row r="56" spans="1:13" ht="13.5" customHeight="1" x14ac:dyDescent="0.3">
      <c r="A56" s="36"/>
      <c r="B56" s="134"/>
      <c r="C56" s="134"/>
      <c r="D56" s="1396"/>
      <c r="E56" s="1396"/>
      <c r="F56" s="135"/>
      <c r="G56" s="135"/>
      <c r="H56" s="135"/>
      <c r="I56" s="134">
        <f>'Inc. Exp, W2'!H68</f>
        <v>0</v>
      </c>
      <c r="J56" s="143"/>
      <c r="K56" s="142"/>
      <c r="L56" s="2490"/>
      <c r="M56" s="2490"/>
    </row>
    <row r="57" spans="1:13" ht="16.5" customHeight="1" x14ac:dyDescent="0.3">
      <c r="A57" s="36" t="s">
        <v>141</v>
      </c>
      <c r="B57" s="38"/>
      <c r="C57" s="140"/>
      <c r="D57" s="2498" t="s">
        <v>166</v>
      </c>
      <c r="E57" s="2498"/>
      <c r="F57" s="135"/>
      <c r="G57" s="2491" t="s">
        <v>144</v>
      </c>
      <c r="H57" s="2492" t="s">
        <v>167</v>
      </c>
      <c r="I57" s="2492"/>
      <c r="J57" s="2492"/>
      <c r="K57" s="2492"/>
      <c r="L57" s="2492"/>
      <c r="M57" s="2492"/>
    </row>
    <row r="58" spans="1:13" ht="12.75" customHeight="1" x14ac:dyDescent="0.3">
      <c r="A58" s="36" t="s">
        <v>140</v>
      </c>
      <c r="B58" s="138"/>
      <c r="C58" s="138"/>
      <c r="D58" s="2497" t="s">
        <v>172</v>
      </c>
      <c r="E58" s="2497"/>
      <c r="F58" s="135"/>
      <c r="G58" s="2491"/>
      <c r="H58" s="2492"/>
      <c r="I58" s="2492"/>
      <c r="J58" s="2492"/>
      <c r="K58" s="2492"/>
      <c r="L58" s="2492"/>
      <c r="M58" s="2492"/>
    </row>
    <row r="59" spans="1:13" ht="12.75" customHeight="1" x14ac:dyDescent="0.3">
      <c r="A59" s="36" t="s">
        <v>151</v>
      </c>
      <c r="B59" s="138"/>
      <c r="C59" s="138"/>
      <c r="D59" s="2497" t="s">
        <v>173</v>
      </c>
      <c r="E59" s="2497"/>
      <c r="F59" s="135"/>
      <c r="G59" s="2496"/>
      <c r="H59" s="2496"/>
      <c r="I59" s="2496"/>
      <c r="J59" s="2496"/>
      <c r="K59" s="2496"/>
      <c r="L59" s="2496"/>
      <c r="M59" s="2496"/>
    </row>
    <row r="60" spans="1:13" ht="12.75" customHeight="1" x14ac:dyDescent="0.3">
      <c r="A60" s="36" t="s">
        <v>152</v>
      </c>
      <c r="B60" s="138"/>
      <c r="C60" s="138"/>
      <c r="D60" s="2497" t="s">
        <v>171</v>
      </c>
      <c r="E60" s="2497"/>
      <c r="F60" s="135"/>
      <c r="G60" s="2496"/>
      <c r="H60" s="2496"/>
      <c r="I60" s="2496"/>
      <c r="J60" s="2496"/>
      <c r="K60" s="2496"/>
      <c r="L60" s="2496"/>
      <c r="M60" s="2496"/>
    </row>
    <row r="61" spans="1:13" ht="9.75" customHeight="1" x14ac:dyDescent="0.3">
      <c r="A61" s="36" t="s">
        <v>153</v>
      </c>
      <c r="B61" s="138"/>
      <c r="C61" s="138"/>
      <c r="D61" s="139"/>
      <c r="E61" s="138"/>
      <c r="F61" s="135"/>
      <c r="G61" s="160"/>
      <c r="H61" s="160"/>
      <c r="I61" s="160"/>
      <c r="J61" s="160"/>
      <c r="K61" s="160"/>
      <c r="L61" s="160"/>
      <c r="M61" s="160"/>
    </row>
    <row r="62" spans="1:13" ht="15.75" customHeight="1" thickBot="1" x14ac:dyDescent="0.35">
      <c r="A62" s="36" t="s">
        <v>154</v>
      </c>
      <c r="B62" s="128"/>
      <c r="C62" s="483" t="b">
        <v>0</v>
      </c>
      <c r="D62" s="483" t="b">
        <v>0</v>
      </c>
      <c r="E62" s="483" t="b">
        <v>0</v>
      </c>
      <c r="F62" s="36"/>
      <c r="G62" s="43">
        <v>1</v>
      </c>
      <c r="L62" s="2499">
        <f>L7+L14+L21+L28+L35+L42+L49+L56</f>
        <v>0</v>
      </c>
      <c r="M62" s="2499"/>
    </row>
    <row r="63" spans="1:13" ht="6.75" customHeight="1" thickTop="1" x14ac:dyDescent="0.3">
      <c r="A63" s="36" t="s">
        <v>155</v>
      </c>
      <c r="B63" s="128"/>
      <c r="C63" s="483" t="b">
        <v>0</v>
      </c>
      <c r="D63" s="483" t="b">
        <v>0</v>
      </c>
      <c r="E63" s="483" t="b">
        <v>0</v>
      </c>
      <c r="F63" s="36"/>
      <c r="G63" s="43">
        <v>1</v>
      </c>
    </row>
    <row r="64" spans="1:13" ht="3" customHeight="1" x14ac:dyDescent="0.3">
      <c r="A64" s="36" t="s">
        <v>156</v>
      </c>
      <c r="B64" s="128"/>
      <c r="C64" s="483" t="b">
        <v>0</v>
      </c>
      <c r="D64" s="483" t="b">
        <v>0</v>
      </c>
      <c r="E64" s="483" t="b">
        <v>0</v>
      </c>
      <c r="F64" s="36"/>
      <c r="G64" s="43">
        <v>1</v>
      </c>
    </row>
    <row r="65" spans="1:14" ht="3" customHeight="1" x14ac:dyDescent="0.3">
      <c r="A65" s="36" t="s">
        <v>157</v>
      </c>
      <c r="B65" s="128"/>
      <c r="C65" s="483" t="b">
        <v>0</v>
      </c>
      <c r="D65" s="483" t="b">
        <v>0</v>
      </c>
      <c r="E65" s="483" t="b">
        <v>0</v>
      </c>
      <c r="F65" s="36"/>
      <c r="G65" s="43">
        <v>1</v>
      </c>
    </row>
    <row r="66" spans="1:14" ht="3" customHeight="1" x14ac:dyDescent="0.3">
      <c r="A66" s="36" t="s">
        <v>158</v>
      </c>
      <c r="B66" s="128"/>
      <c r="C66" s="483" t="b">
        <v>0</v>
      </c>
      <c r="D66" s="483" t="b">
        <v>0</v>
      </c>
      <c r="E66" s="483" t="b">
        <v>0</v>
      </c>
      <c r="F66" s="36"/>
      <c r="G66" s="43">
        <v>1</v>
      </c>
    </row>
    <row r="67" spans="1:14" ht="3" customHeight="1" x14ac:dyDescent="0.3">
      <c r="A67" s="36" t="s">
        <v>159</v>
      </c>
      <c r="B67" s="128"/>
      <c r="C67" s="483" t="b">
        <v>0</v>
      </c>
      <c r="D67" s="483" t="b">
        <v>0</v>
      </c>
      <c r="E67" s="483" t="b">
        <v>0</v>
      </c>
      <c r="F67" s="36"/>
      <c r="G67" s="43">
        <v>1</v>
      </c>
    </row>
    <row r="68" spans="1:14" ht="3" customHeight="1" x14ac:dyDescent="0.3">
      <c r="A68" s="36" t="s">
        <v>160</v>
      </c>
      <c r="B68" s="128"/>
      <c r="C68" s="483" t="b">
        <v>0</v>
      </c>
      <c r="D68" s="483" t="b">
        <v>0</v>
      </c>
      <c r="E68" s="483" t="b">
        <v>0</v>
      </c>
      <c r="F68" s="36"/>
      <c r="G68" s="43">
        <v>1</v>
      </c>
    </row>
    <row r="69" spans="1:14" ht="3" customHeight="1" x14ac:dyDescent="0.3">
      <c r="A69" s="36" t="s">
        <v>161</v>
      </c>
      <c r="B69" s="128"/>
      <c r="C69" s="483" t="b">
        <v>0</v>
      </c>
      <c r="D69" s="483" t="b">
        <v>0</v>
      </c>
      <c r="E69" s="483" t="b">
        <v>0</v>
      </c>
      <c r="F69" s="36"/>
      <c r="G69" s="43">
        <v>1</v>
      </c>
      <c r="L69" s="1235" t="str">
        <f>Version</f>
        <v>Version 2026.1</v>
      </c>
      <c r="M69" s="1235"/>
      <c r="N69" s="1235"/>
    </row>
    <row r="70" spans="1:14" ht="3" customHeight="1" x14ac:dyDescent="0.3">
      <c r="A70" s="36" t="s">
        <v>162</v>
      </c>
      <c r="B70" s="128"/>
      <c r="C70" s="483" t="b">
        <v>0</v>
      </c>
      <c r="D70" s="483" t="b">
        <v>0</v>
      </c>
      <c r="E70" s="128"/>
      <c r="F70" s="36"/>
      <c r="G70" s="36"/>
      <c r="L70" s="1235"/>
      <c r="M70" s="1235"/>
      <c r="N70" s="1235"/>
    </row>
    <row r="71" spans="1:14" ht="3" customHeight="1" x14ac:dyDescent="0.3">
      <c r="A71" s="36" t="s">
        <v>163</v>
      </c>
      <c r="B71" s="128"/>
      <c r="C71" s="483" t="b">
        <v>0</v>
      </c>
      <c r="D71" s="483" t="b">
        <v>0</v>
      </c>
      <c r="E71" s="128"/>
      <c r="F71" s="36"/>
      <c r="G71" s="36"/>
      <c r="L71" s="1235"/>
      <c r="M71" s="1235"/>
      <c r="N71" s="1235"/>
    </row>
    <row r="72" spans="1:14" ht="3" customHeight="1" x14ac:dyDescent="0.3">
      <c r="A72" s="36" t="s">
        <v>164</v>
      </c>
      <c r="B72" s="128"/>
      <c r="C72" s="483" t="b">
        <v>0</v>
      </c>
      <c r="D72" s="483" t="b">
        <v>0</v>
      </c>
      <c r="E72" s="128"/>
      <c r="F72" s="36"/>
      <c r="G72" s="36"/>
      <c r="L72" s="1235"/>
      <c r="M72" s="1235"/>
      <c r="N72" s="1235"/>
    </row>
    <row r="73" spans="1:14" ht="3" customHeight="1" x14ac:dyDescent="0.3">
      <c r="A73" s="36" t="s">
        <v>165</v>
      </c>
      <c r="B73" s="128"/>
      <c r="C73" s="483" t="b">
        <v>0</v>
      </c>
      <c r="D73" s="483" t="b">
        <v>0</v>
      </c>
      <c r="E73" s="128"/>
      <c r="F73" s="36"/>
      <c r="G73" s="36"/>
      <c r="L73" s="1235"/>
      <c r="M73" s="1235"/>
      <c r="N73" s="1235"/>
    </row>
  </sheetData>
  <sheetProtection algorithmName="SHA-512" hashValue="KmHhV/heCi4JeIo12NkPY3vE8IbxfNN6YbLGcqsyDS0FRREZkZY+09EjoxG6dINKwprmWcA1eufmCulXt8TR4A==" saltValue="RUeKosSaQ+YFzq6kCO7fag==" spinCount="100000" sheet="1" objects="1" scenarios="1" selectLockedCells="1"/>
  <mergeCells count="111">
    <mergeCell ref="D56:E56"/>
    <mergeCell ref="D57:E57"/>
    <mergeCell ref="D58:E58"/>
    <mergeCell ref="D59:E59"/>
    <mergeCell ref="D42:E42"/>
    <mergeCell ref="D43:E43"/>
    <mergeCell ref="D44:E44"/>
    <mergeCell ref="D45:E45"/>
    <mergeCell ref="D46:E46"/>
    <mergeCell ref="D48:E48"/>
    <mergeCell ref="D14:E14"/>
    <mergeCell ref="D15:E15"/>
    <mergeCell ref="D16:E16"/>
    <mergeCell ref="D17:E17"/>
    <mergeCell ref="D18:E18"/>
    <mergeCell ref="B20:C20"/>
    <mergeCell ref="D20:E20"/>
    <mergeCell ref="A2:N2"/>
    <mergeCell ref="B55:C55"/>
    <mergeCell ref="D55:E55"/>
    <mergeCell ref="B48:C48"/>
    <mergeCell ref="D34:E34"/>
    <mergeCell ref="D35:E35"/>
    <mergeCell ref="D36:E36"/>
    <mergeCell ref="D37:E37"/>
    <mergeCell ref="D38:E38"/>
    <mergeCell ref="D39:E39"/>
    <mergeCell ref="B27:C27"/>
    <mergeCell ref="D27:E27"/>
    <mergeCell ref="D28:E28"/>
    <mergeCell ref="D29:E29"/>
    <mergeCell ref="D51:E51"/>
    <mergeCell ref="G43:G44"/>
    <mergeCell ref="H43:M44"/>
    <mergeCell ref="L69:N73"/>
    <mergeCell ref="D6:E6"/>
    <mergeCell ref="B6:C6"/>
    <mergeCell ref="D8:E8"/>
    <mergeCell ref="D9:E9"/>
    <mergeCell ref="D10:E10"/>
    <mergeCell ref="D11:E11"/>
    <mergeCell ref="G57:G58"/>
    <mergeCell ref="H57:M58"/>
    <mergeCell ref="G59:M60"/>
    <mergeCell ref="L62:M62"/>
    <mergeCell ref="D60:E60"/>
    <mergeCell ref="G52:M53"/>
    <mergeCell ref="G55:H55"/>
    <mergeCell ref="L55:M55"/>
    <mergeCell ref="L56:M56"/>
    <mergeCell ref="D52:E52"/>
    <mergeCell ref="D53:E53"/>
    <mergeCell ref="L49:M49"/>
    <mergeCell ref="G50:G51"/>
    <mergeCell ref="H50:M51"/>
    <mergeCell ref="D49:E49"/>
    <mergeCell ref="D50:E50"/>
    <mergeCell ref="D30:E30"/>
    <mergeCell ref="G45:M46"/>
    <mergeCell ref="G48:H48"/>
    <mergeCell ref="L48:M48"/>
    <mergeCell ref="G38:M39"/>
    <mergeCell ref="G41:H41"/>
    <mergeCell ref="L41:M41"/>
    <mergeCell ref="L42:M42"/>
    <mergeCell ref="B41:C41"/>
    <mergeCell ref="D41:E41"/>
    <mergeCell ref="L35:M35"/>
    <mergeCell ref="G36:G37"/>
    <mergeCell ref="H36:M37"/>
    <mergeCell ref="G29:G30"/>
    <mergeCell ref="H29:M30"/>
    <mergeCell ref="G31:M32"/>
    <mergeCell ref="G34:H34"/>
    <mergeCell ref="L34:M34"/>
    <mergeCell ref="D32:E32"/>
    <mergeCell ref="B34:C34"/>
    <mergeCell ref="D31:E31"/>
    <mergeCell ref="G24:M25"/>
    <mergeCell ref="G27:H27"/>
    <mergeCell ref="L27:M27"/>
    <mergeCell ref="L28:M28"/>
    <mergeCell ref="D24:E24"/>
    <mergeCell ref="D25:E25"/>
    <mergeCell ref="L21:M21"/>
    <mergeCell ref="G22:G23"/>
    <mergeCell ref="H22:M23"/>
    <mergeCell ref="D21:E21"/>
    <mergeCell ref="D22:E22"/>
    <mergeCell ref="D23:E23"/>
    <mergeCell ref="G15:G16"/>
    <mergeCell ref="H15:M16"/>
    <mergeCell ref="G17:M18"/>
    <mergeCell ref="G20:H20"/>
    <mergeCell ref="L20:M20"/>
    <mergeCell ref="G10:M11"/>
    <mergeCell ref="G13:H13"/>
    <mergeCell ref="L13:M13"/>
    <mergeCell ref="L14:M14"/>
    <mergeCell ref="B13:C13"/>
    <mergeCell ref="D13:E13"/>
    <mergeCell ref="L7:M7"/>
    <mergeCell ref="G8:G9"/>
    <mergeCell ref="H8:M9"/>
    <mergeCell ref="D7:E7"/>
    <mergeCell ref="B3:L3"/>
    <mergeCell ref="C4:D4"/>
    <mergeCell ref="G6:H6"/>
    <mergeCell ref="L6:M6"/>
    <mergeCell ref="E4:H4"/>
    <mergeCell ref="K4:L4"/>
  </mergeCells>
  <printOptions horizontalCentered="1"/>
  <pageMargins left="0.25" right="0.25" top="0.25" bottom="0.25" header="0.3" footer="0.3"/>
  <pageSetup paperSize="5" scale="96"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57" r:id="rId4" name="Drop Down 41">
              <controlPr defaultSize="0" autoLine="0" autoPict="0">
                <anchor moveWithCells="1">
                  <from>
                    <xdr:col>6</xdr:col>
                    <xdr:colOff>0</xdr:colOff>
                    <xdr:row>13</xdr:row>
                    <xdr:rowOff>0</xdr:rowOff>
                  </from>
                  <to>
                    <xdr:col>8</xdr:col>
                    <xdr:colOff>0</xdr:colOff>
                    <xdr:row>14</xdr:row>
                    <xdr:rowOff>0</xdr:rowOff>
                  </to>
                </anchor>
              </controlPr>
            </control>
          </mc:Choice>
        </mc:AlternateContent>
        <mc:AlternateContent xmlns:mc="http://schemas.openxmlformats.org/markup-compatibility/2006">
          <mc:Choice Requires="x14">
            <control shapeId="60418" r:id="rId5" name="Check Box 2">
              <controlPr defaultSize="0" autoFill="0" autoLine="0" autoPict="0">
                <anchor moveWithCells="1">
                  <from>
                    <xdr:col>4</xdr:col>
                    <xdr:colOff>411480</xdr:colOff>
                    <xdr:row>7</xdr:row>
                    <xdr:rowOff>182880</xdr:rowOff>
                  </from>
                  <to>
                    <xdr:col>4</xdr:col>
                    <xdr:colOff>807720</xdr:colOff>
                    <xdr:row>9</xdr:row>
                    <xdr:rowOff>30480</xdr:rowOff>
                  </to>
                </anchor>
              </controlPr>
            </control>
          </mc:Choice>
        </mc:AlternateContent>
        <mc:AlternateContent xmlns:mc="http://schemas.openxmlformats.org/markup-compatibility/2006">
          <mc:Choice Requires="x14">
            <control shapeId="60419" r:id="rId6" name="Check Box 3">
              <controlPr defaultSize="0" autoFill="0" autoLine="0" autoPict="0">
                <anchor moveWithCells="1">
                  <from>
                    <xdr:col>4</xdr:col>
                    <xdr:colOff>411480</xdr:colOff>
                    <xdr:row>8</xdr:row>
                    <xdr:rowOff>121920</xdr:rowOff>
                  </from>
                  <to>
                    <xdr:col>4</xdr:col>
                    <xdr:colOff>807720</xdr:colOff>
                    <xdr:row>10</xdr:row>
                    <xdr:rowOff>38100</xdr:rowOff>
                  </to>
                </anchor>
              </controlPr>
            </control>
          </mc:Choice>
        </mc:AlternateContent>
        <mc:AlternateContent xmlns:mc="http://schemas.openxmlformats.org/markup-compatibility/2006">
          <mc:Choice Requires="x14">
            <control shapeId="60420" r:id="rId7" name="Check Box 4">
              <controlPr defaultSize="0" autoFill="0" autoLine="0" autoPict="0">
                <anchor moveWithCells="1">
                  <from>
                    <xdr:col>4</xdr:col>
                    <xdr:colOff>411480</xdr:colOff>
                    <xdr:row>9</xdr:row>
                    <xdr:rowOff>121920</xdr:rowOff>
                  </from>
                  <to>
                    <xdr:col>4</xdr:col>
                    <xdr:colOff>807720</xdr:colOff>
                    <xdr:row>11</xdr:row>
                    <xdr:rowOff>30480</xdr:rowOff>
                  </to>
                </anchor>
              </controlPr>
            </control>
          </mc:Choice>
        </mc:AlternateContent>
        <mc:AlternateContent xmlns:mc="http://schemas.openxmlformats.org/markup-compatibility/2006">
          <mc:Choice Requires="x14">
            <control shapeId="60421" r:id="rId8" name="Check Box 5">
              <controlPr defaultSize="0" autoFill="0" autoLine="0" autoPict="0">
                <anchor moveWithCells="1">
                  <from>
                    <xdr:col>10</xdr:col>
                    <xdr:colOff>68580</xdr:colOff>
                    <xdr:row>7</xdr:row>
                    <xdr:rowOff>106680</xdr:rowOff>
                  </from>
                  <to>
                    <xdr:col>11</xdr:col>
                    <xdr:colOff>236220</xdr:colOff>
                    <xdr:row>8</xdr:row>
                    <xdr:rowOff>76200</xdr:rowOff>
                  </to>
                </anchor>
              </controlPr>
            </control>
          </mc:Choice>
        </mc:AlternateContent>
        <mc:AlternateContent xmlns:mc="http://schemas.openxmlformats.org/markup-compatibility/2006">
          <mc:Choice Requires="x14">
            <control shapeId="60543" r:id="rId9" name="Drop Down 127">
              <controlPr defaultSize="0" autoLine="0" autoPict="0">
                <anchor moveWithCells="1">
                  <from>
                    <xdr:col>6</xdr:col>
                    <xdr:colOff>0</xdr:colOff>
                    <xdr:row>20</xdr:row>
                    <xdr:rowOff>0</xdr:rowOff>
                  </from>
                  <to>
                    <xdr:col>8</xdr:col>
                    <xdr:colOff>0</xdr:colOff>
                    <xdr:row>21</xdr:row>
                    <xdr:rowOff>0</xdr:rowOff>
                  </to>
                </anchor>
              </controlPr>
            </control>
          </mc:Choice>
        </mc:AlternateContent>
        <mc:AlternateContent xmlns:mc="http://schemas.openxmlformats.org/markup-compatibility/2006">
          <mc:Choice Requires="x14">
            <control shapeId="60544" r:id="rId10" name="Drop Down 128">
              <controlPr defaultSize="0" autoLine="0" autoPict="0">
                <anchor moveWithCells="1">
                  <from>
                    <xdr:col>6</xdr:col>
                    <xdr:colOff>0</xdr:colOff>
                    <xdr:row>6</xdr:row>
                    <xdr:rowOff>0</xdr:rowOff>
                  </from>
                  <to>
                    <xdr:col>8</xdr:col>
                    <xdr:colOff>0</xdr:colOff>
                    <xdr:row>7</xdr:row>
                    <xdr:rowOff>0</xdr:rowOff>
                  </to>
                </anchor>
              </controlPr>
            </control>
          </mc:Choice>
        </mc:AlternateContent>
        <mc:AlternateContent xmlns:mc="http://schemas.openxmlformats.org/markup-compatibility/2006">
          <mc:Choice Requires="x14">
            <control shapeId="60545" r:id="rId11" name="Drop Down 129">
              <controlPr defaultSize="0" autoLine="0" autoPict="0">
                <anchor moveWithCells="1">
                  <from>
                    <xdr:col>6</xdr:col>
                    <xdr:colOff>0</xdr:colOff>
                    <xdr:row>27</xdr:row>
                    <xdr:rowOff>0</xdr:rowOff>
                  </from>
                  <to>
                    <xdr:col>8</xdr:col>
                    <xdr:colOff>0</xdr:colOff>
                    <xdr:row>28</xdr:row>
                    <xdr:rowOff>0</xdr:rowOff>
                  </to>
                </anchor>
              </controlPr>
            </control>
          </mc:Choice>
        </mc:AlternateContent>
        <mc:AlternateContent xmlns:mc="http://schemas.openxmlformats.org/markup-compatibility/2006">
          <mc:Choice Requires="x14">
            <control shapeId="60546" r:id="rId12" name="Drop Down 130">
              <controlPr defaultSize="0" autoLine="0" autoPict="0">
                <anchor moveWithCells="1">
                  <from>
                    <xdr:col>6</xdr:col>
                    <xdr:colOff>0</xdr:colOff>
                    <xdr:row>34</xdr:row>
                    <xdr:rowOff>0</xdr:rowOff>
                  </from>
                  <to>
                    <xdr:col>8</xdr:col>
                    <xdr:colOff>0</xdr:colOff>
                    <xdr:row>35</xdr:row>
                    <xdr:rowOff>0</xdr:rowOff>
                  </to>
                </anchor>
              </controlPr>
            </control>
          </mc:Choice>
        </mc:AlternateContent>
        <mc:AlternateContent xmlns:mc="http://schemas.openxmlformats.org/markup-compatibility/2006">
          <mc:Choice Requires="x14">
            <control shapeId="60547" r:id="rId13" name="Drop Down 131">
              <controlPr defaultSize="0" autoLine="0" autoPict="0">
                <anchor moveWithCells="1">
                  <from>
                    <xdr:col>6</xdr:col>
                    <xdr:colOff>0</xdr:colOff>
                    <xdr:row>41</xdr:row>
                    <xdr:rowOff>0</xdr:rowOff>
                  </from>
                  <to>
                    <xdr:col>8</xdr:col>
                    <xdr:colOff>0</xdr:colOff>
                    <xdr:row>42</xdr:row>
                    <xdr:rowOff>0</xdr:rowOff>
                  </to>
                </anchor>
              </controlPr>
            </control>
          </mc:Choice>
        </mc:AlternateContent>
        <mc:AlternateContent xmlns:mc="http://schemas.openxmlformats.org/markup-compatibility/2006">
          <mc:Choice Requires="x14">
            <control shapeId="60548" r:id="rId14" name="Drop Down 132">
              <controlPr defaultSize="0" autoLine="0" autoPict="0">
                <anchor moveWithCells="1">
                  <from>
                    <xdr:col>6</xdr:col>
                    <xdr:colOff>0</xdr:colOff>
                    <xdr:row>48</xdr:row>
                    <xdr:rowOff>0</xdr:rowOff>
                  </from>
                  <to>
                    <xdr:col>8</xdr:col>
                    <xdr:colOff>0</xdr:colOff>
                    <xdr:row>49</xdr:row>
                    <xdr:rowOff>0</xdr:rowOff>
                  </to>
                </anchor>
              </controlPr>
            </control>
          </mc:Choice>
        </mc:AlternateContent>
        <mc:AlternateContent xmlns:mc="http://schemas.openxmlformats.org/markup-compatibility/2006">
          <mc:Choice Requires="x14">
            <control shapeId="60549" r:id="rId15" name="Drop Down 133">
              <controlPr defaultSize="0" autoLine="0" autoPict="0">
                <anchor moveWithCells="1">
                  <from>
                    <xdr:col>6</xdr:col>
                    <xdr:colOff>0</xdr:colOff>
                    <xdr:row>55</xdr:row>
                    <xdr:rowOff>0</xdr:rowOff>
                  </from>
                  <to>
                    <xdr:col>8</xdr:col>
                    <xdr:colOff>0</xdr:colOff>
                    <xdr:row>56</xdr:row>
                    <xdr:rowOff>0</xdr:rowOff>
                  </to>
                </anchor>
              </controlPr>
            </control>
          </mc:Choice>
        </mc:AlternateContent>
        <mc:AlternateContent xmlns:mc="http://schemas.openxmlformats.org/markup-compatibility/2006">
          <mc:Choice Requires="x14">
            <control shapeId="60550" r:id="rId16" name="Check Box 134">
              <controlPr defaultSize="0" autoFill="0" autoLine="0" autoPict="0">
                <anchor moveWithCells="1">
                  <from>
                    <xdr:col>4</xdr:col>
                    <xdr:colOff>411480</xdr:colOff>
                    <xdr:row>14</xdr:row>
                    <xdr:rowOff>182880</xdr:rowOff>
                  </from>
                  <to>
                    <xdr:col>4</xdr:col>
                    <xdr:colOff>807720</xdr:colOff>
                    <xdr:row>16</xdr:row>
                    <xdr:rowOff>30480</xdr:rowOff>
                  </to>
                </anchor>
              </controlPr>
            </control>
          </mc:Choice>
        </mc:AlternateContent>
        <mc:AlternateContent xmlns:mc="http://schemas.openxmlformats.org/markup-compatibility/2006">
          <mc:Choice Requires="x14">
            <control shapeId="60551" r:id="rId17" name="Check Box 135">
              <controlPr defaultSize="0" autoFill="0" autoLine="0" autoPict="0">
                <anchor moveWithCells="1">
                  <from>
                    <xdr:col>4</xdr:col>
                    <xdr:colOff>411480</xdr:colOff>
                    <xdr:row>15</xdr:row>
                    <xdr:rowOff>121920</xdr:rowOff>
                  </from>
                  <to>
                    <xdr:col>4</xdr:col>
                    <xdr:colOff>807720</xdr:colOff>
                    <xdr:row>17</xdr:row>
                    <xdr:rowOff>38100</xdr:rowOff>
                  </to>
                </anchor>
              </controlPr>
            </control>
          </mc:Choice>
        </mc:AlternateContent>
        <mc:AlternateContent xmlns:mc="http://schemas.openxmlformats.org/markup-compatibility/2006">
          <mc:Choice Requires="x14">
            <control shapeId="60552" r:id="rId18" name="Check Box 136">
              <controlPr defaultSize="0" autoFill="0" autoLine="0" autoPict="0">
                <anchor moveWithCells="1">
                  <from>
                    <xdr:col>4</xdr:col>
                    <xdr:colOff>411480</xdr:colOff>
                    <xdr:row>16</xdr:row>
                    <xdr:rowOff>121920</xdr:rowOff>
                  </from>
                  <to>
                    <xdr:col>4</xdr:col>
                    <xdr:colOff>807720</xdr:colOff>
                    <xdr:row>18</xdr:row>
                    <xdr:rowOff>30480</xdr:rowOff>
                  </to>
                </anchor>
              </controlPr>
            </control>
          </mc:Choice>
        </mc:AlternateContent>
        <mc:AlternateContent xmlns:mc="http://schemas.openxmlformats.org/markup-compatibility/2006">
          <mc:Choice Requires="x14">
            <control shapeId="60553" r:id="rId19" name="Check Box 137">
              <controlPr defaultSize="0" autoFill="0" autoLine="0" autoPict="0">
                <anchor moveWithCells="1">
                  <from>
                    <xdr:col>4</xdr:col>
                    <xdr:colOff>411480</xdr:colOff>
                    <xdr:row>21</xdr:row>
                    <xdr:rowOff>182880</xdr:rowOff>
                  </from>
                  <to>
                    <xdr:col>4</xdr:col>
                    <xdr:colOff>807720</xdr:colOff>
                    <xdr:row>23</xdr:row>
                    <xdr:rowOff>30480</xdr:rowOff>
                  </to>
                </anchor>
              </controlPr>
            </control>
          </mc:Choice>
        </mc:AlternateContent>
        <mc:AlternateContent xmlns:mc="http://schemas.openxmlformats.org/markup-compatibility/2006">
          <mc:Choice Requires="x14">
            <control shapeId="60554" r:id="rId20" name="Check Box 138">
              <controlPr defaultSize="0" autoFill="0" autoLine="0" autoPict="0">
                <anchor moveWithCells="1">
                  <from>
                    <xdr:col>4</xdr:col>
                    <xdr:colOff>411480</xdr:colOff>
                    <xdr:row>22</xdr:row>
                    <xdr:rowOff>121920</xdr:rowOff>
                  </from>
                  <to>
                    <xdr:col>4</xdr:col>
                    <xdr:colOff>807720</xdr:colOff>
                    <xdr:row>24</xdr:row>
                    <xdr:rowOff>38100</xdr:rowOff>
                  </to>
                </anchor>
              </controlPr>
            </control>
          </mc:Choice>
        </mc:AlternateContent>
        <mc:AlternateContent xmlns:mc="http://schemas.openxmlformats.org/markup-compatibility/2006">
          <mc:Choice Requires="x14">
            <control shapeId="60555" r:id="rId21" name="Check Box 139">
              <controlPr defaultSize="0" autoFill="0" autoLine="0" autoPict="0">
                <anchor moveWithCells="1">
                  <from>
                    <xdr:col>4</xdr:col>
                    <xdr:colOff>411480</xdr:colOff>
                    <xdr:row>23</xdr:row>
                    <xdr:rowOff>121920</xdr:rowOff>
                  </from>
                  <to>
                    <xdr:col>4</xdr:col>
                    <xdr:colOff>807720</xdr:colOff>
                    <xdr:row>25</xdr:row>
                    <xdr:rowOff>30480</xdr:rowOff>
                  </to>
                </anchor>
              </controlPr>
            </control>
          </mc:Choice>
        </mc:AlternateContent>
        <mc:AlternateContent xmlns:mc="http://schemas.openxmlformats.org/markup-compatibility/2006">
          <mc:Choice Requires="x14">
            <control shapeId="60556" r:id="rId22" name="Check Box 140">
              <controlPr defaultSize="0" autoFill="0" autoLine="0" autoPict="0">
                <anchor moveWithCells="1">
                  <from>
                    <xdr:col>4</xdr:col>
                    <xdr:colOff>411480</xdr:colOff>
                    <xdr:row>28</xdr:row>
                    <xdr:rowOff>182880</xdr:rowOff>
                  </from>
                  <to>
                    <xdr:col>4</xdr:col>
                    <xdr:colOff>807720</xdr:colOff>
                    <xdr:row>30</xdr:row>
                    <xdr:rowOff>30480</xdr:rowOff>
                  </to>
                </anchor>
              </controlPr>
            </control>
          </mc:Choice>
        </mc:AlternateContent>
        <mc:AlternateContent xmlns:mc="http://schemas.openxmlformats.org/markup-compatibility/2006">
          <mc:Choice Requires="x14">
            <control shapeId="60557" r:id="rId23" name="Check Box 141">
              <controlPr defaultSize="0" autoFill="0" autoLine="0" autoPict="0">
                <anchor moveWithCells="1">
                  <from>
                    <xdr:col>4</xdr:col>
                    <xdr:colOff>411480</xdr:colOff>
                    <xdr:row>29</xdr:row>
                    <xdr:rowOff>121920</xdr:rowOff>
                  </from>
                  <to>
                    <xdr:col>4</xdr:col>
                    <xdr:colOff>807720</xdr:colOff>
                    <xdr:row>31</xdr:row>
                    <xdr:rowOff>38100</xdr:rowOff>
                  </to>
                </anchor>
              </controlPr>
            </control>
          </mc:Choice>
        </mc:AlternateContent>
        <mc:AlternateContent xmlns:mc="http://schemas.openxmlformats.org/markup-compatibility/2006">
          <mc:Choice Requires="x14">
            <control shapeId="60558" r:id="rId24" name="Check Box 142">
              <controlPr defaultSize="0" autoFill="0" autoLine="0" autoPict="0">
                <anchor moveWithCells="1">
                  <from>
                    <xdr:col>4</xdr:col>
                    <xdr:colOff>411480</xdr:colOff>
                    <xdr:row>30</xdr:row>
                    <xdr:rowOff>121920</xdr:rowOff>
                  </from>
                  <to>
                    <xdr:col>4</xdr:col>
                    <xdr:colOff>807720</xdr:colOff>
                    <xdr:row>32</xdr:row>
                    <xdr:rowOff>30480</xdr:rowOff>
                  </to>
                </anchor>
              </controlPr>
            </control>
          </mc:Choice>
        </mc:AlternateContent>
        <mc:AlternateContent xmlns:mc="http://schemas.openxmlformats.org/markup-compatibility/2006">
          <mc:Choice Requires="x14">
            <control shapeId="60559" r:id="rId25" name="Check Box 143">
              <controlPr defaultSize="0" autoFill="0" autoLine="0" autoPict="0">
                <anchor moveWithCells="1">
                  <from>
                    <xdr:col>4</xdr:col>
                    <xdr:colOff>411480</xdr:colOff>
                    <xdr:row>35</xdr:row>
                    <xdr:rowOff>182880</xdr:rowOff>
                  </from>
                  <to>
                    <xdr:col>4</xdr:col>
                    <xdr:colOff>807720</xdr:colOff>
                    <xdr:row>37</xdr:row>
                    <xdr:rowOff>30480</xdr:rowOff>
                  </to>
                </anchor>
              </controlPr>
            </control>
          </mc:Choice>
        </mc:AlternateContent>
        <mc:AlternateContent xmlns:mc="http://schemas.openxmlformats.org/markup-compatibility/2006">
          <mc:Choice Requires="x14">
            <control shapeId="60560" r:id="rId26" name="Check Box 144">
              <controlPr defaultSize="0" autoFill="0" autoLine="0" autoPict="0">
                <anchor moveWithCells="1">
                  <from>
                    <xdr:col>4</xdr:col>
                    <xdr:colOff>411480</xdr:colOff>
                    <xdr:row>36</xdr:row>
                    <xdr:rowOff>121920</xdr:rowOff>
                  </from>
                  <to>
                    <xdr:col>4</xdr:col>
                    <xdr:colOff>807720</xdr:colOff>
                    <xdr:row>38</xdr:row>
                    <xdr:rowOff>38100</xdr:rowOff>
                  </to>
                </anchor>
              </controlPr>
            </control>
          </mc:Choice>
        </mc:AlternateContent>
        <mc:AlternateContent xmlns:mc="http://schemas.openxmlformats.org/markup-compatibility/2006">
          <mc:Choice Requires="x14">
            <control shapeId="60561" r:id="rId27" name="Check Box 145">
              <controlPr defaultSize="0" autoFill="0" autoLine="0" autoPict="0">
                <anchor moveWithCells="1">
                  <from>
                    <xdr:col>4</xdr:col>
                    <xdr:colOff>411480</xdr:colOff>
                    <xdr:row>37</xdr:row>
                    <xdr:rowOff>121920</xdr:rowOff>
                  </from>
                  <to>
                    <xdr:col>4</xdr:col>
                    <xdr:colOff>807720</xdr:colOff>
                    <xdr:row>39</xdr:row>
                    <xdr:rowOff>30480</xdr:rowOff>
                  </to>
                </anchor>
              </controlPr>
            </control>
          </mc:Choice>
        </mc:AlternateContent>
        <mc:AlternateContent xmlns:mc="http://schemas.openxmlformats.org/markup-compatibility/2006">
          <mc:Choice Requires="x14">
            <control shapeId="60562" r:id="rId28" name="Check Box 146">
              <controlPr defaultSize="0" autoFill="0" autoLine="0" autoPict="0">
                <anchor moveWithCells="1">
                  <from>
                    <xdr:col>4</xdr:col>
                    <xdr:colOff>411480</xdr:colOff>
                    <xdr:row>42</xdr:row>
                    <xdr:rowOff>182880</xdr:rowOff>
                  </from>
                  <to>
                    <xdr:col>4</xdr:col>
                    <xdr:colOff>807720</xdr:colOff>
                    <xdr:row>44</xdr:row>
                    <xdr:rowOff>30480</xdr:rowOff>
                  </to>
                </anchor>
              </controlPr>
            </control>
          </mc:Choice>
        </mc:AlternateContent>
        <mc:AlternateContent xmlns:mc="http://schemas.openxmlformats.org/markup-compatibility/2006">
          <mc:Choice Requires="x14">
            <control shapeId="60563" r:id="rId29" name="Check Box 147">
              <controlPr defaultSize="0" autoFill="0" autoLine="0" autoPict="0">
                <anchor moveWithCells="1">
                  <from>
                    <xdr:col>4</xdr:col>
                    <xdr:colOff>411480</xdr:colOff>
                    <xdr:row>43</xdr:row>
                    <xdr:rowOff>121920</xdr:rowOff>
                  </from>
                  <to>
                    <xdr:col>4</xdr:col>
                    <xdr:colOff>807720</xdr:colOff>
                    <xdr:row>45</xdr:row>
                    <xdr:rowOff>38100</xdr:rowOff>
                  </to>
                </anchor>
              </controlPr>
            </control>
          </mc:Choice>
        </mc:AlternateContent>
        <mc:AlternateContent xmlns:mc="http://schemas.openxmlformats.org/markup-compatibility/2006">
          <mc:Choice Requires="x14">
            <control shapeId="60564" r:id="rId30" name="Check Box 148">
              <controlPr defaultSize="0" autoFill="0" autoLine="0" autoPict="0">
                <anchor moveWithCells="1">
                  <from>
                    <xdr:col>4</xdr:col>
                    <xdr:colOff>411480</xdr:colOff>
                    <xdr:row>44</xdr:row>
                    <xdr:rowOff>121920</xdr:rowOff>
                  </from>
                  <to>
                    <xdr:col>4</xdr:col>
                    <xdr:colOff>807720</xdr:colOff>
                    <xdr:row>46</xdr:row>
                    <xdr:rowOff>30480</xdr:rowOff>
                  </to>
                </anchor>
              </controlPr>
            </control>
          </mc:Choice>
        </mc:AlternateContent>
        <mc:AlternateContent xmlns:mc="http://schemas.openxmlformats.org/markup-compatibility/2006">
          <mc:Choice Requires="x14">
            <control shapeId="60565" r:id="rId31" name="Check Box 149">
              <controlPr defaultSize="0" autoFill="0" autoLine="0" autoPict="0">
                <anchor moveWithCells="1">
                  <from>
                    <xdr:col>4</xdr:col>
                    <xdr:colOff>411480</xdr:colOff>
                    <xdr:row>49</xdr:row>
                    <xdr:rowOff>182880</xdr:rowOff>
                  </from>
                  <to>
                    <xdr:col>4</xdr:col>
                    <xdr:colOff>807720</xdr:colOff>
                    <xdr:row>51</xdr:row>
                    <xdr:rowOff>30480</xdr:rowOff>
                  </to>
                </anchor>
              </controlPr>
            </control>
          </mc:Choice>
        </mc:AlternateContent>
        <mc:AlternateContent xmlns:mc="http://schemas.openxmlformats.org/markup-compatibility/2006">
          <mc:Choice Requires="x14">
            <control shapeId="60566" r:id="rId32" name="Check Box 150">
              <controlPr defaultSize="0" autoFill="0" autoLine="0" autoPict="0">
                <anchor moveWithCells="1">
                  <from>
                    <xdr:col>4</xdr:col>
                    <xdr:colOff>411480</xdr:colOff>
                    <xdr:row>50</xdr:row>
                    <xdr:rowOff>121920</xdr:rowOff>
                  </from>
                  <to>
                    <xdr:col>4</xdr:col>
                    <xdr:colOff>807720</xdr:colOff>
                    <xdr:row>52</xdr:row>
                    <xdr:rowOff>38100</xdr:rowOff>
                  </to>
                </anchor>
              </controlPr>
            </control>
          </mc:Choice>
        </mc:AlternateContent>
        <mc:AlternateContent xmlns:mc="http://schemas.openxmlformats.org/markup-compatibility/2006">
          <mc:Choice Requires="x14">
            <control shapeId="60567" r:id="rId33" name="Check Box 151">
              <controlPr defaultSize="0" autoFill="0" autoLine="0" autoPict="0">
                <anchor moveWithCells="1">
                  <from>
                    <xdr:col>4</xdr:col>
                    <xdr:colOff>411480</xdr:colOff>
                    <xdr:row>51</xdr:row>
                    <xdr:rowOff>121920</xdr:rowOff>
                  </from>
                  <to>
                    <xdr:col>4</xdr:col>
                    <xdr:colOff>807720</xdr:colOff>
                    <xdr:row>53</xdr:row>
                    <xdr:rowOff>30480</xdr:rowOff>
                  </to>
                </anchor>
              </controlPr>
            </control>
          </mc:Choice>
        </mc:AlternateContent>
        <mc:AlternateContent xmlns:mc="http://schemas.openxmlformats.org/markup-compatibility/2006">
          <mc:Choice Requires="x14">
            <control shapeId="60568" r:id="rId34" name="Check Box 152">
              <controlPr defaultSize="0" autoFill="0" autoLine="0" autoPict="0">
                <anchor moveWithCells="1">
                  <from>
                    <xdr:col>4</xdr:col>
                    <xdr:colOff>411480</xdr:colOff>
                    <xdr:row>56</xdr:row>
                    <xdr:rowOff>182880</xdr:rowOff>
                  </from>
                  <to>
                    <xdr:col>4</xdr:col>
                    <xdr:colOff>807720</xdr:colOff>
                    <xdr:row>58</xdr:row>
                    <xdr:rowOff>30480</xdr:rowOff>
                  </to>
                </anchor>
              </controlPr>
            </control>
          </mc:Choice>
        </mc:AlternateContent>
        <mc:AlternateContent xmlns:mc="http://schemas.openxmlformats.org/markup-compatibility/2006">
          <mc:Choice Requires="x14">
            <control shapeId="60569" r:id="rId35" name="Check Box 153">
              <controlPr defaultSize="0" autoFill="0" autoLine="0" autoPict="0">
                <anchor moveWithCells="1">
                  <from>
                    <xdr:col>4</xdr:col>
                    <xdr:colOff>411480</xdr:colOff>
                    <xdr:row>57</xdr:row>
                    <xdr:rowOff>121920</xdr:rowOff>
                  </from>
                  <to>
                    <xdr:col>4</xdr:col>
                    <xdr:colOff>807720</xdr:colOff>
                    <xdr:row>59</xdr:row>
                    <xdr:rowOff>38100</xdr:rowOff>
                  </to>
                </anchor>
              </controlPr>
            </control>
          </mc:Choice>
        </mc:AlternateContent>
        <mc:AlternateContent xmlns:mc="http://schemas.openxmlformats.org/markup-compatibility/2006">
          <mc:Choice Requires="x14">
            <control shapeId="60570" r:id="rId36" name="Check Box 154">
              <controlPr defaultSize="0" autoFill="0" autoLine="0" autoPict="0">
                <anchor moveWithCells="1">
                  <from>
                    <xdr:col>4</xdr:col>
                    <xdr:colOff>411480</xdr:colOff>
                    <xdr:row>58</xdr:row>
                    <xdr:rowOff>121920</xdr:rowOff>
                  </from>
                  <to>
                    <xdr:col>4</xdr:col>
                    <xdr:colOff>807720</xdr:colOff>
                    <xdr:row>60</xdr:row>
                    <xdr:rowOff>30480</xdr:rowOff>
                  </to>
                </anchor>
              </controlPr>
            </control>
          </mc:Choice>
        </mc:AlternateContent>
        <mc:AlternateContent xmlns:mc="http://schemas.openxmlformats.org/markup-compatibility/2006">
          <mc:Choice Requires="x14">
            <control shapeId="60571" r:id="rId37" name="Check Box 155">
              <controlPr defaultSize="0" autoFill="0" autoLine="0" autoPict="0">
                <anchor moveWithCells="1">
                  <from>
                    <xdr:col>10</xdr:col>
                    <xdr:colOff>68580</xdr:colOff>
                    <xdr:row>14</xdr:row>
                    <xdr:rowOff>106680</xdr:rowOff>
                  </from>
                  <to>
                    <xdr:col>11</xdr:col>
                    <xdr:colOff>236220</xdr:colOff>
                    <xdr:row>15</xdr:row>
                    <xdr:rowOff>76200</xdr:rowOff>
                  </to>
                </anchor>
              </controlPr>
            </control>
          </mc:Choice>
        </mc:AlternateContent>
        <mc:AlternateContent xmlns:mc="http://schemas.openxmlformats.org/markup-compatibility/2006">
          <mc:Choice Requires="x14">
            <control shapeId="60572" r:id="rId38" name="Check Box 156">
              <controlPr defaultSize="0" autoFill="0" autoLine="0" autoPict="0">
                <anchor moveWithCells="1">
                  <from>
                    <xdr:col>10</xdr:col>
                    <xdr:colOff>68580</xdr:colOff>
                    <xdr:row>21</xdr:row>
                    <xdr:rowOff>106680</xdr:rowOff>
                  </from>
                  <to>
                    <xdr:col>11</xdr:col>
                    <xdr:colOff>236220</xdr:colOff>
                    <xdr:row>22</xdr:row>
                    <xdr:rowOff>76200</xdr:rowOff>
                  </to>
                </anchor>
              </controlPr>
            </control>
          </mc:Choice>
        </mc:AlternateContent>
        <mc:AlternateContent xmlns:mc="http://schemas.openxmlformats.org/markup-compatibility/2006">
          <mc:Choice Requires="x14">
            <control shapeId="60573" r:id="rId39" name="Check Box 157">
              <controlPr defaultSize="0" autoFill="0" autoLine="0" autoPict="0">
                <anchor moveWithCells="1">
                  <from>
                    <xdr:col>10</xdr:col>
                    <xdr:colOff>68580</xdr:colOff>
                    <xdr:row>28</xdr:row>
                    <xdr:rowOff>106680</xdr:rowOff>
                  </from>
                  <to>
                    <xdr:col>11</xdr:col>
                    <xdr:colOff>236220</xdr:colOff>
                    <xdr:row>29</xdr:row>
                    <xdr:rowOff>76200</xdr:rowOff>
                  </to>
                </anchor>
              </controlPr>
            </control>
          </mc:Choice>
        </mc:AlternateContent>
        <mc:AlternateContent xmlns:mc="http://schemas.openxmlformats.org/markup-compatibility/2006">
          <mc:Choice Requires="x14">
            <control shapeId="60574" r:id="rId40" name="Check Box 158">
              <controlPr defaultSize="0" autoFill="0" autoLine="0" autoPict="0">
                <anchor moveWithCells="1">
                  <from>
                    <xdr:col>10</xdr:col>
                    <xdr:colOff>68580</xdr:colOff>
                    <xdr:row>35</xdr:row>
                    <xdr:rowOff>106680</xdr:rowOff>
                  </from>
                  <to>
                    <xdr:col>11</xdr:col>
                    <xdr:colOff>236220</xdr:colOff>
                    <xdr:row>36</xdr:row>
                    <xdr:rowOff>76200</xdr:rowOff>
                  </to>
                </anchor>
              </controlPr>
            </control>
          </mc:Choice>
        </mc:AlternateContent>
        <mc:AlternateContent xmlns:mc="http://schemas.openxmlformats.org/markup-compatibility/2006">
          <mc:Choice Requires="x14">
            <control shapeId="60575" r:id="rId41" name="Check Box 159">
              <controlPr defaultSize="0" autoFill="0" autoLine="0" autoPict="0">
                <anchor moveWithCells="1">
                  <from>
                    <xdr:col>10</xdr:col>
                    <xdr:colOff>68580</xdr:colOff>
                    <xdr:row>42</xdr:row>
                    <xdr:rowOff>106680</xdr:rowOff>
                  </from>
                  <to>
                    <xdr:col>11</xdr:col>
                    <xdr:colOff>236220</xdr:colOff>
                    <xdr:row>43</xdr:row>
                    <xdr:rowOff>76200</xdr:rowOff>
                  </to>
                </anchor>
              </controlPr>
            </control>
          </mc:Choice>
        </mc:AlternateContent>
        <mc:AlternateContent xmlns:mc="http://schemas.openxmlformats.org/markup-compatibility/2006">
          <mc:Choice Requires="x14">
            <control shapeId="60576" r:id="rId42" name="Check Box 160">
              <controlPr defaultSize="0" autoFill="0" autoLine="0" autoPict="0">
                <anchor moveWithCells="1">
                  <from>
                    <xdr:col>10</xdr:col>
                    <xdr:colOff>68580</xdr:colOff>
                    <xdr:row>49</xdr:row>
                    <xdr:rowOff>106680</xdr:rowOff>
                  </from>
                  <to>
                    <xdr:col>11</xdr:col>
                    <xdr:colOff>236220</xdr:colOff>
                    <xdr:row>50</xdr:row>
                    <xdr:rowOff>76200</xdr:rowOff>
                  </to>
                </anchor>
              </controlPr>
            </control>
          </mc:Choice>
        </mc:AlternateContent>
        <mc:AlternateContent xmlns:mc="http://schemas.openxmlformats.org/markup-compatibility/2006">
          <mc:Choice Requires="x14">
            <control shapeId="60577" r:id="rId43" name="Check Box 161">
              <controlPr defaultSize="0" autoFill="0" autoLine="0" autoPict="0">
                <anchor moveWithCells="1">
                  <from>
                    <xdr:col>10</xdr:col>
                    <xdr:colOff>68580</xdr:colOff>
                    <xdr:row>56</xdr:row>
                    <xdr:rowOff>106680</xdr:rowOff>
                  </from>
                  <to>
                    <xdr:col>11</xdr:col>
                    <xdr:colOff>236220</xdr:colOff>
                    <xdr:row>57</xdr:row>
                    <xdr:rowOff>76200</xdr:rowOff>
                  </to>
                </anchor>
              </controlPr>
            </control>
          </mc:Choice>
        </mc:AlternateContent>
        <mc:AlternateContent xmlns:mc="http://schemas.openxmlformats.org/markup-compatibility/2006">
          <mc:Choice Requires="x14">
            <control shapeId="60582" r:id="rId44" name="Button 166">
              <controlPr defaultSize="0" print="0" autoFill="0" autoPict="0" macro="[0]!IW_Copy">
                <anchor moveWithCells="1" sizeWithCells="1">
                  <from>
                    <xdr:col>3</xdr:col>
                    <xdr:colOff>137160</xdr:colOff>
                    <xdr:row>0</xdr:row>
                    <xdr:rowOff>7620</xdr:rowOff>
                  </from>
                  <to>
                    <xdr:col>3</xdr:col>
                    <xdr:colOff>571500</xdr:colOff>
                    <xdr:row>1</xdr:row>
                    <xdr:rowOff>106680</xdr:rowOff>
                  </to>
                </anchor>
              </controlPr>
            </control>
          </mc:Choice>
        </mc:AlternateContent>
        <mc:AlternateContent xmlns:mc="http://schemas.openxmlformats.org/markup-compatibility/2006">
          <mc:Choice Requires="x14">
            <control shapeId="60583" r:id="rId45" name="Button 167">
              <controlPr defaultSize="0" print="0" autoFill="0" autoPict="0" macro="[0]!IW_Home">
                <anchor moveWithCells="1" sizeWithCells="1">
                  <from>
                    <xdr:col>0</xdr:col>
                    <xdr:colOff>0</xdr:colOff>
                    <xdr:row>0</xdr:row>
                    <xdr:rowOff>7620</xdr:rowOff>
                  </from>
                  <to>
                    <xdr:col>3</xdr:col>
                    <xdr:colOff>83820</xdr:colOff>
                    <xdr:row>1</xdr:row>
                    <xdr:rowOff>106680</xdr:rowOff>
                  </to>
                </anchor>
              </controlPr>
            </control>
          </mc:Choice>
        </mc:AlternateContent>
        <mc:AlternateContent xmlns:mc="http://schemas.openxmlformats.org/markup-compatibility/2006">
          <mc:Choice Requires="x14">
            <control shapeId="60584" r:id="rId46" name="Button 168">
              <controlPr defaultSize="0" print="0" autoFill="0" autoPict="0" macro="[0]!QCAssets_Clear">
                <anchor moveWithCells="1" sizeWithCells="1">
                  <from>
                    <xdr:col>3</xdr:col>
                    <xdr:colOff>624840</xdr:colOff>
                    <xdr:row>0</xdr:row>
                    <xdr:rowOff>7620</xdr:rowOff>
                  </from>
                  <to>
                    <xdr:col>4</xdr:col>
                    <xdr:colOff>304800</xdr:colOff>
                    <xdr:row>1</xdr:row>
                    <xdr:rowOff>106680</xdr:rowOff>
                  </to>
                </anchor>
              </controlPr>
            </control>
          </mc:Choice>
        </mc:AlternateContent>
        <mc:AlternateContent xmlns:mc="http://schemas.openxmlformats.org/markup-compatibility/2006">
          <mc:Choice Requires="x14">
            <control shapeId="60585" r:id="rId47" name="Button 169">
              <controlPr defaultSize="0" print="0" autoFill="0" autoPict="0" macro="[0]!QCAssets_Hide">
                <anchor moveWithCells="1" sizeWithCells="1">
                  <from>
                    <xdr:col>0</xdr:col>
                    <xdr:colOff>7620</xdr:colOff>
                    <xdr:row>1</xdr:row>
                    <xdr:rowOff>160020</xdr:rowOff>
                  </from>
                  <to>
                    <xdr:col>3</xdr:col>
                    <xdr:colOff>91440</xdr:colOff>
                    <xdr:row>2</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1">
    <tabColor rgb="FFF92F07"/>
  </sheetPr>
  <dimension ref="A2:N64"/>
  <sheetViews>
    <sheetView showGridLines="0" showRowColHeaders="0" showRuler="0" view="pageLayout" zoomScale="90" zoomScaleNormal="100" zoomScalePageLayoutView="90" workbookViewId="0">
      <selection activeCell="D6" sqref="D6:G6"/>
    </sheetView>
  </sheetViews>
  <sheetFormatPr defaultColWidth="9.109375" defaultRowHeight="14.4" x14ac:dyDescent="0.3"/>
  <cols>
    <col min="1" max="1" width="4.88671875" style="15" customWidth="1"/>
    <col min="2" max="2" width="6.109375" style="15" customWidth="1"/>
    <col min="3" max="3" width="5.33203125" customWidth="1"/>
    <col min="4" max="4" width="7.33203125" customWidth="1"/>
    <col min="5" max="6" width="15.44140625" customWidth="1"/>
    <col min="7" max="7" width="2.88671875" customWidth="1"/>
    <col min="8" max="8" width="10.6640625" customWidth="1"/>
    <col min="9" max="9" width="9.44140625" customWidth="1"/>
    <col min="10" max="10" width="1.33203125" customWidth="1"/>
    <col min="11" max="11" width="3.5546875" customWidth="1"/>
    <col min="12" max="12" width="12.5546875" customWidth="1"/>
    <col min="13" max="13" width="3.33203125" customWidth="1"/>
    <col min="14" max="14" width="2.5546875" customWidth="1"/>
  </cols>
  <sheetData>
    <row r="2" spans="1:14" ht="36" customHeight="1" x14ac:dyDescent="0.5">
      <c r="A2" s="1321" t="s">
        <v>168</v>
      </c>
      <c r="B2" s="1321"/>
      <c r="C2" s="1321"/>
      <c r="D2" s="1321"/>
      <c r="E2" s="1321"/>
      <c r="F2" s="1321"/>
      <c r="G2" s="1321"/>
      <c r="H2" s="1321"/>
      <c r="I2" s="1321"/>
      <c r="J2" s="1321"/>
      <c r="K2" s="1321"/>
      <c r="L2" s="1321"/>
      <c r="M2" s="1321"/>
      <c r="N2" s="1321"/>
    </row>
    <row r="3" spans="1:14" ht="23.4" x14ac:dyDescent="0.45">
      <c r="A3" s="1409"/>
      <c r="B3" s="1409"/>
      <c r="C3" s="1409"/>
      <c r="D3" s="1409"/>
      <c r="E3" s="1409"/>
      <c r="F3" s="1409"/>
      <c r="G3" s="1409"/>
      <c r="H3" s="1409"/>
      <c r="I3" s="1409"/>
      <c r="J3" s="1409"/>
      <c r="K3" s="1409"/>
      <c r="L3" s="1409"/>
      <c r="M3" s="1409"/>
      <c r="N3" s="1409"/>
    </row>
    <row r="4" spans="1:14" ht="15.75" customHeight="1" x14ac:dyDescent="0.45">
      <c r="A4" s="132"/>
      <c r="B4" s="132"/>
      <c r="C4" s="132"/>
      <c r="D4" s="132"/>
      <c r="E4" s="132"/>
      <c r="F4" s="132"/>
      <c r="G4" s="132"/>
      <c r="H4" s="132"/>
      <c r="I4" s="132"/>
      <c r="J4" s="132"/>
      <c r="K4" s="132"/>
      <c r="L4" s="132"/>
      <c r="M4" s="132"/>
      <c r="N4" s="132"/>
    </row>
    <row r="5" spans="1:14" ht="15.75" customHeight="1" x14ac:dyDescent="0.45">
      <c r="A5" s="132"/>
      <c r="B5" s="132"/>
      <c r="C5" s="132"/>
      <c r="D5" s="132"/>
      <c r="E5" s="132"/>
      <c r="F5" s="132"/>
      <c r="G5" s="132"/>
      <c r="H5" s="132"/>
      <c r="I5" s="132"/>
      <c r="J5" s="132"/>
      <c r="K5" s="132"/>
      <c r="L5" s="132"/>
      <c r="M5" s="132"/>
      <c r="N5" s="132"/>
    </row>
    <row r="6" spans="1:14" ht="15.6" x14ac:dyDescent="0.3">
      <c r="A6" s="34"/>
      <c r="B6" s="1407" t="s">
        <v>15</v>
      </c>
      <c r="C6" s="1407"/>
      <c r="D6" s="1359"/>
      <c r="E6" s="1359"/>
      <c r="F6" s="1359"/>
      <c r="G6" s="1359"/>
      <c r="H6" s="1413" t="s">
        <v>109</v>
      </c>
      <c r="I6" s="1413"/>
      <c r="J6" s="1413"/>
      <c r="K6" s="1877"/>
      <c r="L6" s="1877"/>
      <c r="M6" s="5"/>
    </row>
    <row r="7" spans="1:14" ht="22.5" customHeight="1" x14ac:dyDescent="0.3">
      <c r="A7" s="4"/>
      <c r="B7" s="4"/>
      <c r="C7" s="4"/>
      <c r="D7" s="10"/>
      <c r="E7" s="10"/>
      <c r="F7" s="10"/>
      <c r="G7" s="10"/>
      <c r="H7" s="10"/>
      <c r="I7" s="3"/>
      <c r="J7" s="2"/>
      <c r="K7" s="5"/>
      <c r="L7" s="133"/>
      <c r="M7" s="133"/>
    </row>
    <row r="8" spans="1:14" ht="15.75" customHeight="1" x14ac:dyDescent="0.3">
      <c r="A8" s="4"/>
      <c r="B8" s="1364" t="s">
        <v>174</v>
      </c>
      <c r="C8" s="1364"/>
      <c r="D8" s="1364"/>
      <c r="E8" s="1364"/>
      <c r="F8" s="1364"/>
      <c r="G8" s="1364" t="s">
        <v>170</v>
      </c>
      <c r="H8" s="1364"/>
      <c r="I8" s="1364" t="s">
        <v>169</v>
      </c>
      <c r="J8" s="1364"/>
      <c r="K8" s="1364"/>
      <c r="L8" s="3"/>
      <c r="M8" s="92"/>
    </row>
    <row r="9" spans="1:14" ht="15" customHeight="1" x14ac:dyDescent="0.3">
      <c r="B9" s="1503"/>
      <c r="C9" s="1503"/>
      <c r="D9" s="1503"/>
      <c r="E9" s="1503"/>
      <c r="F9" s="161"/>
      <c r="G9" s="92"/>
      <c r="H9" s="92"/>
      <c r="I9" s="66"/>
      <c r="J9" s="1392"/>
      <c r="K9" s="1392"/>
      <c r="L9" s="1392"/>
      <c r="M9" s="1392"/>
      <c r="N9" s="3"/>
    </row>
    <row r="10" spans="1:14" ht="15.75" customHeight="1" x14ac:dyDescent="0.3">
      <c r="B10" s="1364" t="s">
        <v>175</v>
      </c>
      <c r="C10" s="1364"/>
      <c r="D10" s="1364"/>
      <c r="E10" s="1364"/>
      <c r="F10" s="1364"/>
      <c r="G10" s="1364" t="s">
        <v>170</v>
      </c>
      <c r="H10" s="1364"/>
      <c r="I10" s="3" t="s">
        <v>169</v>
      </c>
      <c r="J10" s="3"/>
      <c r="K10" s="1427" t="s">
        <v>176</v>
      </c>
      <c r="L10" s="1427"/>
      <c r="M10" s="1427"/>
      <c r="N10" s="3"/>
    </row>
    <row r="11" spans="1:14" ht="24.75" customHeight="1" thickBot="1" x14ac:dyDescent="0.35">
      <c r="B11" s="1503"/>
      <c r="C11" s="1503"/>
      <c r="D11" s="1503"/>
      <c r="E11" s="1503"/>
      <c r="F11" s="6"/>
      <c r="I11" s="2506"/>
      <c r="J11" s="2506"/>
      <c r="K11" s="2506"/>
      <c r="L11" s="2506"/>
      <c r="M11" s="2506"/>
      <c r="N11" s="3"/>
    </row>
    <row r="12" spans="1:14" ht="32.25" customHeight="1" thickBot="1" x14ac:dyDescent="0.35">
      <c r="B12" s="2519" t="s">
        <v>246</v>
      </c>
      <c r="C12" s="2520"/>
      <c r="D12" s="2520"/>
      <c r="E12" s="2520"/>
      <c r="F12" s="163" t="s">
        <v>120</v>
      </c>
      <c r="G12" s="2500" t="s">
        <v>204</v>
      </c>
      <c r="H12" s="2500"/>
      <c r="I12" s="2500"/>
      <c r="J12" s="2500"/>
      <c r="K12" s="2500"/>
      <c r="L12" s="2500"/>
      <c r="M12" s="2370"/>
    </row>
    <row r="13" spans="1:14" ht="15" customHeight="1" x14ac:dyDescent="0.3">
      <c r="B13" s="2501" t="s">
        <v>847</v>
      </c>
      <c r="C13" s="2502"/>
      <c r="D13" s="2502"/>
      <c r="E13" s="2503"/>
      <c r="F13" s="59"/>
      <c r="G13" s="2504"/>
      <c r="H13" s="2504"/>
      <c r="I13" s="2504"/>
      <c r="J13" s="2504"/>
      <c r="K13" s="2504"/>
      <c r="L13" s="2504"/>
      <c r="M13" s="2505"/>
    </row>
    <row r="14" spans="1:14" ht="15" customHeight="1" x14ac:dyDescent="0.3">
      <c r="B14" s="1269" t="s">
        <v>847</v>
      </c>
      <c r="C14" s="1270"/>
      <c r="D14" s="1270"/>
      <c r="E14" s="1271"/>
      <c r="F14" s="60"/>
      <c r="G14" s="1272"/>
      <c r="H14" s="1272"/>
      <c r="I14" s="1272"/>
      <c r="J14" s="1272"/>
      <c r="K14" s="1272"/>
      <c r="L14" s="1272"/>
      <c r="M14" s="1273"/>
    </row>
    <row r="15" spans="1:14" ht="15" customHeight="1" x14ac:dyDescent="0.3">
      <c r="B15" s="1269" t="s">
        <v>847</v>
      </c>
      <c r="C15" s="1270"/>
      <c r="D15" s="1270"/>
      <c r="E15" s="1271"/>
      <c r="F15" s="60"/>
      <c r="G15" s="1272"/>
      <c r="H15" s="1272"/>
      <c r="I15" s="1272"/>
      <c r="J15" s="1272"/>
      <c r="K15" s="1272"/>
      <c r="L15" s="1272"/>
      <c r="M15" s="1273"/>
    </row>
    <row r="16" spans="1:14" ht="15" customHeight="1" x14ac:dyDescent="0.3">
      <c r="B16" s="1269" t="s">
        <v>847</v>
      </c>
      <c r="C16" s="1270"/>
      <c r="D16" s="1270"/>
      <c r="E16" s="1271"/>
      <c r="F16" s="60"/>
      <c r="G16" s="1272"/>
      <c r="H16" s="1272"/>
      <c r="I16" s="1272"/>
      <c r="J16" s="1272"/>
      <c r="K16" s="1272"/>
      <c r="L16" s="1272"/>
      <c r="M16" s="1273"/>
    </row>
    <row r="17" spans="2:14" ht="15" customHeight="1" x14ac:dyDescent="0.3">
      <c r="B17" s="1269" t="s">
        <v>847</v>
      </c>
      <c r="C17" s="1270"/>
      <c r="D17" s="1270"/>
      <c r="E17" s="1271"/>
      <c r="F17" s="60"/>
      <c r="G17" s="1272"/>
      <c r="H17" s="1272"/>
      <c r="I17" s="1272"/>
      <c r="J17" s="1272"/>
      <c r="K17" s="1272"/>
      <c r="L17" s="1272"/>
      <c r="M17" s="1273"/>
    </row>
    <row r="18" spans="2:14" ht="15" customHeight="1" x14ac:dyDescent="0.3">
      <c r="B18" s="1269" t="s">
        <v>847</v>
      </c>
      <c r="C18" s="1270"/>
      <c r="D18" s="1270"/>
      <c r="E18" s="1271"/>
      <c r="F18" s="60"/>
      <c r="G18" s="1272"/>
      <c r="H18" s="1272"/>
      <c r="I18" s="1272"/>
      <c r="J18" s="1272"/>
      <c r="K18" s="1272"/>
      <c r="L18" s="1272"/>
      <c r="M18" s="1273"/>
    </row>
    <row r="19" spans="2:14" ht="15" customHeight="1" x14ac:dyDescent="0.3">
      <c r="B19" s="1269" t="s">
        <v>847</v>
      </c>
      <c r="C19" s="1270"/>
      <c r="D19" s="1270"/>
      <c r="E19" s="1271"/>
      <c r="F19" s="60"/>
      <c r="G19" s="1272"/>
      <c r="H19" s="1272"/>
      <c r="I19" s="1272"/>
      <c r="J19" s="1272"/>
      <c r="K19" s="1272"/>
      <c r="L19" s="1272"/>
      <c r="M19" s="1273"/>
    </row>
    <row r="20" spans="2:14" ht="15" customHeight="1" x14ac:dyDescent="0.3">
      <c r="B20" s="1269" t="s">
        <v>847</v>
      </c>
      <c r="C20" s="1270"/>
      <c r="D20" s="1270"/>
      <c r="E20" s="1271"/>
      <c r="F20" s="60"/>
      <c r="G20" s="1272"/>
      <c r="H20" s="1272"/>
      <c r="I20" s="1272"/>
      <c r="J20" s="1272"/>
      <c r="K20" s="1272"/>
      <c r="L20" s="1272"/>
      <c r="M20" s="1273"/>
    </row>
    <row r="21" spans="2:14" ht="15" customHeight="1" x14ac:dyDescent="0.3">
      <c r="B21" s="1269" t="s">
        <v>847</v>
      </c>
      <c r="C21" s="1270"/>
      <c r="D21" s="1270"/>
      <c r="E21" s="1271"/>
      <c r="F21" s="60"/>
      <c r="G21" s="1272"/>
      <c r="H21" s="1272"/>
      <c r="I21" s="1272"/>
      <c r="J21" s="1272"/>
      <c r="K21" s="1272"/>
      <c r="L21" s="1272"/>
      <c r="M21" s="1273"/>
    </row>
    <row r="22" spans="2:14" ht="15" customHeight="1" thickBot="1" x14ac:dyDescent="0.35">
      <c r="B22" s="2516"/>
      <c r="C22" s="2517"/>
      <c r="D22" s="2517"/>
      <c r="E22" s="1262"/>
      <c r="F22" s="62"/>
      <c r="G22" s="2517"/>
      <c r="H22" s="2517"/>
      <c r="I22" s="2517"/>
      <c r="J22" s="2517"/>
      <c r="K22" s="2517"/>
      <c r="L22" s="2517"/>
      <c r="M22" s="2518"/>
    </row>
    <row r="23" spans="2:14" ht="15.75" customHeight="1" x14ac:dyDescent="0.3">
      <c r="B23" s="162"/>
      <c r="C23" s="162"/>
      <c r="D23" s="162"/>
      <c r="E23" s="162"/>
      <c r="F23" s="6"/>
    </row>
    <row r="24" spans="2:14" ht="15.75" customHeight="1" x14ac:dyDescent="0.3">
      <c r="B24" s="162"/>
      <c r="C24" s="162"/>
      <c r="D24" s="162"/>
      <c r="E24" s="162"/>
      <c r="F24" s="6"/>
    </row>
    <row r="25" spans="2:14" ht="15.75" customHeight="1" x14ac:dyDescent="0.3">
      <c r="B25" s="1364" t="s">
        <v>177</v>
      </c>
      <c r="C25" s="1364"/>
      <c r="D25" s="1364"/>
      <c r="E25" s="1364"/>
      <c r="F25" s="1364"/>
      <c r="G25" s="1364" t="s">
        <v>170</v>
      </c>
      <c r="H25" s="1364"/>
      <c r="I25" s="3" t="s">
        <v>169</v>
      </c>
      <c r="J25" s="3"/>
      <c r="K25" s="1427" t="s">
        <v>176</v>
      </c>
      <c r="L25" s="1427"/>
      <c r="M25" s="1427"/>
      <c r="N25" s="3"/>
    </row>
    <row r="26" spans="2:14" ht="16.5" customHeight="1" thickBot="1" x14ac:dyDescent="0.35">
      <c r="B26" s="162"/>
      <c r="C26" s="162"/>
      <c r="D26" s="162"/>
      <c r="E26" s="162"/>
      <c r="F26" s="6"/>
    </row>
    <row r="27" spans="2:14" ht="16.5" customHeight="1" thickBot="1" x14ac:dyDescent="0.35">
      <c r="B27" s="2507" t="s">
        <v>119</v>
      </c>
      <c r="C27" s="2508"/>
      <c r="D27" s="2508"/>
      <c r="E27" s="2508"/>
      <c r="F27" s="164" t="s">
        <v>120</v>
      </c>
      <c r="G27" s="2509" t="s">
        <v>204</v>
      </c>
      <c r="H27" s="2509"/>
      <c r="I27" s="2510"/>
      <c r="J27" s="2510"/>
      <c r="K27" s="2510"/>
      <c r="L27" s="2510"/>
      <c r="M27" s="2511"/>
    </row>
    <row r="28" spans="2:14" ht="15.75" customHeight="1" x14ac:dyDescent="0.3">
      <c r="B28" s="2512" t="s">
        <v>847</v>
      </c>
      <c r="C28" s="2513"/>
      <c r="D28" s="2513"/>
      <c r="E28" s="2513"/>
      <c r="F28" s="59"/>
      <c r="G28" s="2514"/>
      <c r="H28" s="2514"/>
      <c r="I28" s="2406"/>
      <c r="J28" s="2406"/>
      <c r="K28" s="2406"/>
      <c r="L28" s="2406"/>
      <c r="M28" s="2515"/>
    </row>
    <row r="29" spans="2:14" ht="15.75" customHeight="1" x14ac:dyDescent="0.3">
      <c r="B29" s="1232" t="s">
        <v>847</v>
      </c>
      <c r="C29" s="1233"/>
      <c r="D29" s="1233"/>
      <c r="E29" s="1233"/>
      <c r="F29" s="60"/>
      <c r="G29" s="1271" t="s">
        <v>847</v>
      </c>
      <c r="H29" s="1271"/>
      <c r="I29" s="1233"/>
      <c r="J29" s="1233"/>
      <c r="K29" s="1233"/>
      <c r="L29" s="1233"/>
      <c r="M29" s="1354"/>
    </row>
    <row r="30" spans="2:14" ht="15.75" customHeight="1" x14ac:dyDescent="0.3">
      <c r="B30" s="1232" t="s">
        <v>847</v>
      </c>
      <c r="C30" s="1233"/>
      <c r="D30" s="1233"/>
      <c r="E30" s="1233"/>
      <c r="F30" s="60"/>
      <c r="G30" s="1271" t="s">
        <v>847</v>
      </c>
      <c r="H30" s="1271"/>
      <c r="I30" s="1233"/>
      <c r="J30" s="1233"/>
      <c r="K30" s="1233"/>
      <c r="L30" s="1233"/>
      <c r="M30" s="1354"/>
    </row>
    <row r="31" spans="2:14" ht="15.75" customHeight="1" x14ac:dyDescent="0.3">
      <c r="B31" s="1232" t="s">
        <v>847</v>
      </c>
      <c r="C31" s="1233"/>
      <c r="D31" s="1233"/>
      <c r="E31" s="1233"/>
      <c r="F31" s="60"/>
      <c r="G31" s="1271" t="s">
        <v>847</v>
      </c>
      <c r="H31" s="1271"/>
      <c r="I31" s="1233"/>
      <c r="J31" s="1233"/>
      <c r="K31" s="1233"/>
      <c r="L31" s="1233"/>
      <c r="M31" s="1354"/>
    </row>
    <row r="32" spans="2:14" ht="15.75" customHeight="1" x14ac:dyDescent="0.3">
      <c r="B32" s="1232" t="s">
        <v>847</v>
      </c>
      <c r="C32" s="1233"/>
      <c r="D32" s="1233"/>
      <c r="E32" s="1233"/>
      <c r="F32" s="60"/>
      <c r="G32" s="1236"/>
      <c r="H32" s="1236"/>
      <c r="I32" s="1237"/>
      <c r="J32" s="1237"/>
      <c r="K32" s="1237"/>
      <c r="L32" s="1237"/>
      <c r="M32" s="1238"/>
    </row>
    <row r="33" spans="2:13" ht="15.75" customHeight="1" x14ac:dyDescent="0.3">
      <c r="B33" s="1232" t="s">
        <v>847</v>
      </c>
      <c r="C33" s="1233"/>
      <c r="D33" s="1233"/>
      <c r="E33" s="1233"/>
      <c r="F33" s="61"/>
      <c r="G33" s="1236"/>
      <c r="H33" s="1236"/>
      <c r="I33" s="1237"/>
      <c r="J33" s="1237"/>
      <c r="K33" s="1237"/>
      <c r="L33" s="1237"/>
      <c r="M33" s="1238"/>
    </row>
    <row r="34" spans="2:13" ht="15.75" customHeight="1" x14ac:dyDescent="0.3">
      <c r="B34" s="1232" t="s">
        <v>847</v>
      </c>
      <c r="C34" s="1233"/>
      <c r="D34" s="1233"/>
      <c r="E34" s="1233"/>
      <c r="F34" s="61"/>
      <c r="G34" s="1236"/>
      <c r="H34" s="1236"/>
      <c r="I34" s="1237"/>
      <c r="J34" s="1237"/>
      <c r="K34" s="1237"/>
      <c r="L34" s="1237"/>
      <c r="M34" s="1238"/>
    </row>
    <row r="35" spans="2:13" ht="15.75" customHeight="1" x14ac:dyDescent="0.3">
      <c r="B35" s="1232" t="s">
        <v>847</v>
      </c>
      <c r="C35" s="1233"/>
      <c r="D35" s="1233"/>
      <c r="E35" s="1233"/>
      <c r="F35" s="61"/>
      <c r="G35" s="1236"/>
      <c r="H35" s="1236"/>
      <c r="I35" s="1237"/>
      <c r="J35" s="1237"/>
      <c r="K35" s="1237"/>
      <c r="L35" s="1237"/>
      <c r="M35" s="1238"/>
    </row>
    <row r="36" spans="2:13" ht="15" customHeight="1" x14ac:dyDescent="0.3">
      <c r="B36" s="1232" t="s">
        <v>847</v>
      </c>
      <c r="C36" s="1233"/>
      <c r="D36" s="1233"/>
      <c r="E36" s="1233"/>
      <c r="F36" s="61"/>
      <c r="G36" s="1236"/>
      <c r="H36" s="1236"/>
      <c r="I36" s="1237"/>
      <c r="J36" s="1237"/>
      <c r="K36" s="1237"/>
      <c r="L36" s="1237"/>
      <c r="M36" s="1238"/>
    </row>
    <row r="37" spans="2:13" ht="15" customHeight="1" thickBot="1" x14ac:dyDescent="0.35">
      <c r="B37" s="1239" t="s">
        <v>847</v>
      </c>
      <c r="C37" s="1240"/>
      <c r="D37" s="1240"/>
      <c r="E37" s="1240"/>
      <c r="F37" s="62"/>
      <c r="G37" s="1262"/>
      <c r="H37" s="1262"/>
      <c r="I37" s="1263"/>
      <c r="J37" s="1263"/>
      <c r="K37" s="1263"/>
      <c r="L37" s="1263"/>
      <c r="M37" s="1264"/>
    </row>
    <row r="40" spans="2:13" x14ac:dyDescent="0.3">
      <c r="I40" s="2521" t="s">
        <v>453</v>
      </c>
      <c r="J40" s="2521"/>
      <c r="K40" s="2521"/>
      <c r="L40" s="2521"/>
      <c r="M40" s="2521"/>
    </row>
    <row r="41" spans="2:13" x14ac:dyDescent="0.3">
      <c r="I41" s="2521"/>
      <c r="J41" s="2521"/>
      <c r="K41" s="2521"/>
      <c r="L41" s="2521"/>
      <c r="M41" s="2521"/>
    </row>
    <row r="49" spans="1:14" ht="39.75" customHeight="1" x14ac:dyDescent="0.3"/>
    <row r="51" spans="1:14" x14ac:dyDescent="0.3">
      <c r="A51" s="1903" t="s">
        <v>1077</v>
      </c>
      <c r="B51" s="1903"/>
      <c r="C51" s="1903"/>
      <c r="D51" s="1903"/>
      <c r="E51" s="1903"/>
    </row>
    <row r="52" spans="1:14" x14ac:dyDescent="0.3">
      <c r="A52" s="1325"/>
      <c r="B52" s="1325"/>
      <c r="C52" s="1325"/>
      <c r="D52" s="1325"/>
      <c r="E52" s="1325"/>
      <c r="F52" s="1325"/>
      <c r="G52" s="1325"/>
      <c r="H52" s="1325"/>
      <c r="I52" s="1325"/>
      <c r="J52" s="1325"/>
      <c r="K52" s="1325"/>
      <c r="L52" s="1325"/>
      <c r="M52" s="1325"/>
      <c r="N52" s="1325"/>
    </row>
    <row r="53" spans="1:14" x14ac:dyDescent="0.3">
      <c r="A53" s="1325"/>
      <c r="B53" s="1325"/>
      <c r="C53" s="1325"/>
      <c r="D53" s="1325"/>
      <c r="E53" s="1325"/>
      <c r="F53" s="1325"/>
      <c r="G53" s="1325"/>
      <c r="H53" s="1325"/>
      <c r="I53" s="1325"/>
      <c r="J53" s="1325"/>
      <c r="K53" s="1325"/>
      <c r="L53" s="1325"/>
      <c r="M53" s="1325"/>
      <c r="N53" s="1325"/>
    </row>
    <row r="54" spans="1:14" x14ac:dyDescent="0.3">
      <c r="A54" s="1325"/>
      <c r="B54" s="1325"/>
      <c r="C54" s="1325"/>
      <c r="D54" s="1325"/>
      <c r="E54" s="1325"/>
      <c r="F54" s="1325"/>
      <c r="G54" s="1325"/>
      <c r="H54" s="1325"/>
      <c r="I54" s="1325"/>
      <c r="J54" s="1325"/>
      <c r="K54" s="1325"/>
      <c r="L54" s="1325"/>
      <c r="M54" s="1325"/>
      <c r="N54" s="1325"/>
    </row>
    <row r="55" spans="1:14" x14ac:dyDescent="0.3">
      <c r="A55" s="1325"/>
      <c r="B55" s="1325"/>
      <c r="C55" s="1325"/>
      <c r="D55" s="1325"/>
      <c r="E55" s="1325"/>
      <c r="F55" s="1325"/>
      <c r="G55" s="1325"/>
      <c r="H55" s="1325"/>
      <c r="I55" s="1325"/>
      <c r="J55" s="1325"/>
      <c r="K55" s="1325"/>
      <c r="L55" s="1325"/>
      <c r="M55" s="1325"/>
      <c r="N55" s="1325"/>
    </row>
    <row r="56" spans="1:14" x14ac:dyDescent="0.3">
      <c r="A56" s="1325"/>
      <c r="B56" s="1325"/>
      <c r="C56" s="1325"/>
      <c r="D56" s="1325"/>
      <c r="E56" s="1325"/>
      <c r="F56" s="1325"/>
      <c r="G56" s="1325"/>
      <c r="H56" s="1325"/>
      <c r="I56" s="1325"/>
      <c r="J56" s="1325"/>
      <c r="K56" s="1325"/>
      <c r="L56" s="1325"/>
      <c r="M56" s="1325"/>
      <c r="N56" s="1325"/>
    </row>
    <row r="57" spans="1:14" hidden="1" x14ac:dyDescent="0.3">
      <c r="A57" s="907"/>
      <c r="B57" s="29"/>
      <c r="C57" s="29"/>
      <c r="D57" s="29"/>
      <c r="E57" s="29"/>
      <c r="F57" s="29"/>
      <c r="G57" s="29"/>
      <c r="H57" s="29"/>
      <c r="I57" s="125"/>
      <c r="J57" s="125"/>
      <c r="K57" s="125"/>
      <c r="L57" s="125"/>
      <c r="M57" s="125"/>
      <c r="N57" s="38"/>
    </row>
    <row r="58" spans="1:14" hidden="1" x14ac:dyDescent="0.3">
      <c r="I58" s="38"/>
      <c r="J58" s="38"/>
      <c r="K58" s="1046" t="b">
        <v>0</v>
      </c>
      <c r="L58" s="1046" t="b">
        <v>0</v>
      </c>
      <c r="M58" s="1046" t="b">
        <v>0</v>
      </c>
      <c r="N58" s="1046" t="b">
        <v>0</v>
      </c>
    </row>
    <row r="59" spans="1:14" hidden="1" x14ac:dyDescent="0.3">
      <c r="I59" s="38"/>
      <c r="J59" s="38"/>
      <c r="K59" s="1046" t="b">
        <v>0</v>
      </c>
      <c r="L59" s="1046" t="b">
        <v>0</v>
      </c>
      <c r="M59" s="1046" t="b">
        <v>0</v>
      </c>
      <c r="N59" s="1046" t="b">
        <v>0</v>
      </c>
    </row>
    <row r="60" spans="1:14" ht="15" hidden="1" customHeight="1" x14ac:dyDescent="0.3"/>
    <row r="64" spans="1:14" x14ac:dyDescent="0.3">
      <c r="J64" s="1419" t="str">
        <f>Version</f>
        <v>Version 2026.1</v>
      </c>
      <c r="K64" s="1419"/>
      <c r="L64" s="1419"/>
      <c r="M64" s="1419"/>
      <c r="N64" s="1419"/>
    </row>
  </sheetData>
  <sheetProtection algorithmName="SHA-512" hashValue="rHWSmToV0UsD0m046pcv5BEBKGTLUNbMcl4plVEceOeQSFXogbxlE+p57euTqIHNSTzECSANmLSk8Cb6H6gqwQ==" saltValue="tPuqntK6YsvfdybFwm6zjQ==" spinCount="100000" sheet="1" objects="1" scenarios="1" selectLockedCells="1"/>
  <mergeCells count="67">
    <mergeCell ref="B8:F8"/>
    <mergeCell ref="B9:E9"/>
    <mergeCell ref="B12:E12"/>
    <mergeCell ref="I40:M41"/>
    <mergeCell ref="J64:N64"/>
    <mergeCell ref="A52:N56"/>
    <mergeCell ref="A51:E51"/>
    <mergeCell ref="B37:E37"/>
    <mergeCell ref="G37:M37"/>
    <mergeCell ref="K10:M10"/>
    <mergeCell ref="B25:F25"/>
    <mergeCell ref="G25:H25"/>
    <mergeCell ref="K25:M25"/>
    <mergeCell ref="B15:E15"/>
    <mergeCell ref="G15:M15"/>
    <mergeCell ref="B16:E16"/>
    <mergeCell ref="G16:M16"/>
    <mergeCell ref="B17:E17"/>
    <mergeCell ref="G17:M17"/>
    <mergeCell ref="B14:E14"/>
    <mergeCell ref="G14:M14"/>
    <mergeCell ref="B36:E36"/>
    <mergeCell ref="G36:M36"/>
    <mergeCell ref="B29:E29"/>
    <mergeCell ref="G29:M29"/>
    <mergeCell ref="B32:E32"/>
    <mergeCell ref="G32:M32"/>
    <mergeCell ref="B33:E33"/>
    <mergeCell ref="G33:M33"/>
    <mergeCell ref="G30:M30"/>
    <mergeCell ref="G31:M31"/>
    <mergeCell ref="B30:E30"/>
    <mergeCell ref="B31:E31"/>
    <mergeCell ref="B34:E34"/>
    <mergeCell ref="G34:M34"/>
    <mergeCell ref="B35:E35"/>
    <mergeCell ref="G35:M35"/>
    <mergeCell ref="B27:E27"/>
    <mergeCell ref="G27:M27"/>
    <mergeCell ref="B28:E28"/>
    <mergeCell ref="G28:M28"/>
    <mergeCell ref="B18:E18"/>
    <mergeCell ref="G18:M18"/>
    <mergeCell ref="B19:E19"/>
    <mergeCell ref="G19:M19"/>
    <mergeCell ref="B20:E20"/>
    <mergeCell ref="G20:M20"/>
    <mergeCell ref="B21:E21"/>
    <mergeCell ref="G21:M21"/>
    <mergeCell ref="B22:E22"/>
    <mergeCell ref="G22:M22"/>
    <mergeCell ref="G12:M12"/>
    <mergeCell ref="B13:E13"/>
    <mergeCell ref="G13:M13"/>
    <mergeCell ref="A2:N2"/>
    <mergeCell ref="A3:N3"/>
    <mergeCell ref="B6:C6"/>
    <mergeCell ref="D6:G6"/>
    <mergeCell ref="K6:L6"/>
    <mergeCell ref="H6:J6"/>
    <mergeCell ref="J9:M9"/>
    <mergeCell ref="B11:E11"/>
    <mergeCell ref="I11:M11"/>
    <mergeCell ref="G10:H10"/>
    <mergeCell ref="B10:F10"/>
    <mergeCell ref="G8:H8"/>
    <mergeCell ref="I8:K8"/>
  </mergeCells>
  <printOptions horizontalCentered="1"/>
  <pageMargins left="0.25" right="0.25" top="0.25" bottom="0.25" header="0.3" footer="0.3"/>
  <pageSetup paperSize="5" scale="97"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7" r:id="rId4" name="Check Box 3">
              <controlPr defaultSize="0" autoFill="0" autoLine="0" autoPict="0">
                <anchor moveWithCells="1">
                  <from>
                    <xdr:col>7</xdr:col>
                    <xdr:colOff>99060</xdr:colOff>
                    <xdr:row>9</xdr:row>
                    <xdr:rowOff>0</xdr:rowOff>
                  </from>
                  <to>
                    <xdr:col>7</xdr:col>
                    <xdr:colOff>495300</xdr:colOff>
                    <xdr:row>10</xdr:row>
                    <xdr:rowOff>30480</xdr:rowOff>
                  </to>
                </anchor>
              </controlPr>
            </control>
          </mc:Choice>
        </mc:AlternateContent>
        <mc:AlternateContent xmlns:mc="http://schemas.openxmlformats.org/markup-compatibility/2006">
          <mc:Choice Requires="x14">
            <control shapeId="62468" r:id="rId5" name="Check Box 4">
              <controlPr defaultSize="0" autoFill="0" autoLine="0" autoPict="0">
                <anchor moveWithCells="1">
                  <from>
                    <xdr:col>8</xdr:col>
                    <xdr:colOff>312420</xdr:colOff>
                    <xdr:row>9</xdr:row>
                    <xdr:rowOff>0</xdr:rowOff>
                  </from>
                  <to>
                    <xdr:col>9</xdr:col>
                    <xdr:colOff>38100</xdr:colOff>
                    <xdr:row>10</xdr:row>
                    <xdr:rowOff>30480</xdr:rowOff>
                  </to>
                </anchor>
              </controlPr>
            </control>
          </mc:Choice>
        </mc:AlternateContent>
        <mc:AlternateContent xmlns:mc="http://schemas.openxmlformats.org/markup-compatibility/2006">
          <mc:Choice Requires="x14">
            <control shapeId="62470" r:id="rId6" name="Check Box 6">
              <controlPr defaultSize="0" autoFill="0" autoLine="0" autoPict="0">
                <anchor moveWithCells="1">
                  <from>
                    <xdr:col>11</xdr:col>
                    <xdr:colOff>563880</xdr:colOff>
                    <xdr:row>9</xdr:row>
                    <xdr:rowOff>0</xdr:rowOff>
                  </from>
                  <to>
                    <xdr:col>12</xdr:col>
                    <xdr:colOff>60960</xdr:colOff>
                    <xdr:row>10</xdr:row>
                    <xdr:rowOff>30480</xdr:rowOff>
                  </to>
                </anchor>
              </controlPr>
            </control>
          </mc:Choice>
        </mc:AlternateContent>
        <mc:AlternateContent xmlns:mc="http://schemas.openxmlformats.org/markup-compatibility/2006">
          <mc:Choice Requires="x14">
            <control shapeId="62471" r:id="rId7" name="Check Box 7">
              <controlPr defaultSize="0" autoFill="0" autoLine="0" autoPict="0">
                <anchor moveWithCells="1">
                  <from>
                    <xdr:col>7</xdr:col>
                    <xdr:colOff>99060</xdr:colOff>
                    <xdr:row>6</xdr:row>
                    <xdr:rowOff>266700</xdr:rowOff>
                  </from>
                  <to>
                    <xdr:col>7</xdr:col>
                    <xdr:colOff>495300</xdr:colOff>
                    <xdr:row>8</xdr:row>
                    <xdr:rowOff>7620</xdr:rowOff>
                  </to>
                </anchor>
              </controlPr>
            </control>
          </mc:Choice>
        </mc:AlternateContent>
        <mc:AlternateContent xmlns:mc="http://schemas.openxmlformats.org/markup-compatibility/2006">
          <mc:Choice Requires="x14">
            <control shapeId="62472" r:id="rId8" name="Check Box 8">
              <controlPr defaultSize="0" autoFill="0" autoLine="0" autoPict="0">
                <anchor moveWithCells="1">
                  <from>
                    <xdr:col>8</xdr:col>
                    <xdr:colOff>312420</xdr:colOff>
                    <xdr:row>6</xdr:row>
                    <xdr:rowOff>266700</xdr:rowOff>
                  </from>
                  <to>
                    <xdr:col>9</xdr:col>
                    <xdr:colOff>38100</xdr:colOff>
                    <xdr:row>8</xdr:row>
                    <xdr:rowOff>7620</xdr:rowOff>
                  </to>
                </anchor>
              </controlPr>
            </control>
          </mc:Choice>
        </mc:AlternateContent>
        <mc:AlternateContent xmlns:mc="http://schemas.openxmlformats.org/markup-compatibility/2006">
          <mc:Choice Requires="x14">
            <control shapeId="62473" r:id="rId9" name="Check Box 9">
              <controlPr defaultSize="0" autoFill="0" autoLine="0" autoPict="0">
                <anchor moveWithCells="1">
                  <from>
                    <xdr:col>7</xdr:col>
                    <xdr:colOff>106680</xdr:colOff>
                    <xdr:row>23</xdr:row>
                    <xdr:rowOff>190500</xdr:rowOff>
                  </from>
                  <to>
                    <xdr:col>7</xdr:col>
                    <xdr:colOff>502920</xdr:colOff>
                    <xdr:row>25</xdr:row>
                    <xdr:rowOff>22860</xdr:rowOff>
                  </to>
                </anchor>
              </controlPr>
            </control>
          </mc:Choice>
        </mc:AlternateContent>
        <mc:AlternateContent xmlns:mc="http://schemas.openxmlformats.org/markup-compatibility/2006">
          <mc:Choice Requires="x14">
            <control shapeId="62474" r:id="rId10" name="Check Box 10">
              <controlPr defaultSize="0" autoFill="0" autoLine="0" autoPict="0">
                <anchor moveWithCells="1">
                  <from>
                    <xdr:col>8</xdr:col>
                    <xdr:colOff>327660</xdr:colOff>
                    <xdr:row>23</xdr:row>
                    <xdr:rowOff>190500</xdr:rowOff>
                  </from>
                  <to>
                    <xdr:col>9</xdr:col>
                    <xdr:colOff>45720</xdr:colOff>
                    <xdr:row>25</xdr:row>
                    <xdr:rowOff>22860</xdr:rowOff>
                  </to>
                </anchor>
              </controlPr>
            </control>
          </mc:Choice>
        </mc:AlternateContent>
        <mc:AlternateContent xmlns:mc="http://schemas.openxmlformats.org/markup-compatibility/2006">
          <mc:Choice Requires="x14">
            <control shapeId="62475" r:id="rId11" name="Check Box 11">
              <controlPr defaultSize="0" autoFill="0" autoLine="0" autoPict="0">
                <anchor moveWithCells="1">
                  <from>
                    <xdr:col>11</xdr:col>
                    <xdr:colOff>571500</xdr:colOff>
                    <xdr:row>23</xdr:row>
                    <xdr:rowOff>190500</xdr:rowOff>
                  </from>
                  <to>
                    <xdr:col>12</xdr:col>
                    <xdr:colOff>68580</xdr:colOff>
                    <xdr:row>25</xdr:row>
                    <xdr:rowOff>22860</xdr:rowOff>
                  </to>
                </anchor>
              </controlPr>
            </control>
          </mc:Choice>
        </mc:AlternateContent>
        <mc:AlternateContent xmlns:mc="http://schemas.openxmlformats.org/markup-compatibility/2006">
          <mc:Choice Requires="x14">
            <control shapeId="62480" r:id="rId12" name="Button 16">
              <controlPr defaultSize="0" print="0" autoFill="0" autoPict="0" macro="[0]!IW_Copy">
                <anchor moveWithCells="1" sizeWithCells="1">
                  <from>
                    <xdr:col>1</xdr:col>
                    <xdr:colOff>137160</xdr:colOff>
                    <xdr:row>0</xdr:row>
                    <xdr:rowOff>7620</xdr:rowOff>
                  </from>
                  <to>
                    <xdr:col>2</xdr:col>
                    <xdr:colOff>137160</xdr:colOff>
                    <xdr:row>1</xdr:row>
                    <xdr:rowOff>106680</xdr:rowOff>
                  </to>
                </anchor>
              </controlPr>
            </control>
          </mc:Choice>
        </mc:AlternateContent>
        <mc:AlternateContent xmlns:mc="http://schemas.openxmlformats.org/markup-compatibility/2006">
          <mc:Choice Requires="x14">
            <control shapeId="62481" r:id="rId13" name="Button 17">
              <controlPr defaultSize="0" print="0" autoFill="0" autoPict="0" macro="[0]!IW_Home">
                <anchor moveWithCells="1" sizeWithCells="1">
                  <from>
                    <xdr:col>0</xdr:col>
                    <xdr:colOff>0</xdr:colOff>
                    <xdr:row>0</xdr:row>
                    <xdr:rowOff>7620</xdr:rowOff>
                  </from>
                  <to>
                    <xdr:col>1</xdr:col>
                    <xdr:colOff>83820</xdr:colOff>
                    <xdr:row>1</xdr:row>
                    <xdr:rowOff>106680</xdr:rowOff>
                  </to>
                </anchor>
              </controlPr>
            </control>
          </mc:Choice>
        </mc:AlternateContent>
        <mc:AlternateContent xmlns:mc="http://schemas.openxmlformats.org/markup-compatibility/2006">
          <mc:Choice Requires="x14">
            <control shapeId="62482" r:id="rId14" name="Button 18">
              <controlPr defaultSize="0" print="0" autoFill="0" autoPict="0" macro="[0]!QCCredit_Clear">
                <anchor moveWithCells="1" sizeWithCells="1">
                  <from>
                    <xdr:col>2</xdr:col>
                    <xdr:colOff>190500</xdr:colOff>
                    <xdr:row>0</xdr:row>
                    <xdr:rowOff>7620</xdr:rowOff>
                  </from>
                  <to>
                    <xdr:col>3</xdr:col>
                    <xdr:colOff>243840</xdr:colOff>
                    <xdr:row>1</xdr:row>
                    <xdr:rowOff>106680</xdr:rowOff>
                  </to>
                </anchor>
              </controlPr>
            </control>
          </mc:Choice>
        </mc:AlternateContent>
        <mc:AlternateContent xmlns:mc="http://schemas.openxmlformats.org/markup-compatibility/2006">
          <mc:Choice Requires="x14">
            <control shapeId="62483" r:id="rId15" name="Button 19">
              <controlPr defaultSize="0" print="0" autoFill="0" autoPict="0" macro="[0]!QCCredit_Hide">
                <anchor moveWithCells="1" sizeWithCells="1">
                  <from>
                    <xdr:col>0</xdr:col>
                    <xdr:colOff>7620</xdr:colOff>
                    <xdr:row>1</xdr:row>
                    <xdr:rowOff>160020</xdr:rowOff>
                  </from>
                  <to>
                    <xdr:col>1</xdr:col>
                    <xdr:colOff>91440</xdr:colOff>
                    <xdr:row>2</xdr:row>
                    <xdr:rowOff>0</xdr:rowOff>
                  </to>
                </anchor>
              </controlPr>
            </control>
          </mc:Choice>
        </mc:AlternateContent>
      </controls>
    </mc:Choice>
  </mc:AlternateContent>
</worksheet>
</file>

<file path=docMetadata/LabelInfo.xml><?xml version="1.0" encoding="utf-8"?>
<clbl:labelList xmlns:clbl="http://schemas.microsoft.com/office/2020/mipLabelMetadata">
  <clbl:label id="{095f0976-bf66-4d76-bf29-0fbab0884ecb}" enabled="0" method="" siteId="{095f0976-bf66-4d76-bf29-0fbab0884ec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114</vt:i4>
      </vt:variant>
    </vt:vector>
  </HeadingPairs>
  <TitlesOfParts>
    <vt:vector size="148" baseType="lpstr">
      <vt:lpstr>Instructions</vt:lpstr>
      <vt:lpstr>I&amp;D Worksheet</vt:lpstr>
      <vt:lpstr>Inc. Summary</vt:lpstr>
      <vt:lpstr>Notes</vt:lpstr>
      <vt:lpstr>Income Exp &amp; Avg, W2</vt:lpstr>
      <vt:lpstr>Inc. Exp, W2</vt:lpstr>
      <vt:lpstr>Inc. Exp, Other</vt:lpstr>
      <vt:lpstr>Income Averager</vt:lpstr>
      <vt:lpstr>Variable with Increase</vt:lpstr>
      <vt:lpstr>Assets as Income</vt:lpstr>
      <vt:lpstr>Int. &amp; Div. (sch B)</vt:lpstr>
      <vt:lpstr>30% of Income Calc.</vt:lpstr>
      <vt:lpstr>RSU Income</vt:lpstr>
      <vt:lpstr>Drill Pay</vt:lpstr>
      <vt:lpstr>Drill Pay Chart</vt:lpstr>
      <vt:lpstr>1099 Non-Self Employed</vt:lpstr>
      <vt:lpstr>Rent Inc. (sch E)</vt:lpstr>
      <vt:lpstr>Add. Properties</vt:lpstr>
      <vt:lpstr>Sch C</vt:lpstr>
      <vt:lpstr>1065</vt:lpstr>
      <vt:lpstr>1120S</vt:lpstr>
      <vt:lpstr>1120</vt:lpstr>
      <vt:lpstr>Sch F</vt:lpstr>
      <vt:lpstr>Inv. Purchase or Refi</vt:lpstr>
      <vt:lpstr>Primary with Rent inc.</vt:lpstr>
      <vt:lpstr>Residual Income Calc wkst</vt:lpstr>
      <vt:lpstr>Household Inc.</vt:lpstr>
      <vt:lpstr>Employment History</vt:lpstr>
      <vt:lpstr>Business Liquidity</vt:lpstr>
      <vt:lpstr>Business Cash Flow</vt:lpstr>
      <vt:lpstr>FHA Self-Sufficiency</vt:lpstr>
      <vt:lpstr>MCC Income Credit</vt:lpstr>
      <vt:lpstr>QC - Assets</vt:lpstr>
      <vt:lpstr>QC - Credit &amp; Liabilities</vt:lpstr>
      <vt:lpstr>'Assets as Income'!AFIBLANK</vt:lpstr>
      <vt:lpstr>'Assets as Income'!AFIFALSE</vt:lpstr>
      <vt:lpstr>'Assets as Income'!AFIMONTHS</vt:lpstr>
      <vt:lpstr>'Assets as Income'!AFIOMIT</vt:lpstr>
      <vt:lpstr>'Add. Properties'!APOmit</vt:lpstr>
      <vt:lpstr>'Add. Properties'!APOne</vt:lpstr>
      <vt:lpstr>'Add. Properties'!APPer</vt:lpstr>
      <vt:lpstr>'Add. Properties'!APRange</vt:lpstr>
      <vt:lpstr>'Business Liquidity'!BLFalse</vt:lpstr>
      <vt:lpstr>'Business Liquidity'!BLRange</vt:lpstr>
      <vt:lpstr>'1120'!CFalse</vt:lpstr>
      <vt:lpstr>'Business Cash Flow'!CFPer</vt:lpstr>
      <vt:lpstr>'Business Cash Flow'!CFRange</vt:lpstr>
      <vt:lpstr>'1120'!COmit</vt:lpstr>
      <vt:lpstr>'1120'!COne</vt:lpstr>
      <vt:lpstr>'1120'!CPer</vt:lpstr>
      <vt:lpstr>'1120'!CPLPer</vt:lpstr>
      <vt:lpstr>'1120'!CPLRange</vt:lpstr>
      <vt:lpstr>'1120'!CRange</vt:lpstr>
      <vt:lpstr>'Drill Pay'!DPBlank</vt:lpstr>
      <vt:lpstr>'Drill Pay'!DPOmit</vt:lpstr>
      <vt:lpstr>'Income Exp &amp; Avg, W2'!EAFalse</vt:lpstr>
      <vt:lpstr>'Income Exp &amp; Avg, W2'!EAOmit</vt:lpstr>
      <vt:lpstr>'Income Exp &amp; Avg, W2'!EAone</vt:lpstr>
      <vt:lpstr>'Income Exp &amp; Avg, W2'!EARange</vt:lpstr>
      <vt:lpstr>'Employment History'!EHRange</vt:lpstr>
      <vt:lpstr>'Assets as Income'!ERADATAFALSE</vt:lpstr>
      <vt:lpstr>'Sch F'!FFalse</vt:lpstr>
      <vt:lpstr>'Sch F'!FOmit</vt:lpstr>
      <vt:lpstr>'Sch F'!FPL</vt:lpstr>
      <vt:lpstr>'Sch F'!FRange</vt:lpstr>
      <vt:lpstr>'Household Inc.'!HIFalse</vt:lpstr>
      <vt:lpstr>'Household Inc.'!HIOne</vt:lpstr>
      <vt:lpstr>'Household Inc.'!HIRange</vt:lpstr>
      <vt:lpstr>'Income Averager'!IALFalse</vt:lpstr>
      <vt:lpstr>'Income Averager'!IALOmit</vt:lpstr>
      <vt:lpstr>'Income Averager'!IALRange</vt:lpstr>
      <vt:lpstr>'Income Averager'!IALRange2</vt:lpstr>
      <vt:lpstr>'Capital Gains (sch D) Incomplet'!IDBFalse</vt:lpstr>
      <vt:lpstr>'Int. &amp; Div. (sch B)'!IDBFalse</vt:lpstr>
      <vt:lpstr>'Capital Gains (sch D) Incomplet'!IDBOmit</vt:lpstr>
      <vt:lpstr>'Int. &amp; Div. (sch B)'!IDBOmit</vt:lpstr>
      <vt:lpstr>'Int. &amp; Div. (sch B)'!IDBRange</vt:lpstr>
      <vt:lpstr>'I&amp;D Worksheet'!IDRange</vt:lpstr>
      <vt:lpstr>'Inc. Exp, W2'!IEFalse</vt:lpstr>
      <vt:lpstr>'Inc. Exp, W2'!IEOne</vt:lpstr>
      <vt:lpstr>'Inc. Exp, W2'!IERange</vt:lpstr>
      <vt:lpstr>'Inc. Exp, Other'!IOOmit</vt:lpstr>
      <vt:lpstr>'Inc. Exp, Other'!IOOne</vt:lpstr>
      <vt:lpstr>'Inc. Exp, Other'!IORange</vt:lpstr>
      <vt:lpstr>'Inv. Purchase or Refi'!IPRRange</vt:lpstr>
      <vt:lpstr>'Inc. Summary'!ISRange</vt:lpstr>
      <vt:lpstr>'30% of Income Calc.'!MCCFalse</vt:lpstr>
      <vt:lpstr>'MCC Income Credit'!MCCFalse</vt:lpstr>
      <vt:lpstr>'30% of Income Calc.'!MCCOmit</vt:lpstr>
      <vt:lpstr>'MCC Income Credit'!MCCOmit</vt:lpstr>
      <vt:lpstr>'30% of Income Calc.'!MCCRange</vt:lpstr>
      <vt:lpstr>'MCC Income Credit'!MCCRange</vt:lpstr>
      <vt:lpstr>'MCC Income Credit'!MCCZero</vt:lpstr>
      <vt:lpstr>Notes!NotesRange</vt:lpstr>
      <vt:lpstr>'1099 Non-Self Employed'!NSEFALSE</vt:lpstr>
      <vt:lpstr>'1099 Non-Self Employed'!NSEOmit</vt:lpstr>
      <vt:lpstr>'1099 Non-Self Employed'!NSERange</vt:lpstr>
      <vt:lpstr>'FHA Self-Sufficiency'!OMSSRange</vt:lpstr>
      <vt:lpstr>'Primary with Rent inc.'!OMSSRange</vt:lpstr>
      <vt:lpstr>'FHA Self-Sufficiency'!OMSSZERO</vt:lpstr>
      <vt:lpstr>'Primary with Rent inc.'!OMSSZERO</vt:lpstr>
      <vt:lpstr>'Owner Multi-Unit conv to Inv.'!OMURange</vt:lpstr>
      <vt:lpstr>'Primary with Rent inc.'!OMURange</vt:lpstr>
      <vt:lpstr>'1065'!PFalse</vt:lpstr>
      <vt:lpstr>'1065'!POmit</vt:lpstr>
      <vt:lpstr>'1065'!PPer</vt:lpstr>
      <vt:lpstr>'1065'!PPL</vt:lpstr>
      <vt:lpstr>'1065'!PPLPer</vt:lpstr>
      <vt:lpstr>'1065'!PRange</vt:lpstr>
      <vt:lpstr>'I&amp;D Worksheet'!Print_Area</vt:lpstr>
      <vt:lpstr>'QC - Assets'!QCAFalse</vt:lpstr>
      <vt:lpstr>'QC - Assets'!QCAOne</vt:lpstr>
      <vt:lpstr>'QC - Assets'!QCARange</vt:lpstr>
      <vt:lpstr>'QC - Credit &amp; Liabilities'!QCCFalse</vt:lpstr>
      <vt:lpstr>'QC - Credit &amp; Liabilities'!QCCRange</vt:lpstr>
      <vt:lpstr>'Rent Inc. (sch E)'!RentFalse</vt:lpstr>
      <vt:lpstr>'Rent Inc. (sch E)'!RentMisc</vt:lpstr>
      <vt:lpstr>'Rent Inc. (sch E)'!RentOmit</vt:lpstr>
      <vt:lpstr>'Rent Inc. (sch E)'!RentRange</vt:lpstr>
      <vt:lpstr>'Residual Income Calc wkst'!RIOne</vt:lpstr>
      <vt:lpstr>'Residual Income Calc wkst'!RIRange</vt:lpstr>
      <vt:lpstr>'RSU Income'!RSUBlank</vt:lpstr>
      <vt:lpstr>'RSU Income'!RSUFALSE</vt:lpstr>
      <vt:lpstr>'RSU Income'!RSUOmit</vt:lpstr>
      <vt:lpstr>'RSU Income'!RSUZERO</vt:lpstr>
      <vt:lpstr>'Sch C'!SchCFalse</vt:lpstr>
      <vt:lpstr>'Sch C'!SchCPL</vt:lpstr>
      <vt:lpstr>'Sch C'!SchCRange</vt:lpstr>
      <vt:lpstr>'1120S'!SFalse</vt:lpstr>
      <vt:lpstr>'1120S'!SOmit</vt:lpstr>
      <vt:lpstr>'1120S'!SPer</vt:lpstr>
      <vt:lpstr>'1120S'!SPLPer</vt:lpstr>
      <vt:lpstr>'1120S'!SPLRange</vt:lpstr>
      <vt:lpstr>'1120S'!SRange</vt:lpstr>
      <vt:lpstr>'30% of Income Calc.'!thirtypercentblank</vt:lpstr>
      <vt:lpstr>'30% of Income Calc.'!thirtypercentFalse</vt:lpstr>
      <vt:lpstr>'30% of Income Calc.'!thirtypercentone</vt:lpstr>
      <vt:lpstr>'Variable with Increase'!VIBlank0</vt:lpstr>
      <vt:lpstr>'Variable with Increase'!VIBlank1</vt:lpstr>
      <vt:lpstr>'Variable with Increase'!VIBlank2</vt:lpstr>
      <vt:lpstr>'Variable with Increase'!VIBlank3</vt:lpstr>
      <vt:lpstr>'Variable with Increase'!VIBlank4</vt:lpstr>
      <vt:lpstr>'Variable with Increase'!VIBlank5</vt:lpstr>
      <vt:lpstr>'Variable with Increase'!VIBlank6</vt:lpstr>
      <vt:lpstr>'Variable with Increase'!VIBlank7</vt:lpstr>
      <vt:lpstr>'Variable with Increase'!VIFalse</vt:lpstr>
      <vt:lpstr>'Variable with Increase'!VIOmit</vt:lpstr>
      <vt:lpstr>'Variable with Increase'!VIZero</vt:lpstr>
    </vt:vector>
  </TitlesOfParts>
  <Manager>MovementMortgage@movement.com</Manager>
  <Company>Movement Mortgage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Income Workbook</dc:title>
  <dc:creator>MovementMortgage@movement.com;will.lambourne@movement.com;brandon.dashiell@movement.com;Ryan.Lex@movement.com;marc.valet@movement.com;Wade.Smith@movement.com</dc:creator>
  <cp:lastModifiedBy>Will Lambourne</cp:lastModifiedBy>
  <cp:lastPrinted>2025-10-09T18:41:35Z</cp:lastPrinted>
  <dcterms:created xsi:type="dcterms:W3CDTF">2012-12-12T18:23:16Z</dcterms:created>
  <dcterms:modified xsi:type="dcterms:W3CDTF">2026-01-28T17:03:40Z</dcterms:modified>
</cp:coreProperties>
</file>