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Descargas de Internet\Apuntes Anastasia Poyda\fwdtrabajomatlabanastasia\"/>
    </mc:Choice>
  </mc:AlternateContent>
  <xr:revisionPtr revIDLastSave="0" documentId="13_ncr:1_{4E358EF3-639B-4169-806E-B47CCDACAD9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3" r:id="rId1"/>
    <sheet name="Debito Pubblico 2012" sheetId="2" r:id="rId2"/>
    <sheet name="Debito Pubblico 2018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6" i="2" l="1"/>
  <c r="H56" i="2"/>
  <c r="C55" i="2"/>
  <c r="B55" i="2"/>
  <c r="C54" i="2"/>
  <c r="B54" i="2"/>
  <c r="C53" i="2"/>
  <c r="B53" i="2"/>
  <c r="C52" i="2"/>
  <c r="B52" i="2"/>
  <c r="C51" i="2"/>
  <c r="C56" i="2" s="1"/>
  <c r="B51" i="2"/>
  <c r="B56" i="2" s="1"/>
  <c r="K46" i="2"/>
  <c r="H46" i="2"/>
  <c r="C45" i="2"/>
  <c r="B45" i="2"/>
  <c r="C44" i="2"/>
  <c r="B44" i="2"/>
  <c r="C43" i="2"/>
  <c r="B43" i="2"/>
  <c r="C42" i="2"/>
  <c r="C46" i="2" s="1"/>
  <c r="B42" i="2"/>
  <c r="B46" i="2" s="1"/>
  <c r="K36" i="2"/>
  <c r="H36" i="2"/>
  <c r="C35" i="2"/>
  <c r="B35" i="2"/>
  <c r="C34" i="2"/>
  <c r="B34" i="2"/>
  <c r="C33" i="2"/>
  <c r="C36" i="2" s="1"/>
  <c r="B33" i="2"/>
  <c r="B36" i="2" s="1"/>
  <c r="K28" i="2"/>
  <c r="H28" i="2"/>
  <c r="C27" i="2"/>
  <c r="B27" i="2"/>
  <c r="C26" i="2"/>
  <c r="C28" i="2" s="1"/>
  <c r="B26" i="2"/>
  <c r="B28" i="2" s="1"/>
  <c r="K21" i="2"/>
  <c r="H21" i="2"/>
  <c r="N15" i="2"/>
  <c r="M15" i="2"/>
  <c r="K15" i="2"/>
  <c r="J15" i="2"/>
  <c r="H15" i="2"/>
  <c r="F15" i="2"/>
  <c r="G15" i="2" s="1"/>
  <c r="N14" i="2"/>
  <c r="M14" i="2"/>
  <c r="K14" i="2"/>
  <c r="J14" i="2"/>
  <c r="H14" i="2"/>
  <c r="F14" i="2"/>
  <c r="G14" i="2" s="1"/>
  <c r="N13" i="2"/>
  <c r="M13" i="2"/>
  <c r="K13" i="2"/>
  <c r="J13" i="2"/>
  <c r="H13" i="2"/>
  <c r="F13" i="2"/>
  <c r="G13" i="2" s="1"/>
  <c r="N12" i="2"/>
  <c r="M12" i="2"/>
  <c r="K12" i="2"/>
  <c r="J12" i="2"/>
  <c r="H12" i="2"/>
  <c r="F12" i="2"/>
  <c r="G12" i="2" s="1"/>
  <c r="M11" i="2"/>
  <c r="J11" i="2"/>
  <c r="H11" i="2"/>
  <c r="C11" i="2"/>
  <c r="L21" i="2" s="1"/>
  <c r="L53" i="1"/>
  <c r="K53" i="1"/>
  <c r="C52" i="1"/>
  <c r="B52" i="1"/>
  <c r="C51" i="1"/>
  <c r="B51" i="1"/>
  <c r="C50" i="1"/>
  <c r="B50" i="1"/>
  <c r="C49" i="1"/>
  <c r="B49" i="1"/>
  <c r="L44" i="1"/>
  <c r="K44" i="1"/>
  <c r="C43" i="1"/>
  <c r="B43" i="1"/>
  <c r="C42" i="1"/>
  <c r="B42" i="1"/>
  <c r="C41" i="1"/>
  <c r="B41" i="1"/>
  <c r="K36" i="1"/>
  <c r="B35" i="1"/>
  <c r="C34" i="1"/>
  <c r="B34" i="1"/>
  <c r="L29" i="1"/>
  <c r="K29" i="1"/>
  <c r="C28" i="1"/>
  <c r="C29" i="1" s="1"/>
  <c r="B28" i="1"/>
  <c r="B29" i="1" s="1"/>
  <c r="K23" i="1"/>
  <c r="H23" i="1"/>
  <c r="C22" i="1"/>
  <c r="C23" i="1" s="1"/>
  <c r="B22" i="1"/>
  <c r="B23" i="1" s="1"/>
  <c r="M18" i="1"/>
  <c r="L18" i="1"/>
  <c r="N18" i="1" s="1"/>
  <c r="J18" i="1"/>
  <c r="I18" i="1"/>
  <c r="K18" i="1" s="1"/>
  <c r="H18" i="1"/>
  <c r="F18" i="1"/>
  <c r="G18" i="1" s="1"/>
  <c r="M17" i="1"/>
  <c r="L17" i="1"/>
  <c r="N17" i="1" s="1"/>
  <c r="J17" i="1"/>
  <c r="I17" i="1"/>
  <c r="K17" i="1" s="1"/>
  <c r="H17" i="1"/>
  <c r="F17" i="1"/>
  <c r="G17" i="1" s="1"/>
  <c r="M16" i="1"/>
  <c r="L16" i="1"/>
  <c r="N16" i="1" s="1"/>
  <c r="J16" i="1"/>
  <c r="I16" i="1"/>
  <c r="K16" i="1" s="1"/>
  <c r="H16" i="1"/>
  <c r="F16" i="1"/>
  <c r="G16" i="1" s="1"/>
  <c r="M15" i="1"/>
  <c r="L15" i="1"/>
  <c r="N15" i="1" s="1"/>
  <c r="J15" i="1"/>
  <c r="I15" i="1"/>
  <c r="K15" i="1" s="1"/>
  <c r="H15" i="1"/>
  <c r="F15" i="1"/>
  <c r="G15" i="1" s="1"/>
  <c r="M14" i="1"/>
  <c r="L14" i="1"/>
  <c r="N14" i="1" s="1"/>
  <c r="J14" i="1"/>
  <c r="I14" i="1"/>
  <c r="K14" i="1" s="1"/>
  <c r="H14" i="1"/>
  <c r="F14" i="1"/>
  <c r="G14" i="1" s="1"/>
  <c r="B36" i="1" l="1"/>
  <c r="D28" i="2"/>
  <c r="D27" i="2"/>
  <c r="D35" i="2"/>
  <c r="D44" i="2"/>
  <c r="D45" i="2"/>
  <c r="D52" i="2"/>
  <c r="D53" i="2"/>
  <c r="D54" i="2"/>
  <c r="D55" i="2"/>
  <c r="D36" i="2"/>
  <c r="D46" i="2"/>
  <c r="D56" i="2"/>
  <c r="K11" i="2"/>
  <c r="B20" i="2"/>
  <c r="F11" i="2"/>
  <c r="G11" i="2" s="1"/>
  <c r="C19" i="2"/>
  <c r="F21" i="2"/>
  <c r="N11" i="2"/>
  <c r="D23" i="1"/>
  <c r="D29" i="1"/>
  <c r="C35" i="1"/>
  <c r="D35" i="1" s="1"/>
  <c r="B44" i="1"/>
  <c r="D42" i="1"/>
  <c r="D43" i="1"/>
  <c r="C53" i="1"/>
  <c r="D50" i="1"/>
  <c r="D51" i="1"/>
  <c r="D52" i="1"/>
  <c r="D22" i="1"/>
  <c r="D28" i="1"/>
  <c r="D34" i="1"/>
  <c r="D41" i="1"/>
  <c r="C44" i="1"/>
  <c r="D49" i="1"/>
  <c r="B53" i="1"/>
  <c r="D26" i="2"/>
  <c r="D34" i="2"/>
  <c r="D43" i="2"/>
  <c r="D51" i="2"/>
  <c r="B19" i="2"/>
  <c r="C20" i="2"/>
  <c r="D33" i="2"/>
  <c r="D42" i="2"/>
  <c r="D44" i="1" l="1"/>
  <c r="C21" i="2"/>
  <c r="D53" i="1"/>
  <c r="C36" i="1"/>
  <c r="D36" i="1" s="1"/>
  <c r="D20" i="2"/>
  <c r="B21" i="2"/>
  <c r="D21" i="2" s="1"/>
  <c r="D19" i="2"/>
</calcChain>
</file>

<file path=xl/sharedStrings.xml><?xml version="1.0" encoding="utf-8"?>
<sst xmlns="http://schemas.openxmlformats.org/spreadsheetml/2006/main" count="262" uniqueCount="69">
  <si>
    <t>ES0000011660 O EST 6.15 31.01.13</t>
  </si>
  <si>
    <t>ES00000127D6 B EST 0.25 30.04.18</t>
  </si>
  <si>
    <t>101,950 (30/05/2012)</t>
  </si>
  <si>
    <t>ES0000012866 O EST 4.20 30.07.13</t>
  </si>
  <si>
    <t>100,133 (30/05/2012)</t>
  </si>
  <si>
    <t>ES0000012098 O EST 4.75 30.07.14</t>
  </si>
  <si>
    <t>100,027 (12/04/2018)</t>
  </si>
  <si>
    <t xml:space="preserve">99,492 (30/05/2012) </t>
  </si>
  <si>
    <t xml:space="preserve">ES0000012916 O EST 4.40 31.01.15 </t>
  </si>
  <si>
    <t>ES00000124B7 B EST 3.75 31.10.18</t>
  </si>
  <si>
    <t>98,024 (30/05/2012)</t>
  </si>
  <si>
    <t>ES00000120GA O EST 3.15 31.01.16</t>
  </si>
  <si>
    <t>102,282 (12/04/2018)</t>
  </si>
  <si>
    <t>ES00000128A0 B EST O.25 31.01.19</t>
  </si>
  <si>
    <t>198.81</t>
  </si>
  <si>
    <t xml:space="preserve">92,700 (29/05/2012) </t>
  </si>
  <si>
    <t>ES00000122T3 0 EST 4.85 31.10.20</t>
  </si>
  <si>
    <t xml:space="preserve">112,908 (12/04/2018) </t>
  </si>
  <si>
    <t>ES00000123B9 0 EST 5.50 30.04.21</t>
  </si>
  <si>
    <t>CVX</t>
  </si>
  <si>
    <t>DURATION 31/1/11 (años)</t>
  </si>
  <si>
    <t>ES00000127D6 B EST</t>
  </si>
  <si>
    <t>ES0000011660 O EST</t>
  </si>
  <si>
    <t xml:space="preserve">ES0000012866 O EST </t>
  </si>
  <si>
    <t xml:space="preserve">ES00000124B7 B EST </t>
  </si>
  <si>
    <t>ES0000012098 O EST</t>
  </si>
  <si>
    <t xml:space="preserve">ES00000128A0 B EST </t>
  </si>
  <si>
    <t>ES0000012916 O EST</t>
  </si>
  <si>
    <t>ES00000122T3 0 EST</t>
  </si>
  <si>
    <t>ES00000120GA O EST</t>
  </si>
  <si>
    <t xml:space="preserve">ES00000123B9 0 EST </t>
  </si>
  <si>
    <t xml:space="preserve"> CVX %</t>
  </si>
  <si>
    <t>ES0000012866 O EST</t>
  </si>
  <si>
    <t>Periodo 3</t>
  </si>
  <si>
    <t>EMISSIONE</t>
  </si>
  <si>
    <t xml:space="preserve">Nº DI OPERAZIONI </t>
  </si>
  <si>
    <t xml:space="preserve">IMPORTO CONTRATTUALE </t>
  </si>
  <si>
    <t>PREZZO (EX-COUPON) MEDIA</t>
  </si>
  <si>
    <t>PREZZO (EX-COUPON) MASSIMO</t>
  </si>
  <si>
    <t>PREZZO (EX-CUPON) MINIMO</t>
  </si>
  <si>
    <t>RENDTO. INTERNO MEDIA</t>
  </si>
  <si>
    <t>PREZZO MEDIO PRECEDENTE (DATA)</t>
  </si>
  <si>
    <t>OPERAZIONI</t>
  </si>
  <si>
    <t>OBBLIGHI</t>
  </si>
  <si>
    <t>NOMINALE</t>
  </si>
  <si>
    <t>COUPON</t>
  </si>
  <si>
    <t>Nº DI COUPON</t>
  </si>
  <si>
    <t xml:space="preserve">TASSO DI INTERESSE ANNUALE </t>
  </si>
  <si>
    <t>VALORE CORRENTE 31/1/11</t>
  </si>
  <si>
    <t xml:space="preserve">AUMENTO DEI TASSI DI INTERESSE </t>
  </si>
  <si>
    <t xml:space="preserve">TASSO DI INTERESSE </t>
  </si>
  <si>
    <t>AUMENTO DEL VALORE FINANZIARIO</t>
  </si>
  <si>
    <t>VALORE CORRENTE  31/1/11</t>
  </si>
  <si>
    <t>Denominatore</t>
  </si>
  <si>
    <t>Numeratore</t>
  </si>
  <si>
    <t>117,157 (12/04/2018)</t>
  </si>
  <si>
    <t>Nota: gli importi sono in milioni di € e i prezzi sono in %</t>
  </si>
  <si>
    <t xml:space="preserve">Periodo 1 </t>
  </si>
  <si>
    <t>Totale</t>
  </si>
  <si>
    <t xml:space="preserve">Periodo 2 </t>
  </si>
  <si>
    <t>Periodo 4</t>
  </si>
  <si>
    <t xml:space="preserve">PREZZO (EX-COUPON) MEZZO </t>
  </si>
  <si>
    <t>PREZZO (EX-COUPON) MINIMO</t>
  </si>
  <si>
    <t>RENDTO. INTERNO MEZZO</t>
  </si>
  <si>
    <t>PREZZO MEZZO PRECEDENTE (DATA)</t>
  </si>
  <si>
    <t xml:space="preserve">OPERAZIONI </t>
  </si>
  <si>
    <t>Periodo 5</t>
  </si>
  <si>
    <t>100,546 (12/04/2018)</t>
  </si>
  <si>
    <t>CVX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</si>
</sst>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\ [$€-1]"/>
    <numFmt numFmtId="166" formatCode="0.000%"/>
    <numFmt numFmtId="167" formatCode="#,##0.00;\(#,##0.00\)"/>
    <numFmt numFmtId="168" formatCode="#,##0.0000;\(#,##0.0000\)"/>
  </numFmts>
  <fonts count="12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Inconsolata"/>
    </font>
    <font>
      <b/>
      <sz val="11"/>
      <color rgb="FF000000"/>
      <name val="Inconsolata"/>
    </font>
    <font>
      <b/>
      <sz val="10"/>
      <color rgb="FF000000"/>
      <name val="Arial"/>
    </font>
    <font>
      <b/>
      <sz val="9"/>
      <color rgb="FF000000"/>
      <name val="Arial"/>
    </font>
    <font>
      <sz val="10"/>
      <name val="Arial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wrapText="1"/>
    </xf>
    <xf numFmtId="2" fontId="1" fillId="4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/>
    <xf numFmtId="164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2" fontId="1" fillId="4" borderId="0" xfId="0" applyNumberFormat="1" applyFont="1" applyFill="1" applyAlignment="1">
      <alignment horizontal="center" wrapText="1"/>
    </xf>
    <xf numFmtId="0" fontId="2" fillId="6" borderId="0" xfId="0" applyFont="1" applyFill="1" applyAlignment="1">
      <alignment wrapText="1"/>
    </xf>
    <xf numFmtId="164" fontId="1" fillId="4" borderId="0" xfId="0" applyNumberFormat="1" applyFont="1" applyFill="1" applyAlignment="1">
      <alignment horizontal="center" wrapText="1"/>
    </xf>
    <xf numFmtId="0" fontId="1" fillId="7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8" borderId="0" xfId="0" applyNumberFormat="1" applyFont="1" applyFill="1" applyAlignment="1">
      <alignment horizontal="center" wrapText="1"/>
    </xf>
    <xf numFmtId="0" fontId="1" fillId="0" borderId="0" xfId="0" applyFont="1" applyAlignment="1"/>
    <xf numFmtId="10" fontId="1" fillId="8" borderId="0" xfId="0" applyNumberFormat="1" applyFont="1" applyFill="1" applyAlignment="1"/>
    <xf numFmtId="2" fontId="1" fillId="0" borderId="0" xfId="0" applyNumberFormat="1" applyFont="1"/>
    <xf numFmtId="164" fontId="1" fillId="0" borderId="0" xfId="0" applyNumberFormat="1" applyFont="1"/>
    <xf numFmtId="10" fontId="1" fillId="9" borderId="0" xfId="0" applyNumberFormat="1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6" borderId="0" xfId="0" applyFont="1" applyFill="1" applyAlignment="1">
      <alignment wrapText="1"/>
    </xf>
    <xf numFmtId="165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10" fontId="1" fillId="6" borderId="0" xfId="0" applyNumberFormat="1" applyFont="1" applyFill="1" applyAlignment="1">
      <alignment horizontal="center" wrapText="1"/>
    </xf>
    <xf numFmtId="165" fontId="1" fillId="10" borderId="0" xfId="0" applyNumberFormat="1" applyFont="1" applyFill="1" applyAlignment="1">
      <alignment horizontal="center" wrapText="1"/>
    </xf>
    <xf numFmtId="2" fontId="1" fillId="10" borderId="0" xfId="0" applyNumberFormat="1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11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0" xfId="0" applyFont="1" applyFill="1" applyAlignment="1">
      <alignment wrapText="1"/>
    </xf>
    <xf numFmtId="1" fontId="1" fillId="6" borderId="0" xfId="0" applyNumberFormat="1" applyFont="1" applyFill="1" applyAlignment="1">
      <alignment horizontal="center" wrapText="1"/>
    </xf>
    <xf numFmtId="165" fontId="1" fillId="10" borderId="0" xfId="0" applyNumberFormat="1" applyFont="1" applyFill="1" applyAlignment="1">
      <alignment horizontal="center" wrapText="1"/>
    </xf>
    <xf numFmtId="166" fontId="1" fillId="10" borderId="0" xfId="0" applyNumberFormat="1" applyFont="1" applyFill="1"/>
    <xf numFmtId="167" fontId="1" fillId="10" borderId="0" xfId="0" applyNumberFormat="1" applyFont="1" applyFill="1" applyAlignment="1">
      <alignment horizontal="center" wrapText="1"/>
    </xf>
    <xf numFmtId="10" fontId="1" fillId="8" borderId="0" xfId="0" applyNumberFormat="1" applyFont="1" applyFill="1" applyAlignment="1">
      <alignment horizontal="center" wrapText="1"/>
    </xf>
    <xf numFmtId="168" fontId="1" fillId="10" borderId="0" xfId="0" applyNumberFormat="1" applyFont="1" applyFill="1" applyAlignment="1">
      <alignment horizontal="center" wrapText="1"/>
    </xf>
    <xf numFmtId="10" fontId="1" fillId="8" borderId="0" xfId="0" applyNumberFormat="1" applyFont="1" applyFill="1" applyAlignment="1">
      <alignment horizontal="center" wrapText="1"/>
    </xf>
    <xf numFmtId="165" fontId="1" fillId="8" borderId="0" xfId="0" applyNumberFormat="1" applyFont="1" applyFill="1" applyAlignment="1">
      <alignment horizontal="center" wrapText="1"/>
    </xf>
    <xf numFmtId="10" fontId="1" fillId="11" borderId="0" xfId="0" applyNumberFormat="1" applyFont="1" applyFill="1" applyAlignment="1">
      <alignment horizontal="center" wrapText="1"/>
    </xf>
    <xf numFmtId="10" fontId="1" fillId="11" borderId="0" xfId="0" applyNumberFormat="1" applyFont="1" applyFill="1" applyAlignment="1">
      <alignment horizontal="center" wrapText="1"/>
    </xf>
    <xf numFmtId="165" fontId="1" fillId="11" borderId="0" xfId="0" applyNumberFormat="1" applyFont="1" applyFill="1" applyAlignment="1">
      <alignment horizontal="center" wrapText="1"/>
    </xf>
    <xf numFmtId="4" fontId="1" fillId="10" borderId="0" xfId="0" applyNumberFormat="1" applyFont="1" applyFill="1" applyAlignment="1">
      <alignment horizontal="center" wrapText="1"/>
    </xf>
    <xf numFmtId="168" fontId="1" fillId="10" borderId="0" xfId="0" applyNumberFormat="1" applyFont="1" applyFill="1" applyAlignment="1">
      <alignment horizontal="center" wrapText="1"/>
    </xf>
    <xf numFmtId="10" fontId="4" fillId="11" borderId="0" xfId="0" applyNumberFormat="1" applyFont="1" applyFill="1" applyAlignment="1">
      <alignment horizontal="center"/>
    </xf>
    <xf numFmtId="0" fontId="3" fillId="6" borderId="0" xfId="0" applyFont="1" applyFill="1" applyAlignment="1">
      <alignment wrapText="1"/>
    </xf>
    <xf numFmtId="0" fontId="5" fillId="6" borderId="0" xfId="0" applyFont="1" applyFill="1" applyAlignment="1"/>
    <xf numFmtId="165" fontId="1" fillId="6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0" fontId="1" fillId="6" borderId="0" xfId="0" applyNumberFormat="1" applyFont="1" applyFill="1" applyAlignment="1">
      <alignment horizontal="center"/>
    </xf>
    <xf numFmtId="0" fontId="6" fillId="6" borderId="0" xfId="0" applyFont="1" applyFill="1" applyAlignment="1"/>
    <xf numFmtId="0" fontId="7" fillId="6" borderId="0" xfId="0" applyFont="1" applyFill="1" applyAlignment="1"/>
    <xf numFmtId="1" fontId="1" fillId="0" borderId="0" xfId="0" applyNumberFormat="1" applyFont="1"/>
    <xf numFmtId="0" fontId="3" fillId="12" borderId="0" xfId="0" applyFont="1" applyFill="1" applyAlignment="1">
      <alignment wrapText="1"/>
    </xf>
    <xf numFmtId="0" fontId="1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 wrapText="1"/>
    </xf>
    <xf numFmtId="0" fontId="1" fillId="12" borderId="0" xfId="0" applyFont="1" applyFill="1" applyAlignment="1"/>
    <xf numFmtId="165" fontId="1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4" borderId="0" xfId="0" applyFont="1" applyFill="1" applyAlignment="1">
      <alignment horizontal="center" wrapText="1"/>
    </xf>
    <xf numFmtId="165" fontId="1" fillId="12" borderId="0" xfId="0" applyNumberFormat="1" applyFont="1" applyFill="1" applyAlignment="1">
      <alignment horizontal="center"/>
    </xf>
    <xf numFmtId="0" fontId="1" fillId="16" borderId="0" xfId="0" applyFont="1" applyFill="1" applyAlignment="1">
      <alignment horizontal="center" wrapText="1"/>
    </xf>
    <xf numFmtId="2" fontId="1" fillId="12" borderId="0" xfId="0" applyNumberFormat="1" applyFont="1" applyFill="1" applyAlignment="1">
      <alignment horizontal="center"/>
    </xf>
    <xf numFmtId="10" fontId="1" fillId="14" borderId="0" xfId="0" applyNumberFormat="1" applyFont="1" applyFill="1" applyAlignment="1">
      <alignment horizontal="center" wrapText="1"/>
    </xf>
    <xf numFmtId="0" fontId="1" fillId="15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8" borderId="0" xfId="0" applyFont="1" applyFill="1"/>
    <xf numFmtId="0" fontId="1" fillId="11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17" borderId="0" xfId="0" applyFont="1" applyFill="1" applyAlignment="1"/>
    <xf numFmtId="165" fontId="1" fillId="17" borderId="0" xfId="0" applyNumberFormat="1" applyFont="1" applyFill="1" applyAlignment="1">
      <alignment horizontal="center"/>
    </xf>
    <xf numFmtId="2" fontId="1" fillId="17" borderId="0" xfId="0" applyNumberFormat="1" applyFont="1" applyFill="1" applyAlignment="1">
      <alignment horizontal="center"/>
    </xf>
    <xf numFmtId="165" fontId="1" fillId="16" borderId="0" xfId="0" applyNumberFormat="1" applyFont="1" applyFill="1"/>
    <xf numFmtId="165" fontId="1" fillId="15" borderId="0" xfId="0" applyNumberFormat="1" applyFont="1" applyFill="1"/>
    <xf numFmtId="165" fontId="1" fillId="8" borderId="0" xfId="0" applyNumberFormat="1" applyFont="1" applyFill="1" applyAlignment="1">
      <alignment horizontal="center" wrapText="1"/>
    </xf>
    <xf numFmtId="10" fontId="1" fillId="11" borderId="0" xfId="0" applyNumberFormat="1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0" fontId="4" fillId="18" borderId="0" xfId="0" applyFont="1" applyFill="1"/>
    <xf numFmtId="0" fontId="1" fillId="16" borderId="0" xfId="0" applyFont="1" applyFill="1" applyAlignment="1">
      <alignment horizontal="center" wrapText="1"/>
    </xf>
    <xf numFmtId="165" fontId="1" fillId="16" borderId="0" xfId="0" applyNumberFormat="1" applyFont="1" applyFill="1" applyAlignment="1"/>
    <xf numFmtId="165" fontId="1" fillId="15" borderId="0" xfId="0" applyNumberFormat="1" applyFont="1" applyFill="1" applyAlignment="1">
      <alignment horizontal="center"/>
    </xf>
    <xf numFmtId="165" fontId="1" fillId="8" borderId="0" xfId="0" applyNumberFormat="1" applyFont="1" applyFill="1" applyAlignment="1">
      <alignment horizontal="center" wrapText="1"/>
    </xf>
    <xf numFmtId="165" fontId="1" fillId="11" borderId="0" xfId="0" applyNumberFormat="1" applyFont="1" applyFill="1" applyAlignment="1">
      <alignment horizontal="center"/>
    </xf>
    <xf numFmtId="0" fontId="8" fillId="12" borderId="0" xfId="0" applyFont="1" applyFill="1" applyAlignment="1"/>
    <xf numFmtId="10" fontId="8" fillId="14" borderId="0" xfId="0" applyNumberFormat="1" applyFont="1" applyFill="1" applyAlignment="1">
      <alignment horizontal="center" wrapText="1"/>
    </xf>
    <xf numFmtId="0" fontId="8" fillId="16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8" fillId="11" borderId="0" xfId="0" applyFont="1" applyFill="1" applyAlignment="1">
      <alignment horizontal="center"/>
    </xf>
    <xf numFmtId="0" fontId="1" fillId="9" borderId="0" xfId="0" applyFont="1" applyFill="1" applyAlignment="1">
      <alignment horizontal="center" wrapText="1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166" fontId="1" fillId="10" borderId="0" xfId="0" applyNumberFormat="1" applyFont="1" applyFill="1" applyAlignment="1">
      <alignment horizontal="center"/>
    </xf>
    <xf numFmtId="0" fontId="10" fillId="19" borderId="0" xfId="0" applyFont="1" applyFill="1" applyAlignment="1"/>
    <xf numFmtId="0" fontId="9" fillId="19" borderId="0" xfId="0" applyFont="1" applyFill="1" applyAlignment="1">
      <alignment wrapText="1"/>
    </xf>
    <xf numFmtId="2" fontId="0" fillId="21" borderId="0" xfId="0" applyNumberFormat="1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0" fontId="11" fillId="2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1" i="1" u="none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/>
              <a:t>Duration Obblighi (anni)</a:t>
            </a:r>
          </a:p>
        </c:rich>
      </c:tx>
      <c:layout>
        <c:manualLayout>
          <c:xMode val="edge"/>
          <c:yMode val="edge"/>
          <c:x val="0.2436694700765662"/>
          <c:y val="8.771929824561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142695061342608"/>
          <c:y val="0.22059124188423815"/>
          <c:w val="0.42121126543707688"/>
          <c:h val="0.58803315375051801"/>
        </c:manualLayout>
      </c:layout>
      <c:barChart>
        <c:barDir val="bar"/>
        <c:grouping val="clustered"/>
        <c:varyColors val="0"/>
        <c:ser>
          <c:idx val="0"/>
          <c:order val="0"/>
          <c:tx>
            <c:v>Duration Obblighi </c:v>
          </c:tx>
          <c:invertIfNegative val="0"/>
          <c:dPt>
            <c:idx val="0"/>
            <c:invertIfNegative val="0"/>
            <c:bubble3D val="0"/>
            <c:spPr>
              <a:solidFill>
                <a:srgbClr val="34A853">
                  <a:lumMod val="60000"/>
                  <a:lumOff val="40000"/>
                </a:srgbClr>
              </a:solidFill>
              <a:ln>
                <a:solidFill>
                  <a:srgbClr val="34A853">
                    <a:lumMod val="75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EDB-4C27-8F27-C39A0AA36275}"/>
              </c:ext>
            </c:extLst>
          </c:dPt>
          <c:dPt>
            <c:idx val="1"/>
            <c:invertIfNegative val="0"/>
            <c:bubble3D val="0"/>
            <c:spPr>
              <a:solidFill>
                <a:srgbClr val="9966FF"/>
              </a:solidFill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EDB-4C27-8F27-C39A0AA36275}"/>
              </c:ext>
            </c:extLst>
          </c:dPt>
          <c:dPt>
            <c:idx val="2"/>
            <c:invertIfNegative val="0"/>
            <c:bubble3D val="0"/>
            <c:spPr>
              <a:solidFill>
                <a:srgbClr val="FBBC04">
                  <a:lumMod val="60000"/>
                  <a:lumOff val="40000"/>
                </a:srgbClr>
              </a:solidFill>
              <a:ln>
                <a:solidFill>
                  <a:srgbClr val="FBBC04">
                    <a:lumMod val="75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EDB-4C27-8F27-C39A0AA36275}"/>
              </c:ext>
            </c:extLst>
          </c:dPt>
          <c:dPt>
            <c:idx val="3"/>
            <c:invertIfNegative val="0"/>
            <c:bubble3D val="0"/>
            <c:spPr>
              <a:solidFill>
                <a:srgbClr val="EA4335">
                  <a:lumMod val="60000"/>
                  <a:lumOff val="40000"/>
                </a:srgbClr>
              </a:solidFill>
              <a:ln>
                <a:solidFill>
                  <a:srgbClr val="EA433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EDB-4C27-8F27-C39A0AA36275}"/>
              </c:ext>
            </c:extLst>
          </c:dPt>
          <c:dPt>
            <c:idx val="4"/>
            <c:invertIfNegative val="0"/>
            <c:bubble3D val="0"/>
            <c:spPr>
              <a:solidFill>
                <a:srgbClr val="4285F4">
                  <a:lumMod val="60000"/>
                  <a:lumOff val="40000"/>
                </a:srgbClr>
              </a:solidFill>
              <a:scene3d>
                <a:camera prst="orthographicFront"/>
                <a:lightRig rig="threePt" dir="t"/>
              </a:scene3d>
              <a:sp3d>
                <a:bevelT w="6350"/>
              </a:sp3d>
            </c:spPr>
            <c:extLst>
              <c:ext xmlns:c16="http://schemas.microsoft.com/office/drawing/2014/chart" uri="{C3380CC4-5D6E-409C-BE32-E72D297353CC}">
                <c16:uniqueId val="{00000009-9EDB-4C27-8F27-C39A0AA36275}"/>
              </c:ext>
            </c:extLst>
          </c:dPt>
          <c:dLbls>
            <c:dLbl>
              <c:idx val="2"/>
              <c:layout>
                <c:manualLayout>
                  <c:x val="1.2959484172569125E-3"/>
                  <c:y val="3.191193898546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DB-4C27-8F27-C39A0AA36275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100" b="1">
                    <a:latin typeface="+mj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'Debito Pubblico 2012'!$A$11:$A$15</c:f>
              <c:strCache>
                <c:ptCount val="5"/>
                <c:pt idx="0">
                  <c:v>ES0000011660 O EST</c:v>
                </c:pt>
                <c:pt idx="1">
                  <c:v>ES0000012866 O EST </c:v>
                </c:pt>
                <c:pt idx="2">
                  <c:v>ES0000012098 O EST</c:v>
                </c:pt>
                <c:pt idx="3">
                  <c:v>ES0000012916 O EST</c:v>
                </c:pt>
                <c:pt idx="4">
                  <c:v>ES00000120GA O EST</c:v>
                </c:pt>
              </c:strCache>
            </c:strRef>
          </c:cat>
          <c:val>
            <c:numRef>
              <c:f>'Debito Pubblico 2012'!$H$11:$H$15</c:f>
              <c:numCache>
                <c:formatCode>#,##0.00</c:formatCode>
                <c:ptCount val="5"/>
                <c:pt idx="0" formatCode="#,##0.00;\(#,##0.00\)">
                  <c:v>1.9434311810775047</c:v>
                </c:pt>
                <c:pt idx="1">
                  <c:v>1.9596929734701298</c:v>
                </c:pt>
                <c:pt idx="2">
                  <c:v>2.8657146352690055</c:v>
                </c:pt>
                <c:pt idx="3">
                  <c:v>3.7505639340339547</c:v>
                </c:pt>
                <c:pt idx="4">
                  <c:v>4.683810348053421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DB-4C27-8F27-C39A0AA3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6593664"/>
        <c:axId val="157501696"/>
      </c:barChart>
      <c:valAx>
        <c:axId val="157501696"/>
        <c:scaling>
          <c:orientation val="minMax"/>
        </c:scaling>
        <c:delete val="0"/>
        <c:axPos val="b"/>
        <c:majorGridlines/>
        <c:numFmt formatCode="#,##0.00;\(#,##0.00\)" sourceLinked="1"/>
        <c:majorTickMark val="out"/>
        <c:minorTickMark val="none"/>
        <c:tickLblPos val="nextTo"/>
        <c:crossAx val="196593664"/>
        <c:crosses val="autoZero"/>
        <c:crossBetween val="between"/>
      </c:valAx>
      <c:catAx>
        <c:axId val="196593664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750169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66374181107390784"/>
          <c:y val="0.55333333333333334"/>
          <c:w val="0.30336771348104585"/>
          <c:h val="0.37061914629092418"/>
        </c:manualLayout>
      </c:layout>
      <c:overlay val="0"/>
      <c:txPr>
        <a:bodyPr/>
        <a:lstStyle/>
        <a:p>
          <a:pPr>
            <a:defRPr b="1">
              <a:latin typeface="+mj-lt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i="1"/>
            </a:pPr>
            <a:r>
              <a:rPr lang="en-US" i="1"/>
              <a:t>Aumento dei</a:t>
            </a:r>
            <a:r>
              <a:rPr lang="en-US" i="1" baseline="0"/>
              <a:t> Tassi di Interesse 1,00%</a:t>
            </a:r>
            <a:r>
              <a:rPr lang="en-US" i="1"/>
              <a:t> </a:t>
            </a:r>
          </a:p>
        </c:rich>
      </c:tx>
      <c:layout>
        <c:manualLayout>
          <c:xMode val="edge"/>
          <c:yMode val="edge"/>
          <c:x val="0.18239410681399634"/>
          <c:y val="3.2078909491152316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Aumeto del Valore Finanziario </c:v>
          </c:tx>
          <c:dLbls>
            <c:spPr>
              <a:solidFill>
                <a:schemeClr val="accent4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'Debito Pubblico 2012'!$A$11:$A$15</c:f>
              <c:strCache>
                <c:ptCount val="5"/>
                <c:pt idx="0">
                  <c:v>ES0000011660 O EST</c:v>
                </c:pt>
                <c:pt idx="1">
                  <c:v>ES0000012866 O EST </c:v>
                </c:pt>
                <c:pt idx="2">
                  <c:v>ES0000012098 O EST</c:v>
                </c:pt>
                <c:pt idx="3">
                  <c:v>ES0000012916 O EST</c:v>
                </c:pt>
                <c:pt idx="4">
                  <c:v>ES00000120GA O EST</c:v>
                </c:pt>
              </c:strCache>
            </c:strRef>
          </c:cat>
          <c:val>
            <c:numRef>
              <c:f>'Debito Pubblico 2012'!$J$11:$J$15</c:f>
              <c:numCache>
                <c:formatCode>0.00%</c:formatCode>
                <c:ptCount val="5"/>
                <c:pt idx="0">
                  <c:v>-1.8743961352657008E-2</c:v>
                </c:pt>
                <c:pt idx="1">
                  <c:v>-1.8813591860241889E-2</c:v>
                </c:pt>
                <c:pt idx="2">
                  <c:v>-2.7359389895138229E-2</c:v>
                </c:pt>
                <c:pt idx="3">
                  <c:v>-3.5673515981735161E-2</c:v>
                </c:pt>
                <c:pt idx="4">
                  <c:v>-4.4301400984475575E-2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F05-88BE-03B85416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4176"/>
        <c:axId val="157503424"/>
      </c:lineChart>
      <c:catAx>
        <c:axId val="19659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7503424"/>
        <c:crosses val="autoZero"/>
        <c:auto val="1"/>
        <c:lblAlgn val="ctr"/>
        <c:lblOffset val="100"/>
        <c:noMultiLvlLbl val="0"/>
      </c:catAx>
      <c:valAx>
        <c:axId val="15750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TASSO</a:t>
                </a:r>
                <a:r>
                  <a:rPr lang="it-IT" baseline="0"/>
                  <a:t> DI INTERESSE</a:t>
                </a:r>
              </a:p>
            </c:rich>
          </c:tx>
          <c:layout>
            <c:manualLayout>
              <c:xMode val="edge"/>
              <c:yMode val="edge"/>
              <c:x val="0.10313075506445672"/>
              <c:y val="0.19412141224282445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19659417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chemeClr val="bg1">
            <a:lumMod val="95000"/>
          </a:schemeClr>
        </a:solidFill>
      </c:spPr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 i="1"/>
            </a:pPr>
            <a:r>
              <a:rPr lang="en-US" i="1"/>
              <a:t>Aumento dei</a:t>
            </a:r>
            <a:r>
              <a:rPr lang="en-US" i="1" baseline="0"/>
              <a:t> Tassi di Interesse -2,00%</a:t>
            </a:r>
            <a:endParaRPr lang="en-US" i="1"/>
          </a:p>
        </c:rich>
      </c:tx>
      <c:layout>
        <c:manualLayout>
          <c:xMode val="edge"/>
          <c:yMode val="edge"/>
          <c:x val="0.39377616669867488"/>
          <c:y val="2.8354374697576214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Aumeto del Valore Finanziario </c:v>
          </c:tx>
          <c:dLbls>
            <c:spPr>
              <a:solidFill>
                <a:schemeClr val="accent3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'Debito Pubblico 2012'!$A$11:$A$15</c:f>
              <c:strCache>
                <c:ptCount val="5"/>
                <c:pt idx="0">
                  <c:v>ES0000011660 O EST</c:v>
                </c:pt>
                <c:pt idx="1">
                  <c:v>ES0000012866 O EST </c:v>
                </c:pt>
                <c:pt idx="2">
                  <c:v>ES0000012098 O EST</c:v>
                </c:pt>
                <c:pt idx="3">
                  <c:v>ES0000012916 O EST</c:v>
                </c:pt>
                <c:pt idx="4">
                  <c:v>ES00000120GA O EST</c:v>
                </c:pt>
              </c:strCache>
            </c:strRef>
          </c:cat>
          <c:val>
            <c:numRef>
              <c:f>'Debito Pubblico 2012'!$M$11:$M$15</c:f>
              <c:numCache>
                <c:formatCode>0.00%</c:formatCode>
                <c:ptCount val="5"/>
                <c:pt idx="0">
                  <c:v>3.7487922705314015E-2</c:v>
                </c:pt>
                <c:pt idx="1">
                  <c:v>3.7627183720483778E-2</c:v>
                </c:pt>
                <c:pt idx="2">
                  <c:v>5.4718779790276457E-2</c:v>
                </c:pt>
                <c:pt idx="3">
                  <c:v>7.1347031963470323E-2</c:v>
                </c:pt>
                <c:pt idx="4">
                  <c:v>8.860280196895115E-2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C-46C6-BE25-23EFFF47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55200"/>
        <c:axId val="157505152"/>
      </c:lineChart>
      <c:catAx>
        <c:axId val="13035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7505152"/>
        <c:crosses val="autoZero"/>
        <c:auto val="1"/>
        <c:lblAlgn val="ctr"/>
        <c:lblOffset val="100"/>
        <c:noMultiLvlLbl val="0"/>
      </c:catAx>
      <c:valAx>
        <c:axId val="15750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TASSO DI INTERESSE</a:t>
                </a:r>
              </a:p>
            </c:rich>
          </c:tx>
          <c:layout>
            <c:manualLayout>
              <c:xMode val="edge"/>
              <c:yMode val="edge"/>
              <c:x val="0.20069169707445106"/>
              <c:y val="0.23881405885716797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1303552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chemeClr val="bg1">
            <a:lumMod val="95000"/>
          </a:schemeClr>
        </a:solidFill>
      </c:spPr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1" i="1" u="none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/>
              <a:t>Duration Obblighi (anni)</a:t>
            </a:r>
          </a:p>
        </c:rich>
      </c:tx>
      <c:layout>
        <c:manualLayout>
          <c:xMode val="edge"/>
          <c:yMode val="edge"/>
          <c:x val="0.2436694700765662"/>
          <c:y val="8.771929824561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419095416086382E-2"/>
          <c:y val="0.22059138729542463"/>
          <c:w val="0.55476722880517904"/>
          <c:h val="0.58803315375051801"/>
        </c:manualLayout>
      </c:layout>
      <c:barChart>
        <c:barDir val="bar"/>
        <c:grouping val="clustered"/>
        <c:varyColors val="0"/>
        <c:ser>
          <c:idx val="0"/>
          <c:order val="0"/>
          <c:tx>
            <c:v>Duration Obblighi </c:v>
          </c:tx>
          <c:invertIfNegative val="0"/>
          <c:dPt>
            <c:idx val="0"/>
            <c:invertIfNegative val="0"/>
            <c:bubble3D val="0"/>
            <c:spPr>
              <a:solidFill>
                <a:srgbClr val="34A853">
                  <a:lumMod val="60000"/>
                  <a:lumOff val="40000"/>
                </a:srgbClr>
              </a:solidFill>
              <a:ln>
                <a:solidFill>
                  <a:srgbClr val="34A853">
                    <a:lumMod val="75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49C-4F0B-9CFC-4CD841B8FDC8}"/>
              </c:ext>
            </c:extLst>
          </c:dPt>
          <c:dPt>
            <c:idx val="1"/>
            <c:invertIfNegative val="0"/>
            <c:bubble3D val="0"/>
            <c:spPr>
              <a:solidFill>
                <a:srgbClr val="9966FF"/>
              </a:solidFill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49C-4F0B-9CFC-4CD841B8FDC8}"/>
              </c:ext>
            </c:extLst>
          </c:dPt>
          <c:dPt>
            <c:idx val="2"/>
            <c:invertIfNegative val="0"/>
            <c:bubble3D val="0"/>
            <c:spPr>
              <a:solidFill>
                <a:srgbClr val="FBBC04">
                  <a:lumMod val="60000"/>
                  <a:lumOff val="40000"/>
                </a:srgbClr>
              </a:solidFill>
              <a:ln>
                <a:solidFill>
                  <a:srgbClr val="FBBC04">
                    <a:lumMod val="75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49C-4F0B-9CFC-4CD841B8FDC8}"/>
              </c:ext>
            </c:extLst>
          </c:dPt>
          <c:dPt>
            <c:idx val="3"/>
            <c:invertIfNegative val="0"/>
            <c:bubble3D val="0"/>
            <c:spPr>
              <a:solidFill>
                <a:srgbClr val="EA4335">
                  <a:lumMod val="60000"/>
                  <a:lumOff val="40000"/>
                </a:srgbClr>
              </a:solidFill>
              <a:ln>
                <a:solidFill>
                  <a:srgbClr val="EA433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49C-4F0B-9CFC-4CD841B8FDC8}"/>
              </c:ext>
            </c:extLst>
          </c:dPt>
          <c:dPt>
            <c:idx val="4"/>
            <c:invertIfNegative val="0"/>
            <c:bubble3D val="0"/>
            <c:spPr>
              <a:solidFill>
                <a:srgbClr val="4285F4">
                  <a:lumMod val="60000"/>
                  <a:lumOff val="40000"/>
                </a:srgbClr>
              </a:solidFill>
              <a:scene3d>
                <a:camera prst="orthographicFront"/>
                <a:lightRig rig="threePt" dir="t"/>
              </a:scene3d>
              <a:sp3d>
                <a:bevelT w="6350"/>
              </a:sp3d>
            </c:spPr>
            <c:extLst>
              <c:ext xmlns:c16="http://schemas.microsoft.com/office/drawing/2014/chart" uri="{C3380CC4-5D6E-409C-BE32-E72D297353CC}">
                <c16:uniqueId val="{00000009-749C-4F0B-9CFC-4CD841B8FDC8}"/>
              </c:ext>
            </c:extLst>
          </c:dPt>
          <c:dLbls>
            <c:dLbl>
              <c:idx val="2"/>
              <c:layout>
                <c:manualLayout>
                  <c:x val="1.2959484172569125E-3"/>
                  <c:y val="3.191193898546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9C-4F0B-9CFC-4CD841B8FDC8}"/>
                </c:ext>
              </c:extLst>
            </c:dLbl>
            <c:dLbl>
              <c:idx val="4"/>
              <c:layout>
                <c:manualLayout>
                  <c:x val="4.2292717484997744E-2"/>
                  <c:y val="-3.69344413665743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9C-4F0B-9CFC-4CD841B8FDC8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100" b="1">
                    <a:latin typeface="+mj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'Debito Pubblico 2018'!$A$14:$A$18</c:f>
              <c:strCache>
                <c:ptCount val="5"/>
                <c:pt idx="0">
                  <c:v>ES00000127D6 B EST</c:v>
                </c:pt>
                <c:pt idx="1">
                  <c:v>ES00000124B7 B EST </c:v>
                </c:pt>
                <c:pt idx="2">
                  <c:v>ES00000128A0 B EST </c:v>
                </c:pt>
                <c:pt idx="3">
                  <c:v>ES00000122T3 0 EST</c:v>
                </c:pt>
                <c:pt idx="4">
                  <c:v>ES00000123B9 0 EST </c:v>
                </c:pt>
              </c:strCache>
            </c:strRef>
          </c:cat>
          <c:val>
            <c:numRef>
              <c:f>'Debito Pubblico 2018'!$H$14:$H$18</c:f>
              <c:numCache>
                <c:formatCode>#,##0.0000;\(#,##0.0000\)</c:formatCode>
                <c:ptCount val="5"/>
                <c:pt idx="0">
                  <c:v>0.99999565089173281</c:v>
                </c:pt>
                <c:pt idx="1">
                  <c:v>0.99999930602457798</c:v>
                </c:pt>
                <c:pt idx="2">
                  <c:v>1.9975196113860134</c:v>
                </c:pt>
                <c:pt idx="3">
                  <c:v>2.8312680395585312</c:v>
                </c:pt>
                <c:pt idx="4">
                  <c:v>3.7404761667886701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9C-4F0B-9CFC-4CD841B8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0357248"/>
        <c:axId val="157506880"/>
      </c:barChart>
      <c:valAx>
        <c:axId val="157506880"/>
        <c:scaling>
          <c:orientation val="minMax"/>
        </c:scaling>
        <c:delete val="0"/>
        <c:axPos val="b"/>
        <c:majorGridlines/>
        <c:numFmt formatCode="#,##0.0000;\(#,##0.0000\)" sourceLinked="1"/>
        <c:majorTickMark val="out"/>
        <c:minorTickMark val="none"/>
        <c:tickLblPos val="nextTo"/>
        <c:crossAx val="130357248"/>
        <c:crosses val="autoZero"/>
        <c:crossBetween val="between"/>
      </c:valAx>
      <c:catAx>
        <c:axId val="13035724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7506880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66596780565470981"/>
          <c:y val="0.42775637809816708"/>
          <c:w val="0.30336771348104585"/>
          <c:h val="0.37061914629092418"/>
        </c:manualLayout>
      </c:layout>
      <c:overlay val="0"/>
      <c:txPr>
        <a:bodyPr/>
        <a:lstStyle/>
        <a:p>
          <a:pPr>
            <a:defRPr b="1">
              <a:latin typeface="+mj-lt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i="1"/>
            </a:pPr>
            <a:r>
              <a:rPr lang="en-US" i="1"/>
              <a:t>Aumento dei</a:t>
            </a:r>
            <a:r>
              <a:rPr lang="en-US" i="1" baseline="0"/>
              <a:t> Tassi di Interesse 1,00%</a:t>
            </a:r>
            <a:r>
              <a:rPr lang="en-US" i="1"/>
              <a:t> </a:t>
            </a:r>
          </a:p>
        </c:rich>
      </c:tx>
      <c:layout>
        <c:manualLayout>
          <c:xMode val="edge"/>
          <c:yMode val="edge"/>
          <c:x val="0.18239410681399634"/>
          <c:y val="3.2078909491152316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Aumeto del Valore Finanziario </c:v>
          </c:tx>
          <c:dLbls>
            <c:spPr>
              <a:solidFill>
                <a:schemeClr val="accent4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'Debito Pubblico 2018'!$A$14:$A$18</c:f>
              <c:strCache>
                <c:ptCount val="5"/>
                <c:pt idx="0">
                  <c:v>ES00000127D6 B EST</c:v>
                </c:pt>
                <c:pt idx="1">
                  <c:v>ES00000124B7 B EST </c:v>
                </c:pt>
                <c:pt idx="2">
                  <c:v>ES00000128A0 B EST </c:v>
                </c:pt>
                <c:pt idx="3">
                  <c:v>ES00000122T3 0 EST</c:v>
                </c:pt>
                <c:pt idx="4">
                  <c:v>ES00000123B9 0 EST </c:v>
                </c:pt>
              </c:strCache>
            </c:strRef>
          </c:cat>
          <c:val>
            <c:numRef>
              <c:f>'Debito Pubblico 2018'!$J$14:$J$18</c:f>
              <c:numCache>
                <c:formatCode>0.00%</c:formatCode>
                <c:ptCount val="5"/>
                <c:pt idx="0">
                  <c:v>-1.0056315366049879E-2</c:v>
                </c:pt>
                <c:pt idx="1">
                  <c:v>-1.0047221943132725E-2</c:v>
                </c:pt>
                <c:pt idx="2">
                  <c:v>-2.0061263432760872E-2</c:v>
                </c:pt>
                <c:pt idx="3">
                  <c:v>-2.8375425937061532E-2</c:v>
                </c:pt>
                <c:pt idx="4">
                  <c:v>-3.7461191787681522E-2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AC6-A5EB-1A9F245F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58272"/>
        <c:axId val="130827392"/>
      </c:lineChart>
      <c:catAx>
        <c:axId val="13035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0827392"/>
        <c:crosses val="autoZero"/>
        <c:auto val="1"/>
        <c:lblAlgn val="ctr"/>
        <c:lblOffset val="100"/>
        <c:noMultiLvlLbl val="0"/>
      </c:catAx>
      <c:valAx>
        <c:axId val="13082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TASSO</a:t>
                </a:r>
                <a:r>
                  <a:rPr lang="it-IT" baseline="0"/>
                  <a:t> DI INTERESSE</a:t>
                </a:r>
              </a:p>
            </c:rich>
          </c:tx>
          <c:layout>
            <c:manualLayout>
              <c:xMode val="edge"/>
              <c:yMode val="edge"/>
              <c:x val="0.10313075506445672"/>
              <c:y val="0.19412141224282445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13035827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chemeClr val="bg1">
            <a:lumMod val="95000"/>
          </a:schemeClr>
        </a:solidFill>
      </c:spPr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i="1"/>
            </a:pPr>
            <a:r>
              <a:rPr lang="en-US" i="1"/>
              <a:t>Aumento dei</a:t>
            </a:r>
            <a:r>
              <a:rPr lang="en-US" i="1" baseline="0"/>
              <a:t> Tassi di Interesse -2,00%</a:t>
            </a:r>
            <a:endParaRPr lang="en-US" i="1"/>
          </a:p>
        </c:rich>
      </c:tx>
      <c:layout>
        <c:manualLayout>
          <c:xMode val="edge"/>
          <c:yMode val="edge"/>
          <c:x val="0.39377616669867488"/>
          <c:y val="2.8354374697576214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Aumeto del Valore Finanziario </c:v>
          </c:tx>
          <c:dLbls>
            <c:spPr>
              <a:solidFill>
                <a:schemeClr val="accent3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'Debito Pubblico 2018'!$A$14:$A$18</c:f>
              <c:strCache>
                <c:ptCount val="5"/>
                <c:pt idx="0">
                  <c:v>ES00000127D6 B EST</c:v>
                </c:pt>
                <c:pt idx="1">
                  <c:v>ES00000124B7 B EST </c:v>
                </c:pt>
                <c:pt idx="2">
                  <c:v>ES00000128A0 B EST </c:v>
                </c:pt>
                <c:pt idx="3">
                  <c:v>ES00000122T3 0 EST</c:v>
                </c:pt>
                <c:pt idx="4">
                  <c:v>ES00000123B9 0 EST </c:v>
                </c:pt>
              </c:strCache>
            </c:strRef>
          </c:cat>
          <c:val>
            <c:numRef>
              <c:f>'Debito Pubblico 2018'!$M$14:$M$18</c:f>
              <c:numCache>
                <c:formatCode>0.00%</c:formatCode>
                <c:ptCount val="5"/>
                <c:pt idx="0">
                  <c:v>2.0112630732099759E-2</c:v>
                </c:pt>
                <c:pt idx="1">
                  <c:v>2.009444388626545E-2</c:v>
                </c:pt>
                <c:pt idx="2">
                  <c:v>4.1745036572622782E-2</c:v>
                </c:pt>
                <c:pt idx="3">
                  <c:v>5.6750851874123064E-2</c:v>
                </c:pt>
                <c:pt idx="4">
                  <c:v>7.4922383575363044E-2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E-47FF-8349-03F1BEEA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24544"/>
        <c:axId val="130829120"/>
      </c:lineChart>
      <c:catAx>
        <c:axId val="13092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0829120"/>
        <c:crosses val="autoZero"/>
        <c:auto val="1"/>
        <c:lblAlgn val="ctr"/>
        <c:lblOffset val="100"/>
        <c:noMultiLvlLbl val="0"/>
      </c:catAx>
      <c:valAx>
        <c:axId val="13082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TASSO DI INTERESSE</a:t>
                </a:r>
              </a:p>
            </c:rich>
          </c:tx>
          <c:layout>
            <c:manualLayout>
              <c:xMode val="edge"/>
              <c:yMode val="edge"/>
              <c:x val="0.20069169707445106"/>
              <c:y val="0.23881405885716797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13092454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chemeClr val="bg1">
            <a:lumMod val="95000"/>
          </a:schemeClr>
        </a:solidFill>
      </c:spPr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57</xdr:row>
      <xdr:rowOff>19050</xdr:rowOff>
    </xdr:from>
    <xdr:to>
      <xdr:col>4</xdr:col>
      <xdr:colOff>342899</xdr:colOff>
      <xdr:row>74</xdr:row>
      <xdr:rowOff>57150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57</xdr:row>
      <xdr:rowOff>19050</xdr:rowOff>
    </xdr:from>
    <xdr:to>
      <xdr:col>11</xdr:col>
      <xdr:colOff>0</xdr:colOff>
      <xdr:row>74</xdr:row>
      <xdr:rowOff>28575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75</xdr:row>
      <xdr:rowOff>104775</xdr:rowOff>
    </xdr:from>
    <xdr:to>
      <xdr:col>4</xdr:col>
      <xdr:colOff>914400</xdr:colOff>
      <xdr:row>92</xdr:row>
      <xdr:rowOff>114300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54</xdr:row>
      <xdr:rowOff>57150</xdr:rowOff>
    </xdr:from>
    <xdr:to>
      <xdr:col>3</xdr:col>
      <xdr:colOff>990599</xdr:colOff>
      <xdr:row>71</xdr:row>
      <xdr:rowOff>95250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54</xdr:row>
      <xdr:rowOff>76200</xdr:rowOff>
    </xdr:from>
    <xdr:to>
      <xdr:col>10</xdr:col>
      <xdr:colOff>371475</xdr:colOff>
      <xdr:row>71</xdr:row>
      <xdr:rowOff>85725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72</xdr:row>
      <xdr:rowOff>76200</xdr:rowOff>
    </xdr:from>
    <xdr:to>
      <xdr:col>4</xdr:col>
      <xdr:colOff>628650</xdr:colOff>
      <xdr:row>89</xdr:row>
      <xdr:rowOff>85725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2"/>
  <sheetViews>
    <sheetView tabSelected="1" zoomScale="85" zoomScaleNormal="85" workbookViewId="0">
      <selection activeCell="A2" sqref="A2:H2"/>
    </sheetView>
  </sheetViews>
  <sheetFormatPr baseColWidth="10" defaultColWidth="14.44140625" defaultRowHeight="15.75" customHeight="1"/>
  <cols>
    <col min="1" max="1" width="36" customWidth="1"/>
    <col min="2" max="2" width="16.109375" customWidth="1"/>
    <col min="3" max="3" width="15.44140625" customWidth="1"/>
    <col min="8" max="8" width="15.109375" customWidth="1"/>
  </cols>
  <sheetData>
    <row r="1" spans="1:16" ht="39.6">
      <c r="A1" s="2" t="s">
        <v>34</v>
      </c>
      <c r="B1" s="2" t="s">
        <v>35</v>
      </c>
      <c r="C1" s="2" t="s">
        <v>36</v>
      </c>
      <c r="D1" s="2" t="s">
        <v>61</v>
      </c>
      <c r="E1" s="2" t="s">
        <v>38</v>
      </c>
      <c r="F1" s="2" t="s">
        <v>62</v>
      </c>
      <c r="G1" s="2" t="s">
        <v>63</v>
      </c>
      <c r="H1" s="2" t="s">
        <v>64</v>
      </c>
    </row>
    <row r="2" spans="1:16" ht="27" customHeight="1">
      <c r="A2" s="4" t="s">
        <v>0</v>
      </c>
      <c r="B2" s="5">
        <v>1</v>
      </c>
      <c r="C2" s="7">
        <v>0.1</v>
      </c>
      <c r="D2" s="9">
        <v>101.7</v>
      </c>
      <c r="E2" s="9">
        <v>101.7</v>
      </c>
      <c r="F2" s="9">
        <v>101.7</v>
      </c>
      <c r="G2" s="7">
        <v>3.5</v>
      </c>
      <c r="H2" s="9" t="s">
        <v>2</v>
      </c>
    </row>
    <row r="3" spans="1:16" ht="24.75" customHeight="1">
      <c r="A3" s="4" t="s">
        <v>3</v>
      </c>
      <c r="B3" s="5">
        <v>1</v>
      </c>
      <c r="C3" s="7">
        <v>5.3</v>
      </c>
      <c r="D3" s="9">
        <v>100.01</v>
      </c>
      <c r="E3" s="9">
        <v>100.01</v>
      </c>
      <c r="F3" s="9">
        <v>100.01</v>
      </c>
      <c r="G3" s="7">
        <v>4.18</v>
      </c>
      <c r="H3" s="9" t="s">
        <v>4</v>
      </c>
    </row>
    <row r="4" spans="1:16" ht="27.75" customHeight="1">
      <c r="A4" s="4" t="s">
        <v>5</v>
      </c>
      <c r="B4" s="5">
        <v>7</v>
      </c>
      <c r="C4" s="7">
        <v>98.63</v>
      </c>
      <c r="D4" s="9">
        <v>98.680999999999997</v>
      </c>
      <c r="E4" s="9">
        <v>99.81</v>
      </c>
      <c r="F4" s="9">
        <v>99.41</v>
      </c>
      <c r="G4" s="7">
        <v>4.9000000000000004</v>
      </c>
      <c r="H4" s="9" t="s">
        <v>7</v>
      </c>
    </row>
    <row r="5" spans="1:16" ht="27" customHeight="1">
      <c r="A5" s="4" t="s">
        <v>8</v>
      </c>
      <c r="B5" s="5">
        <v>3</v>
      </c>
      <c r="C5" s="7">
        <v>27</v>
      </c>
      <c r="D5" s="9">
        <v>98.203000000000003</v>
      </c>
      <c r="E5" s="9">
        <v>98.399000000000001</v>
      </c>
      <c r="F5" s="9">
        <v>98.168999999999997</v>
      </c>
      <c r="G5" s="7">
        <v>5.12</v>
      </c>
      <c r="H5" s="9" t="s">
        <v>10</v>
      </c>
    </row>
    <row r="6" spans="1:16" ht="29.25" customHeight="1">
      <c r="A6" s="10" t="s">
        <v>11</v>
      </c>
      <c r="B6" s="11">
        <v>8</v>
      </c>
      <c r="C6" s="12">
        <v>152.6</v>
      </c>
      <c r="D6" s="14">
        <v>91.956999999999994</v>
      </c>
      <c r="E6" s="14">
        <v>92.1</v>
      </c>
      <c r="F6" s="14">
        <v>91</v>
      </c>
      <c r="G6" s="12">
        <v>5.64</v>
      </c>
      <c r="H6" s="14" t="s">
        <v>15</v>
      </c>
    </row>
    <row r="7" spans="1:16" ht="26.4">
      <c r="A7" s="15" t="s">
        <v>56</v>
      </c>
      <c r="B7" s="16"/>
      <c r="C7" s="17"/>
      <c r="D7" s="18"/>
      <c r="E7" s="18"/>
      <c r="F7" s="18"/>
      <c r="G7" s="17"/>
      <c r="H7" s="18"/>
    </row>
    <row r="8" spans="1:16" ht="39.6">
      <c r="A8" s="19" t="s">
        <v>65</v>
      </c>
      <c r="B8" s="16"/>
      <c r="C8" s="17"/>
      <c r="D8" s="18"/>
      <c r="E8" s="18"/>
      <c r="F8" s="18"/>
      <c r="G8" s="17"/>
      <c r="H8" s="20" t="s">
        <v>49</v>
      </c>
      <c r="I8" s="22">
        <v>0.01</v>
      </c>
      <c r="K8" s="96" t="s">
        <v>49</v>
      </c>
      <c r="L8" s="25">
        <v>-0.02</v>
      </c>
      <c r="M8" s="26"/>
      <c r="N8" s="26"/>
    </row>
    <row r="9" spans="1:16" ht="13.2">
      <c r="A9" s="26"/>
      <c r="B9" s="16"/>
      <c r="C9" s="17"/>
      <c r="D9" s="18"/>
      <c r="E9" s="18"/>
      <c r="F9" s="18"/>
      <c r="G9" s="17"/>
      <c r="H9" s="18"/>
      <c r="K9" s="26"/>
      <c r="L9" s="26"/>
      <c r="M9" s="26"/>
      <c r="N9" s="26"/>
    </row>
    <row r="10" spans="1:16" ht="39.6">
      <c r="A10" s="28" t="s">
        <v>43</v>
      </c>
      <c r="B10" s="29" t="s">
        <v>44</v>
      </c>
      <c r="C10" s="29" t="s">
        <v>45</v>
      </c>
      <c r="D10" s="30" t="s">
        <v>46</v>
      </c>
      <c r="E10" s="31" t="s">
        <v>47</v>
      </c>
      <c r="F10" s="39" t="s">
        <v>48</v>
      </c>
      <c r="G10" s="33" t="s">
        <v>48</v>
      </c>
      <c r="H10" s="39" t="s">
        <v>20</v>
      </c>
      <c r="I10" s="72" t="s">
        <v>50</v>
      </c>
      <c r="J10" s="72" t="s">
        <v>51</v>
      </c>
      <c r="K10" s="72" t="s">
        <v>48</v>
      </c>
      <c r="L10" s="35" t="s">
        <v>50</v>
      </c>
      <c r="M10" s="35" t="s">
        <v>51</v>
      </c>
      <c r="N10" s="35" t="s">
        <v>52</v>
      </c>
    </row>
    <row r="11" spans="1:16" ht="13.2">
      <c r="A11" s="37" t="s">
        <v>22</v>
      </c>
      <c r="B11" s="29">
        <v>1000</v>
      </c>
      <c r="C11" s="29">
        <f>0.0615*1000</f>
        <v>61.5</v>
      </c>
      <c r="D11" s="38">
        <v>2</v>
      </c>
      <c r="E11" s="31">
        <v>3.5000000000000003E-2</v>
      </c>
      <c r="F11" s="39">
        <f t="shared" ref="F11:F15" si="0">PV(E11,D11,C11,B11,0)</f>
        <v>-1050.3418982940091</v>
      </c>
      <c r="G11" s="102">
        <f t="shared" ref="G11:G15" si="1">F11/1000</f>
        <v>-1.0503418982940091</v>
      </c>
      <c r="H11" s="41">
        <f>(2-1)*(61.5*(1.035)^-(2-1)/1050.34)+((2-0)*(1061.5*(1.035)^-(2-0)/1050.34))</f>
        <v>1.9434311810775047</v>
      </c>
      <c r="I11" s="42">
        <v>4.4999999999999998E-2</v>
      </c>
      <c r="J11" s="44">
        <f>(-1/(1+0.035))*0.01*1.94</f>
        <v>-1.8743961352657008E-2</v>
      </c>
      <c r="K11" s="45">
        <f t="shared" ref="K11:K15" si="2">PV(I11,D11,C11,1000,0)</f>
        <v>-1030.8990178796273</v>
      </c>
      <c r="L11" s="46">
        <v>1.4999999999999999E-2</v>
      </c>
      <c r="M11" s="47">
        <f>((-1/(1+0.035))*-0.02*1.94)</f>
        <v>3.7487922705314015E-2</v>
      </c>
      <c r="N11" s="48">
        <f t="shared" ref="N11:N15" si="3">PV(L11,D11,C11,1000,0)</f>
        <v>-1090.9485791938648</v>
      </c>
      <c r="O11" s="16"/>
      <c r="P11" s="36"/>
    </row>
    <row r="12" spans="1:16" ht="13.8">
      <c r="A12" s="37" t="s">
        <v>23</v>
      </c>
      <c r="B12" s="29">
        <v>1000</v>
      </c>
      <c r="C12" s="29">
        <v>42</v>
      </c>
      <c r="D12" s="38">
        <v>2</v>
      </c>
      <c r="E12" s="31">
        <v>4.1799999999999997E-2</v>
      </c>
      <c r="F12" s="39">
        <f t="shared" si="0"/>
        <v>-1000.3762482502835</v>
      </c>
      <c r="G12" s="102">
        <f t="shared" si="1"/>
        <v>-1.0003762482502836</v>
      </c>
      <c r="H12" s="49">
        <f>(2-1)*(42*(1.0418)^-(2-1)/1000.38)+((2-0)*(1042*(1.0418)^-(2-0)/1000.38))</f>
        <v>1.9596929734701298</v>
      </c>
      <c r="I12" s="42">
        <v>5.1799999999999999E-2</v>
      </c>
      <c r="J12" s="44">
        <f>((-1/(1+0.0418))*0.01*1.96)</f>
        <v>-1.8813591860241889E-2</v>
      </c>
      <c r="K12" s="45">
        <f t="shared" si="2"/>
        <v>-981.82414839801788</v>
      </c>
      <c r="L12" s="46">
        <v>2.18E-2</v>
      </c>
      <c r="M12" s="51">
        <f>((-1/(1+0.0418))*-0.02*1.96)</f>
        <v>3.7627183720483778E-2</v>
      </c>
      <c r="N12" s="48">
        <f t="shared" si="3"/>
        <v>-1039.116299702692</v>
      </c>
      <c r="O12" s="16"/>
      <c r="P12" s="36"/>
    </row>
    <row r="13" spans="1:16" ht="13.8">
      <c r="A13" s="52" t="s">
        <v>25</v>
      </c>
      <c r="B13" s="29">
        <v>1000</v>
      </c>
      <c r="C13" s="29">
        <v>47.5</v>
      </c>
      <c r="D13" s="38">
        <v>3</v>
      </c>
      <c r="E13" s="31">
        <v>4.9000000000000002E-2</v>
      </c>
      <c r="F13" s="39">
        <f t="shared" si="0"/>
        <v>-995.90746167099019</v>
      </c>
      <c r="G13" s="102">
        <f t="shared" si="1"/>
        <v>-0.9959074616709902</v>
      </c>
      <c r="H13" s="49">
        <f>((3-2)*(47.5*(1.049)^-(3-2)/995.91))+((3-1)*(47.5*(1.049)^-(3-1)/995.91))+((3-0)*(1047.5*(1.049)^-(3-0)/995.91))</f>
        <v>2.8657146352690055</v>
      </c>
      <c r="I13" s="42">
        <v>5.8999999999999997E-2</v>
      </c>
      <c r="J13" s="44">
        <f>((-1/(1+0.049))*0.01*2.87)</f>
        <v>-2.7359389895138229E-2</v>
      </c>
      <c r="K13" s="45">
        <f t="shared" si="2"/>
        <v>-969.20340047885497</v>
      </c>
      <c r="L13" s="46">
        <v>2.9000000000000001E-2</v>
      </c>
      <c r="M13" s="51">
        <f>((-1/(1+0.049))*-0.02*2.87)</f>
        <v>5.4718779790276457E-2</v>
      </c>
      <c r="N13" s="48">
        <f t="shared" si="3"/>
        <v>-1052.4300815886768</v>
      </c>
      <c r="O13" s="16"/>
      <c r="P13" s="36"/>
    </row>
    <row r="14" spans="1:16" ht="13.8">
      <c r="A14" s="53" t="s">
        <v>27</v>
      </c>
      <c r="B14" s="54">
        <v>1000</v>
      </c>
      <c r="C14" s="54">
        <v>44</v>
      </c>
      <c r="D14" s="55">
        <v>4</v>
      </c>
      <c r="E14" s="56">
        <v>5.1200000000000002E-2</v>
      </c>
      <c r="F14" s="39">
        <f t="shared" si="0"/>
        <v>-974.54016299440434</v>
      </c>
      <c r="G14" s="102">
        <f t="shared" si="1"/>
        <v>-0.97454016299440438</v>
      </c>
      <c r="H14" s="49">
        <f>((4-3)*(44*(1.0512)^-(4-3)/974.54))+((4-2)*(44*(1.0512)^-(4-2)/974.54))+((4-1)*(44*(1.0512)^-(4-1)/974.54))+((4-0)*(1044*(1.0512)^-(4-0)/974.54))</f>
        <v>3.7505639340339547</v>
      </c>
      <c r="I14" s="42">
        <v>6.1199999999999997E-2</v>
      </c>
      <c r="J14" s="44">
        <f>((-1/(1+0.0512))*0.01*3.75)</f>
        <v>-3.5673515981735161E-2</v>
      </c>
      <c r="K14" s="45">
        <f t="shared" si="2"/>
        <v>-940.5635879578324</v>
      </c>
      <c r="L14" s="46">
        <v>3.1199999999999999E-2</v>
      </c>
      <c r="M14" s="51">
        <f>((-1/(1+0.0512))*-0.02*3.75)</f>
        <v>7.1347031963470323E-2</v>
      </c>
      <c r="N14" s="48">
        <f t="shared" si="3"/>
        <v>-1047.4426430848475</v>
      </c>
      <c r="O14" s="16"/>
      <c r="P14" s="36"/>
    </row>
    <row r="15" spans="1:16" ht="13.8">
      <c r="A15" s="53" t="s">
        <v>29</v>
      </c>
      <c r="B15" s="54">
        <v>1000</v>
      </c>
      <c r="C15" s="54">
        <v>31.5</v>
      </c>
      <c r="D15" s="55">
        <v>5</v>
      </c>
      <c r="E15" s="56">
        <v>5.6399999999999999E-2</v>
      </c>
      <c r="F15" s="39">
        <f t="shared" si="0"/>
        <v>-894.07689278064413</v>
      </c>
      <c r="G15" s="102">
        <f t="shared" si="1"/>
        <v>-0.89407689278064417</v>
      </c>
      <c r="H15" s="49">
        <f>((5-4)*(31.5*(1.0564)^-(5-4)/894.08))+((5-3)*(31.5*(1.0564)^-(5-3)/894.08))+((5-2)*(31.5*(1.0564)^-(5-2)/894.08))+((5-1)*(31.5*(1.0564)^-(5-1)/894.08))+((5-0)*(1031.5*(1.0564)^-(5-0)/894.08))</f>
        <v>4.683810348053421</v>
      </c>
      <c r="I15" s="42">
        <v>6.6400000000000001E-2</v>
      </c>
      <c r="J15" s="44">
        <f>((-1/(1+0.0564))*0.01*4.68)</f>
        <v>-4.4301400984475575E-2</v>
      </c>
      <c r="K15" s="45">
        <f t="shared" si="2"/>
        <v>-855.51313743069113</v>
      </c>
      <c r="L15" s="46">
        <v>3.6400000000000002E-2</v>
      </c>
      <c r="M15" s="51">
        <f>((-1/(1+0.0564))*-0.02*4.68)</f>
        <v>8.860280196895115E-2</v>
      </c>
      <c r="N15" s="48">
        <f t="shared" si="3"/>
        <v>-977.96369008113265</v>
      </c>
      <c r="O15" s="16"/>
      <c r="P15" s="36"/>
    </row>
    <row r="16" spans="1:16" ht="13.2">
      <c r="C16" s="23"/>
      <c r="D16" s="59"/>
    </row>
    <row r="17" spans="1:12" ht="13.2">
      <c r="A17" s="60" t="s">
        <v>22</v>
      </c>
      <c r="B17" s="61"/>
      <c r="C17" s="61"/>
      <c r="D17" s="61"/>
      <c r="E17" s="62"/>
      <c r="F17" s="62"/>
      <c r="G17" s="62"/>
      <c r="H17" s="62"/>
    </row>
    <row r="18" spans="1:12" ht="39.6">
      <c r="A18" s="63" t="s">
        <v>19</v>
      </c>
      <c r="B18" s="67" t="s">
        <v>54</v>
      </c>
      <c r="C18" s="65" t="s">
        <v>53</v>
      </c>
      <c r="D18" s="65" t="s">
        <v>31</v>
      </c>
      <c r="E18" s="66" t="s">
        <v>50</v>
      </c>
      <c r="F18" s="86" t="s">
        <v>48</v>
      </c>
      <c r="G18" s="72" t="s">
        <v>50</v>
      </c>
      <c r="H18" s="72" t="s">
        <v>51</v>
      </c>
      <c r="I18" s="72" t="s">
        <v>48</v>
      </c>
      <c r="J18" s="35" t="s">
        <v>50</v>
      </c>
      <c r="K18" s="35" t="s">
        <v>51</v>
      </c>
      <c r="L18" s="35" t="s">
        <v>48</v>
      </c>
    </row>
    <row r="19" spans="1:12" ht="13.2">
      <c r="A19" s="63" t="s">
        <v>57</v>
      </c>
      <c r="B19" s="67">
        <f>(2-1)*((2-1)+1)*C11*((1+0.035)^-(3))</f>
        <v>110.93895279716675</v>
      </c>
      <c r="C19" s="67">
        <f>C11*(1.035)^-1</f>
        <v>59.420289855072468</v>
      </c>
      <c r="D19" s="69">
        <f t="shared" ref="D19:D20" si="4">(B19)/C19</f>
        <v>1.8670214007328061</v>
      </c>
      <c r="E19" s="70"/>
      <c r="F19" s="71"/>
      <c r="G19" s="72"/>
      <c r="H19" s="72"/>
      <c r="I19" s="73"/>
      <c r="J19" s="74"/>
      <c r="K19" s="74"/>
      <c r="L19" s="74"/>
    </row>
    <row r="20" spans="1:12" ht="13.2">
      <c r="A20" s="63" t="s">
        <v>59</v>
      </c>
      <c r="B20" s="67">
        <f>(2-0)*((2-0)+1)*(C11+B11)*((1+0.035)^-(4))</f>
        <v>5550.2155482122071</v>
      </c>
      <c r="C20" s="67">
        <f>C11*(1.035)^-2</f>
        <v>57.410908072533786</v>
      </c>
      <c r="D20" s="69">
        <f t="shared" si="4"/>
        <v>96.675278872091397</v>
      </c>
      <c r="E20" s="70"/>
      <c r="F20" s="71"/>
      <c r="G20" s="72"/>
      <c r="H20" s="72"/>
      <c r="I20" s="73"/>
      <c r="J20" s="74"/>
      <c r="K20" s="74"/>
      <c r="L20" s="74"/>
    </row>
    <row r="21" spans="1:12" ht="13.2">
      <c r="A21" s="76" t="s">
        <v>58</v>
      </c>
      <c r="B21" s="77">
        <f t="shared" ref="B21:C21" si="5">SUM(B19:B20)</f>
        <v>5661.1545010093741</v>
      </c>
      <c r="C21" s="77">
        <f t="shared" si="5"/>
        <v>116.83119792760625</v>
      </c>
      <c r="D21" s="78">
        <f>SUM(1/2*B21)/C21</f>
        <v>24.227922855491364</v>
      </c>
      <c r="E21" s="70">
        <v>3.5000000000000003E-2</v>
      </c>
      <c r="F21" s="80">
        <f>PV(E11,D11,C11,B11,0)</f>
        <v>-1050.3418982940091</v>
      </c>
      <c r="G21" s="42">
        <v>4.4999999999999998E-2</v>
      </c>
      <c r="H21" s="44">
        <f>(-1/(1+0.035))*0.01*1.94+(0.2423*(0.01^2))</f>
        <v>-1.8719731352657008E-2</v>
      </c>
      <c r="I21" s="81">
        <v>-1030.8990178796273</v>
      </c>
      <c r="J21" s="46">
        <v>1.4999999999999999E-2</v>
      </c>
      <c r="K21" s="82">
        <f>(-1/(1+0.035))*-0.02*1.94+(0.2423*(-0.02^2))</f>
        <v>3.7584842705314016E-2</v>
      </c>
      <c r="L21" s="84">
        <f>PV(L11,D11,C11,1000,0)</f>
        <v>-1090.9485791938648</v>
      </c>
    </row>
    <row r="23" spans="1:12" ht="13.8">
      <c r="B23" s="85"/>
    </row>
    <row r="24" spans="1:12" ht="13.2">
      <c r="A24" s="60" t="s">
        <v>32</v>
      </c>
      <c r="B24" s="61"/>
      <c r="C24" s="61"/>
      <c r="D24" s="61"/>
      <c r="E24" s="62"/>
      <c r="F24" s="62"/>
      <c r="G24" s="62"/>
      <c r="H24" s="62"/>
    </row>
    <row r="25" spans="1:12" ht="39.6">
      <c r="A25" s="63" t="s">
        <v>19</v>
      </c>
      <c r="B25" s="67" t="s">
        <v>54</v>
      </c>
      <c r="C25" s="65" t="s">
        <v>53</v>
      </c>
      <c r="D25" s="65" t="s">
        <v>31</v>
      </c>
      <c r="E25" s="66" t="s">
        <v>50</v>
      </c>
      <c r="F25" s="86" t="s">
        <v>48</v>
      </c>
      <c r="G25" s="72" t="s">
        <v>50</v>
      </c>
      <c r="H25" s="72" t="s">
        <v>51</v>
      </c>
      <c r="I25" s="72" t="s">
        <v>48</v>
      </c>
      <c r="J25" s="35" t="s">
        <v>50</v>
      </c>
      <c r="K25" s="35" t="s">
        <v>51</v>
      </c>
      <c r="L25" s="35" t="s">
        <v>48</v>
      </c>
    </row>
    <row r="26" spans="1:12" ht="13.2">
      <c r="A26" s="63" t="s">
        <v>57</v>
      </c>
      <c r="B26" s="67">
        <f>(2-1)*((2-1)+1)*C12*((1+0.0418)^-(3))</f>
        <v>74.289293259765103</v>
      </c>
      <c r="C26" s="67">
        <f>C12*(1.0418)^-1</f>
        <v>40.314839700518334</v>
      </c>
      <c r="D26" s="69">
        <f t="shared" ref="D26:D27" si="6">(B26)/C26</f>
        <v>1.8427282313815068</v>
      </c>
      <c r="E26" s="70"/>
      <c r="F26" s="71"/>
      <c r="G26" s="72"/>
      <c r="H26" s="72"/>
      <c r="I26" s="73"/>
      <c r="J26" s="74"/>
      <c r="K26" s="74"/>
      <c r="L26" s="74"/>
    </row>
    <row r="27" spans="1:12" ht="13.2">
      <c r="A27" s="63" t="s">
        <v>59</v>
      </c>
      <c r="B27" s="67">
        <f>(2-0)*((2-0)+1)*(C12+B12)*((1+0.0418)^-(4))</f>
        <v>5307.3967841836393</v>
      </c>
      <c r="C27" s="67">
        <f>C12*(1.0418)^-2</f>
        <v>38.69729285901164</v>
      </c>
      <c r="D27" s="69">
        <f t="shared" si="6"/>
        <v>137.15162979282357</v>
      </c>
      <c r="E27" s="70"/>
      <c r="F27" s="71"/>
      <c r="G27" s="72"/>
      <c r="H27" s="72"/>
      <c r="I27" s="73"/>
      <c r="J27" s="74"/>
      <c r="K27" s="74"/>
      <c r="L27" s="74"/>
    </row>
    <row r="28" spans="1:12" ht="13.2">
      <c r="A28" s="76" t="s">
        <v>58</v>
      </c>
      <c r="B28" s="77">
        <f t="shared" ref="B28:C28" si="7">SUM(B26:B27)</f>
        <v>5381.6860774434044</v>
      </c>
      <c r="C28" s="77">
        <f t="shared" si="7"/>
        <v>79.012132559529974</v>
      </c>
      <c r="D28" s="78">
        <f>SUM(1/2*B28)/C28</f>
        <v>34.056074068047018</v>
      </c>
      <c r="E28" s="70">
        <v>4.1799999999999997E-2</v>
      </c>
      <c r="F28" s="88">
        <v>-1000.3762482502834</v>
      </c>
      <c r="G28" s="42">
        <v>5.1799999999999999E-2</v>
      </c>
      <c r="H28" s="44">
        <f>(-1/(1+0.0418))*0.01*1.96+(0.3406*(0.01^2))</f>
        <v>-1.877953186024189E-2</v>
      </c>
      <c r="I28" s="81">
        <v>-981.82414839801777</v>
      </c>
      <c r="J28" s="46">
        <v>2.18E-2</v>
      </c>
      <c r="K28" s="82">
        <f>(-1/(1+0.0418))*-0.02*1.96+(0.3406*(-0.02^2))</f>
        <v>3.7763423720483781E-2</v>
      </c>
      <c r="L28" s="83">
        <v>-1039.116299702692</v>
      </c>
    </row>
    <row r="31" spans="1:12" ht="13.2">
      <c r="A31" s="60" t="s">
        <v>25</v>
      </c>
      <c r="B31" s="61"/>
      <c r="C31" s="61"/>
      <c r="D31" s="61"/>
      <c r="E31" s="62"/>
      <c r="F31" s="62"/>
      <c r="G31" s="62"/>
      <c r="H31" s="62"/>
    </row>
    <row r="32" spans="1:12" ht="39.6">
      <c r="A32" s="63" t="s">
        <v>19</v>
      </c>
      <c r="B32" s="67" t="s">
        <v>54</v>
      </c>
      <c r="C32" s="65" t="s">
        <v>53</v>
      </c>
      <c r="D32" s="65" t="s">
        <v>31</v>
      </c>
      <c r="E32" s="66" t="s">
        <v>50</v>
      </c>
      <c r="F32" s="86" t="s">
        <v>48</v>
      </c>
      <c r="G32" s="72" t="s">
        <v>50</v>
      </c>
      <c r="H32" s="72" t="s">
        <v>51</v>
      </c>
      <c r="I32" s="72" t="s">
        <v>48</v>
      </c>
      <c r="J32" s="35" t="s">
        <v>50</v>
      </c>
      <c r="K32" s="35" t="s">
        <v>51</v>
      </c>
      <c r="L32" s="35" t="s">
        <v>48</v>
      </c>
    </row>
    <row r="33" spans="1:12" ht="13.2">
      <c r="A33" s="63" t="s">
        <v>57</v>
      </c>
      <c r="B33" s="67">
        <f>(3-2)*((3-2)+1)*C13*((1+0.049)^-(3))</f>
        <v>82.299489385639504</v>
      </c>
      <c r="C33" s="67">
        <f>C13*(1.049)^-1</f>
        <v>45.28122020972355</v>
      </c>
      <c r="D33" s="69">
        <f t="shared" ref="D33:D35" si="8">(B33)/C33</f>
        <v>1.8175192498007544</v>
      </c>
      <c r="E33" s="70"/>
      <c r="F33" s="71"/>
      <c r="G33" s="72"/>
      <c r="H33" s="72"/>
      <c r="I33" s="73"/>
      <c r="J33" s="74"/>
      <c r="K33" s="74"/>
      <c r="L33" s="74"/>
    </row>
    <row r="34" spans="1:12" ht="13.2">
      <c r="A34" s="63" t="s">
        <v>59</v>
      </c>
      <c r="B34" s="67">
        <f>(3-1)*((3-1)+1)*(C13*((1+0.049)^-(4)))</f>
        <v>235.36555591698618</v>
      </c>
      <c r="C34" s="67">
        <f>C13*(1.049)^-2</f>
        <v>43.166082182767916</v>
      </c>
      <c r="D34" s="69">
        <f t="shared" si="8"/>
        <v>5.4525577494022635</v>
      </c>
      <c r="E34" s="70"/>
      <c r="F34" s="71"/>
      <c r="G34" s="72"/>
      <c r="H34" s="72"/>
      <c r="I34" s="73"/>
      <c r="J34" s="74"/>
      <c r="K34" s="74"/>
      <c r="L34" s="74"/>
    </row>
    <row r="35" spans="1:12" ht="13.2">
      <c r="A35" s="63" t="s">
        <v>33</v>
      </c>
      <c r="B35" s="67">
        <f>(3-0)*((3-0)+1)*(C13+B13)*((1+0.049)^-(5))</f>
        <v>9895.9578474955815</v>
      </c>
      <c r="C35" s="67">
        <f>C13*(1.049)^-3</f>
        <v>41.149744692819752</v>
      </c>
      <c r="D35" s="69">
        <f t="shared" si="8"/>
        <v>240.48649442100509</v>
      </c>
      <c r="E35" s="70"/>
      <c r="F35" s="71"/>
      <c r="G35" s="72"/>
      <c r="H35" s="72"/>
      <c r="I35" s="73"/>
      <c r="J35" s="74"/>
      <c r="K35" s="74"/>
      <c r="L35" s="74"/>
    </row>
    <row r="36" spans="1:12" ht="13.2">
      <c r="A36" s="76" t="s">
        <v>58</v>
      </c>
      <c r="B36" s="77">
        <f>SUM(B33:B35:B35)</f>
        <v>10213.622892798207</v>
      </c>
      <c r="C36" s="77">
        <f>SUM(C33:C35:C35)</f>
        <v>129.5970470853112</v>
      </c>
      <c r="D36" s="78">
        <f>SUM(1/2*B36)/C36</f>
        <v>39.405307152078777</v>
      </c>
      <c r="E36" s="70">
        <v>4.9000000000000002E-2</v>
      </c>
      <c r="F36" s="88">
        <v>-995.90746167099019</v>
      </c>
      <c r="G36" s="42">
        <v>5.8999999999999997E-2</v>
      </c>
      <c r="H36" s="44">
        <f>(-1/(1+0.049))*0.01*2.87+(0.3941*(0.01^2))</f>
        <v>-2.7319979895138229E-2</v>
      </c>
      <c r="I36" s="81">
        <v>-969.20340047885509</v>
      </c>
      <c r="J36" s="46">
        <v>2.9000000000000001E-2</v>
      </c>
      <c r="K36" s="82">
        <f>(-1/(1+0.049))*-0.02*2.87+(0.3941*(-0.02^2))</f>
        <v>5.4876419790276458E-2</v>
      </c>
      <c r="L36" s="83">
        <v>-1052.4300815886768</v>
      </c>
    </row>
    <row r="40" spans="1:12" ht="13.2">
      <c r="A40" s="60" t="s">
        <v>27</v>
      </c>
      <c r="B40" s="61"/>
      <c r="C40" s="61"/>
      <c r="D40" s="61"/>
      <c r="E40" s="62"/>
      <c r="F40" s="62"/>
      <c r="G40" s="62"/>
      <c r="H40" s="62"/>
    </row>
    <row r="41" spans="1:12" ht="39.6">
      <c r="A41" s="63" t="s">
        <v>19</v>
      </c>
      <c r="B41" s="67" t="s">
        <v>54</v>
      </c>
      <c r="C41" s="65" t="s">
        <v>53</v>
      </c>
      <c r="D41" s="65" t="s">
        <v>31</v>
      </c>
      <c r="E41" s="66" t="s">
        <v>50</v>
      </c>
      <c r="F41" s="86" t="s">
        <v>48</v>
      </c>
      <c r="G41" s="72" t="s">
        <v>50</v>
      </c>
      <c r="H41" s="72" t="s">
        <v>51</v>
      </c>
      <c r="I41" s="72" t="s">
        <v>48</v>
      </c>
      <c r="J41" s="35" t="s">
        <v>50</v>
      </c>
      <c r="K41" s="35" t="s">
        <v>51</v>
      </c>
      <c r="L41" s="35" t="s">
        <v>48</v>
      </c>
    </row>
    <row r="42" spans="1:12" ht="13.2">
      <c r="A42" s="63" t="s">
        <v>57</v>
      </c>
      <c r="B42" s="67">
        <f>(4-3)*((4-3)+1)*C14*((1+0.0512)^-(3))</f>
        <v>75.757671124587887</v>
      </c>
      <c r="C42" s="67">
        <f>C14*(1.0512)^-1</f>
        <v>41.856925418569261</v>
      </c>
      <c r="D42" s="69">
        <f t="shared" ref="D42:D45" si="9">(B42)/C42</f>
        <v>1.8099196337765175</v>
      </c>
      <c r="E42" s="70"/>
      <c r="F42" s="71"/>
      <c r="G42" s="72"/>
      <c r="H42" s="72"/>
      <c r="I42" s="73"/>
      <c r="J42" s="74"/>
      <c r="K42" s="74"/>
      <c r="L42" s="74"/>
    </row>
    <row r="43" spans="1:12" ht="13.2">
      <c r="A43" s="63" t="s">
        <v>59</v>
      </c>
      <c r="B43" s="67">
        <f>(4-2)*((4-2)+1)*(C14*((1+0.0512)^-(4)))</f>
        <v>216.20339932816179</v>
      </c>
      <c r="C43" s="67">
        <f>C14*(1.0512)^-2</f>
        <v>39.81823194308339</v>
      </c>
      <c r="D43" s="69">
        <f t="shared" si="9"/>
        <v>5.4297589013295537</v>
      </c>
      <c r="E43" s="70"/>
      <c r="F43" s="71"/>
      <c r="G43" s="72"/>
      <c r="H43" s="72"/>
      <c r="I43" s="73"/>
      <c r="J43" s="74"/>
      <c r="K43" s="74"/>
      <c r="L43" s="74"/>
    </row>
    <row r="44" spans="1:12" ht="13.2">
      <c r="A44" s="63" t="s">
        <v>33</v>
      </c>
      <c r="B44" s="67">
        <f>(4-1)*((4-1)+1)*(C14)*((1+0.0512)^-(5))</f>
        <v>411.34588913272796</v>
      </c>
      <c r="C44" s="67">
        <f>C14*(1.0512)^-3</f>
        <v>37.878835562293943</v>
      </c>
      <c r="D44" s="69">
        <f t="shared" si="9"/>
        <v>10.859517802659107</v>
      </c>
      <c r="E44" s="70"/>
      <c r="F44" s="71"/>
      <c r="G44" s="72"/>
      <c r="H44" s="72"/>
      <c r="I44" s="73"/>
      <c r="J44" s="74"/>
      <c r="K44" s="74"/>
      <c r="L44" s="74"/>
    </row>
    <row r="45" spans="1:12" ht="13.2">
      <c r="A45" s="63" t="s">
        <v>60</v>
      </c>
      <c r="B45" s="67">
        <f>(4-0)*((4-0)+1)*(C14+B14)*((1+0.0512)^-(6))</f>
        <v>15474.562558179108</v>
      </c>
      <c r="C45" s="67">
        <f>C14*(1.0512)^-4</f>
        <v>36.033899888026966</v>
      </c>
      <c r="D45" s="69">
        <f t="shared" si="9"/>
        <v>429.44456765061011</v>
      </c>
      <c r="E45" s="70"/>
      <c r="F45" s="71"/>
      <c r="G45" s="72"/>
      <c r="H45" s="72"/>
      <c r="I45" s="73"/>
      <c r="J45" s="74"/>
      <c r="K45" s="74"/>
      <c r="L45" s="74"/>
    </row>
    <row r="46" spans="1:12" ht="13.2">
      <c r="A46" s="76" t="s">
        <v>58</v>
      </c>
      <c r="B46" s="77">
        <f>SUM(B42:B45:B44:B45)</f>
        <v>16177.869517764586</v>
      </c>
      <c r="C46" s="77">
        <f>SUM(C42:C45:C44:C45)</f>
        <v>155.58789281197357</v>
      </c>
      <c r="D46" s="78">
        <f>SUM(1/2*B46)/C46</f>
        <v>51.989487181098923</v>
      </c>
      <c r="E46" s="70">
        <v>5.1200000000000002E-2</v>
      </c>
      <c r="F46" s="88">
        <v>-974.54016299440434</v>
      </c>
      <c r="G46" s="42">
        <v>6.1199999999999997E-2</v>
      </c>
      <c r="H46" s="44">
        <f>(-1/(1+0.0512))*0.01*3.75+(0.5199*(0.01^2))</f>
        <v>-3.562152598173516E-2</v>
      </c>
      <c r="I46" s="81">
        <v>-940.5635879578324</v>
      </c>
      <c r="J46" s="46">
        <v>3.1199999999999999E-2</v>
      </c>
      <c r="K46" s="82">
        <f>(-1/(1+0.0512))*-0.02*3.75+(0.5199*(-0.02^2))</f>
        <v>7.1554991963470316E-2</v>
      </c>
      <c r="L46" s="83">
        <v>-1047.4426430848475</v>
      </c>
    </row>
    <row r="49" spans="1:12" ht="13.2">
      <c r="A49" s="60" t="s">
        <v>29</v>
      </c>
      <c r="B49" s="61"/>
      <c r="C49" s="61"/>
      <c r="D49" s="61"/>
      <c r="E49" s="62"/>
      <c r="F49" s="62"/>
      <c r="G49" s="62"/>
      <c r="H49" s="62"/>
    </row>
    <row r="50" spans="1:12" ht="39.6">
      <c r="A50" s="63" t="s">
        <v>19</v>
      </c>
      <c r="B50" s="67" t="s">
        <v>54</v>
      </c>
      <c r="C50" s="65" t="s">
        <v>53</v>
      </c>
      <c r="D50" s="65" t="s">
        <v>31</v>
      </c>
      <c r="E50" s="66" t="s">
        <v>50</v>
      </c>
      <c r="F50" s="86" t="s">
        <v>48</v>
      </c>
      <c r="G50" s="72" t="s">
        <v>50</v>
      </c>
      <c r="H50" s="72" t="s">
        <v>51</v>
      </c>
      <c r="I50" s="72" t="s">
        <v>48</v>
      </c>
      <c r="J50" s="35" t="s">
        <v>50</v>
      </c>
      <c r="K50" s="35" t="s">
        <v>51</v>
      </c>
      <c r="L50" s="35" t="s">
        <v>48</v>
      </c>
    </row>
    <row r="51" spans="1:12" ht="13.2">
      <c r="A51" s="63" t="s">
        <v>57</v>
      </c>
      <c r="B51" s="67">
        <f>(5-4)*((5-4)+1)*C15*((1+0.0564)^-(3))</f>
        <v>53.438636914787146</v>
      </c>
      <c r="C51" s="67">
        <f>C15*(1.0564)^-1</f>
        <v>29.818250662627793</v>
      </c>
      <c r="D51" s="69">
        <f t="shared" ref="D51:D55" si="10">(B51)/C51</f>
        <v>1.792145271008925</v>
      </c>
      <c r="E51" s="70"/>
      <c r="F51" s="71"/>
      <c r="G51" s="72"/>
      <c r="H51" s="72"/>
      <c r="I51" s="73"/>
      <c r="J51" s="74"/>
      <c r="K51" s="74"/>
      <c r="L51" s="74"/>
    </row>
    <row r="52" spans="1:12" ht="13.2">
      <c r="A52" s="63" t="s">
        <v>59</v>
      </c>
      <c r="B52" s="67">
        <f>(5-3)*((5-3)+1)*(C15*((1+0.0564)^-(4)))</f>
        <v>151.75682577088361</v>
      </c>
      <c r="C52" s="67">
        <f>C15*(1.0564)^-2</f>
        <v>28.226288018390569</v>
      </c>
      <c r="D52" s="69">
        <f t="shared" si="10"/>
        <v>5.3764358130267746</v>
      </c>
      <c r="E52" s="70"/>
      <c r="F52" s="71"/>
      <c r="G52" s="72"/>
      <c r="H52" s="72"/>
      <c r="I52" s="73"/>
      <c r="J52" s="74"/>
      <c r="K52" s="74"/>
      <c r="L52" s="74"/>
    </row>
    <row r="53" spans="1:12" ht="13.2">
      <c r="A53" s="63" t="s">
        <v>33</v>
      </c>
      <c r="B53" s="67">
        <f>(5-2)*((5-2)+1)*(C15)*((1+0.056)^-(5))</f>
        <v>287.85396028982825</v>
      </c>
      <c r="C53" s="67">
        <f>C15*(1.0564)^-3</f>
        <v>26.719318457393573</v>
      </c>
      <c r="D53" s="69">
        <f t="shared" si="10"/>
        <v>10.773252347317094</v>
      </c>
      <c r="E53" s="70"/>
      <c r="F53" s="71"/>
      <c r="G53" s="72"/>
      <c r="H53" s="72"/>
      <c r="I53" s="73"/>
      <c r="J53" s="74"/>
      <c r="K53" s="74"/>
      <c r="L53" s="74"/>
    </row>
    <row r="54" spans="1:12" ht="13.2">
      <c r="A54" s="63" t="s">
        <v>60</v>
      </c>
      <c r="B54" s="67">
        <f>(5-1)*((5-1)+1)*(C15)*((1+0.056)^-(6))</f>
        <v>454.31496257864313</v>
      </c>
      <c r="C54" s="67">
        <f>C15*(1.0564)^-4</f>
        <v>25.292804295147267</v>
      </c>
      <c r="D54" s="69">
        <f t="shared" si="10"/>
        <v>17.962221874535636</v>
      </c>
      <c r="E54" s="70"/>
      <c r="F54" s="71"/>
      <c r="G54" s="72"/>
      <c r="H54" s="72"/>
      <c r="I54" s="73"/>
      <c r="J54" s="74"/>
      <c r="K54" s="74"/>
      <c r="L54" s="74"/>
    </row>
    <row r="55" spans="1:12" ht="13.2">
      <c r="A55" s="63" t="s">
        <v>66</v>
      </c>
      <c r="B55" s="67">
        <f>(5-0)*((5-0)+1)*(C15+B15)*((1+0.0564)^-(7))</f>
        <v>21076.172249760024</v>
      </c>
      <c r="C55" s="67">
        <f>C15*(1.0564)^-4</f>
        <v>25.292804295147267</v>
      </c>
      <c r="D55" s="69">
        <f t="shared" si="10"/>
        <v>833.28728613156375</v>
      </c>
      <c r="E55" s="70"/>
      <c r="F55" s="71"/>
      <c r="G55" s="72"/>
      <c r="H55" s="72"/>
      <c r="I55" s="73"/>
      <c r="J55" s="74"/>
      <c r="K55" s="74"/>
      <c r="L55" s="74"/>
    </row>
    <row r="56" spans="1:12" ht="13.2">
      <c r="A56" s="76" t="s">
        <v>58</v>
      </c>
      <c r="B56" s="77">
        <f>SUM(B51:B55:B53:B54:B55)</f>
        <v>22023.536635314165</v>
      </c>
      <c r="C56" s="77">
        <f>SUM(C51:C55:C53:C54:C55)</f>
        <v>135.34946572870646</v>
      </c>
      <c r="D56" s="78">
        <f>SUM(1/2*B56)/C56</f>
        <v>81.358047912276177</v>
      </c>
      <c r="E56" s="70">
        <v>5.6399999999999999E-2</v>
      </c>
      <c r="F56" s="88">
        <v>-894.0768927806439</v>
      </c>
      <c r="G56" s="42">
        <v>6.6400000000000001E-2</v>
      </c>
      <c r="H56" s="44">
        <f>(-1/(1+0.0564))*0.01*4.68+(0.8136*(0.01^2))</f>
        <v>-4.4220040984475573E-2</v>
      </c>
      <c r="I56" s="81">
        <v>-855.51313743069113</v>
      </c>
      <c r="J56" s="46">
        <v>3.6400000000000002E-2</v>
      </c>
      <c r="K56" s="82">
        <f>(-1/(1+0.056))*-0.02*4.68+(0.8136*(-0.02^2))</f>
        <v>8.8961803636363634E-2</v>
      </c>
      <c r="L56" s="83">
        <v>-977.96369008113265</v>
      </c>
    </row>
    <row r="97" spans="1:2" ht="15.75" customHeight="1">
      <c r="B97" s="107" t="s">
        <v>68</v>
      </c>
    </row>
    <row r="98" spans="1:2" ht="15.75" customHeight="1">
      <c r="A98" s="104" t="s">
        <v>22</v>
      </c>
      <c r="B98" s="105">
        <v>24.227922855491364</v>
      </c>
    </row>
    <row r="99" spans="1:2" ht="15.75" customHeight="1">
      <c r="A99" s="104" t="s">
        <v>23</v>
      </c>
      <c r="B99" s="106">
        <v>34.06</v>
      </c>
    </row>
    <row r="100" spans="1:2" ht="15.75" customHeight="1">
      <c r="A100" s="104" t="s">
        <v>25</v>
      </c>
      <c r="B100" s="106">
        <v>39.409999999999997</v>
      </c>
    </row>
    <row r="101" spans="1:2" ht="15.75" customHeight="1">
      <c r="A101" s="103" t="s">
        <v>27</v>
      </c>
      <c r="B101" s="106">
        <v>51.99</v>
      </c>
    </row>
    <row r="102" spans="1:2" ht="15.75" customHeight="1">
      <c r="A102" s="103" t="s">
        <v>29</v>
      </c>
      <c r="B102" s="106">
        <v>81.36</v>
      </c>
    </row>
  </sheetData>
  <pageMargins left="0.25" right="0.25" top="0.75" bottom="0.75" header="0.3" footer="0.3"/>
  <pageSetup paperSize="258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1"/>
  <sheetViews>
    <sheetView topLeftCell="A28" workbookViewId="0">
      <selection activeCell="B98" sqref="B98"/>
    </sheetView>
  </sheetViews>
  <sheetFormatPr baseColWidth="10" defaultColWidth="14.44140625" defaultRowHeight="15.75" customHeight="1"/>
  <cols>
    <col min="1" max="1" width="33.33203125" customWidth="1"/>
    <col min="2" max="2" width="13.5546875" customWidth="1"/>
    <col min="3" max="3" width="25.44140625" customWidth="1"/>
    <col min="4" max="4" width="14.88671875" customWidth="1"/>
    <col min="8" max="8" width="19.109375" bestFit="1" customWidth="1"/>
  </cols>
  <sheetData>
    <row r="1" spans="1:16" ht="49.5" customHeight="1">
      <c r="A1" s="1" t="s">
        <v>34</v>
      </c>
      <c r="B1" s="3" t="s">
        <v>35</v>
      </c>
      <c r="C1" s="1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6"/>
    </row>
    <row r="2" spans="1:16" ht="13.2">
      <c r="A2" s="8" t="s">
        <v>1</v>
      </c>
      <c r="B2" s="98">
        <v>4</v>
      </c>
      <c r="C2" s="99">
        <v>93.12</v>
      </c>
      <c r="D2" s="100">
        <v>100.033</v>
      </c>
      <c r="E2" s="100">
        <v>100.04</v>
      </c>
      <c r="F2" s="100">
        <v>100.02800000000001</v>
      </c>
      <c r="G2" s="98">
        <v>-0.56000000000000005</v>
      </c>
      <c r="H2" s="8" t="s">
        <v>6</v>
      </c>
    </row>
    <row r="3" spans="1:16" ht="13.2">
      <c r="A3" s="8" t="s">
        <v>9</v>
      </c>
      <c r="B3" s="98">
        <v>2</v>
      </c>
      <c r="C3" s="99">
        <v>20</v>
      </c>
      <c r="D3" s="100">
        <v>102.294</v>
      </c>
      <c r="E3" s="100">
        <v>102.3</v>
      </c>
      <c r="F3" s="100">
        <v>102.288</v>
      </c>
      <c r="G3" s="98">
        <v>-0.47</v>
      </c>
      <c r="H3" s="8" t="s">
        <v>12</v>
      </c>
    </row>
    <row r="4" spans="1:16" ht="13.2">
      <c r="A4" s="8" t="s">
        <v>13</v>
      </c>
      <c r="B4" s="101">
        <v>2</v>
      </c>
      <c r="C4" s="99" t="s">
        <v>14</v>
      </c>
      <c r="D4" s="100">
        <v>100.547</v>
      </c>
      <c r="E4" s="100">
        <v>100.55</v>
      </c>
      <c r="F4" s="100">
        <v>100.544</v>
      </c>
      <c r="G4" s="98">
        <v>-0.43</v>
      </c>
      <c r="H4" s="97" t="s">
        <v>67</v>
      </c>
    </row>
    <row r="5" spans="1:16" ht="13.2">
      <c r="A5" s="13" t="s">
        <v>16</v>
      </c>
      <c r="B5" s="98">
        <v>4</v>
      </c>
      <c r="C5" s="99">
        <v>82</v>
      </c>
      <c r="D5" s="100">
        <v>112.943</v>
      </c>
      <c r="E5" s="100">
        <v>112.95</v>
      </c>
      <c r="F5" s="100">
        <v>112.935</v>
      </c>
      <c r="G5" s="98">
        <v>-0.22</v>
      </c>
      <c r="H5" s="8" t="s">
        <v>17</v>
      </c>
    </row>
    <row r="6" spans="1:16" ht="13.2">
      <c r="A6" s="8" t="s">
        <v>18</v>
      </c>
      <c r="B6" s="98">
        <v>8</v>
      </c>
      <c r="C6" s="99">
        <v>200.44</v>
      </c>
      <c r="D6" s="100">
        <v>117.917</v>
      </c>
      <c r="E6" s="100">
        <v>117.212</v>
      </c>
      <c r="F6" s="100">
        <v>117.184</v>
      </c>
      <c r="G6" s="98">
        <v>-0.15</v>
      </c>
      <c r="H6" s="97" t="s">
        <v>55</v>
      </c>
    </row>
    <row r="7" spans="1:16" ht="26.4">
      <c r="A7" s="15" t="s">
        <v>56</v>
      </c>
      <c r="C7" s="23"/>
      <c r="D7" s="24"/>
      <c r="E7" s="24"/>
      <c r="F7" s="24"/>
    </row>
    <row r="8" spans="1:16" ht="13.2">
      <c r="C8" s="23"/>
      <c r="D8" s="24"/>
      <c r="E8" s="24"/>
      <c r="F8" s="24"/>
    </row>
    <row r="9" spans="1:16" ht="39.6">
      <c r="C9" s="23"/>
      <c r="D9" s="24"/>
      <c r="E9" s="24"/>
      <c r="F9" s="24"/>
      <c r="I9" s="20" t="s">
        <v>49</v>
      </c>
      <c r="J9" s="22">
        <v>0.01</v>
      </c>
      <c r="L9" s="96" t="s">
        <v>49</v>
      </c>
      <c r="M9" s="25">
        <v>-0.02</v>
      </c>
    </row>
    <row r="10" spans="1:16" ht="13.2">
      <c r="P10" s="27"/>
    </row>
    <row r="12" spans="1:16" ht="13.2">
      <c r="A12" s="21" t="s">
        <v>42</v>
      </c>
    </row>
    <row r="13" spans="1:16" ht="39.6">
      <c r="A13" s="28" t="s">
        <v>43</v>
      </c>
      <c r="B13" s="29" t="s">
        <v>44</v>
      </c>
      <c r="C13" s="29" t="s">
        <v>45</v>
      </c>
      <c r="D13" s="30" t="s">
        <v>46</v>
      </c>
      <c r="E13" s="31" t="s">
        <v>47</v>
      </c>
      <c r="F13" s="32" t="s">
        <v>48</v>
      </c>
      <c r="G13" s="33" t="s">
        <v>48</v>
      </c>
      <c r="H13" s="32" t="s">
        <v>20</v>
      </c>
      <c r="I13" s="34" t="s">
        <v>50</v>
      </c>
      <c r="J13" s="34" t="s">
        <v>51</v>
      </c>
      <c r="K13" s="34" t="s">
        <v>48</v>
      </c>
      <c r="L13" s="35" t="s">
        <v>50</v>
      </c>
      <c r="M13" s="35" t="s">
        <v>51</v>
      </c>
      <c r="N13" s="35" t="s">
        <v>52</v>
      </c>
    </row>
    <row r="14" spans="1:16" ht="13.2">
      <c r="A14" s="37" t="s">
        <v>21</v>
      </c>
      <c r="B14" s="29">
        <v>1000</v>
      </c>
      <c r="C14" s="29">
        <v>2.5</v>
      </c>
      <c r="D14" s="38">
        <v>1</v>
      </c>
      <c r="E14" s="31">
        <v>-5.5999999999999999E-3</v>
      </c>
      <c r="F14" s="39">
        <f>PV(E14,D14,C14,B14,0)</f>
        <v>-1008.1456154465004</v>
      </c>
      <c r="G14" s="40">
        <f t="shared" ref="G14:G18" si="0">F14/1000</f>
        <v>-1.0081456154465005</v>
      </c>
      <c r="H14" s="43">
        <f>((1-0)*((C14+B14)*(1+(-0.0056))^-(1-0)/1008.15))</f>
        <v>0.99999565089173281</v>
      </c>
      <c r="I14" s="42">
        <f>E14+J9</f>
        <v>4.4000000000000003E-3</v>
      </c>
      <c r="J14" s="44">
        <f>(-1/(1-0.0056))*0.01*1</f>
        <v>-1.0056315366049879E-2</v>
      </c>
      <c r="K14" s="45">
        <f>PV(I14,D14,C14,B14,0)</f>
        <v>-998.10832337714066</v>
      </c>
      <c r="L14" s="46">
        <f>E14+M9</f>
        <v>-2.5600000000000001E-2</v>
      </c>
      <c r="M14" s="47">
        <f>(-1/(1-0.0056))*-0.02*1</f>
        <v>2.0112630732099759E-2</v>
      </c>
      <c r="N14" s="48">
        <f>PV(L14,D14,C14,B14,0)</f>
        <v>-1028.8382594417076</v>
      </c>
    </row>
    <row r="15" spans="1:16" ht="13.8">
      <c r="A15" s="37" t="s">
        <v>24</v>
      </c>
      <c r="B15" s="29">
        <v>1000</v>
      </c>
      <c r="C15" s="29">
        <v>37.5</v>
      </c>
      <c r="D15" s="38">
        <v>1</v>
      </c>
      <c r="E15" s="31">
        <v>-4.7000000000000002E-3</v>
      </c>
      <c r="F15" s="39">
        <f>PV(E15,D15,C15,B15,0)</f>
        <v>-1042.3992766000204</v>
      </c>
      <c r="G15" s="40">
        <f t="shared" si="0"/>
        <v>-1.0423992766000203</v>
      </c>
      <c r="H15" s="50">
        <f>((1-0)*((C15+B15)*(1+(-0.0047))^-(1-0)/1042.4))</f>
        <v>0.99999930602457798</v>
      </c>
      <c r="I15" s="42">
        <f>E15+J9</f>
        <v>5.3E-3</v>
      </c>
      <c r="J15" s="44">
        <f>((-1/(1-0.0047))*0.01*1)</f>
        <v>-1.0047221943132725E-2</v>
      </c>
      <c r="K15" s="45">
        <f>PV(I15,D15,C15,B15,0)</f>
        <v>-1032.0302397294347</v>
      </c>
      <c r="L15" s="46">
        <f>E15+M9</f>
        <v>-2.47E-2</v>
      </c>
      <c r="M15" s="51">
        <f>((-1/(1-0.0047))*-0.02*1)</f>
        <v>2.009444388626545E-2</v>
      </c>
      <c r="N15" s="48">
        <f>PV(L15,D15,C15,B15,0)</f>
        <v>-1063.7752486414436</v>
      </c>
    </row>
    <row r="16" spans="1:16" ht="13.8">
      <c r="A16" s="37" t="s">
        <v>26</v>
      </c>
      <c r="B16" s="29">
        <v>1000</v>
      </c>
      <c r="C16" s="29">
        <v>2.5</v>
      </c>
      <c r="D16" s="38">
        <v>2</v>
      </c>
      <c r="E16" s="31">
        <v>-4.3E-3</v>
      </c>
      <c r="F16" s="39">
        <f>PV(E16,D16,C16,B16,0)</f>
        <v>-1013.6882256452569</v>
      </c>
      <c r="G16" s="40">
        <f t="shared" si="0"/>
        <v>-1.0136882256452568</v>
      </c>
      <c r="H16" s="50">
        <f>((2-1)*(C16)*(1-0.0043)^-1/1013.69)+((2-0)*((C16+B16)*(1-0.0043)^-2/1013.69))</f>
        <v>1.9975196113860134</v>
      </c>
      <c r="I16" s="42">
        <f>E16+J9</f>
        <v>5.7000000000000002E-3</v>
      </c>
      <c r="J16" s="44">
        <f>((-1/(1-0.0043))*0.01*1.9975)</f>
        <v>-2.0061263432760872E-2</v>
      </c>
      <c r="K16" s="45">
        <f>PV(I16,D16,C16,B16,0)</f>
        <v>-993.65430707095447</v>
      </c>
      <c r="L16" s="46">
        <f>E16+M9</f>
        <v>-2.4300000000000002E-2</v>
      </c>
      <c r="M16" s="51">
        <f>((-1/(1-0.043))*-0.02*1.9975)</f>
        <v>4.1745036572622782E-2</v>
      </c>
      <c r="N16" s="48">
        <f>PV(L16,D16,C16,B16,0)</f>
        <v>-1055.6190009839279</v>
      </c>
    </row>
    <row r="17" spans="1:14" ht="13.8">
      <c r="A17" s="57" t="s">
        <v>28</v>
      </c>
      <c r="B17" s="54">
        <v>1000</v>
      </c>
      <c r="C17" s="54">
        <v>48.5</v>
      </c>
      <c r="D17" s="55">
        <v>3</v>
      </c>
      <c r="E17" s="56">
        <v>-2.2000000000000001E-3</v>
      </c>
      <c r="F17" s="39">
        <f>PV(E17,D17,C17,B17,0)</f>
        <v>-1152.7717020028176</v>
      </c>
      <c r="G17" s="40">
        <f t="shared" si="0"/>
        <v>-1.1527717020028176</v>
      </c>
      <c r="H17" s="50">
        <f>((3-2)*((C17*(1-0.0022))^-1/1152.77))+((3-1)*C17*(1-0.0022)^-2/1152.77)+((3-0)*(C17+B17)*(1-0.0022)^-3/1152.77)</f>
        <v>2.8312680395585312</v>
      </c>
      <c r="I17" s="42">
        <f>E17+J9</f>
        <v>7.7999999999999996E-3</v>
      </c>
      <c r="J17" s="44">
        <f>((-1/(1-0.0022))*0.01*2.8313)</f>
        <v>-2.8375425937061532E-2</v>
      </c>
      <c r="K17" s="45">
        <f>PV(I17,D17,C17,B17,0)</f>
        <v>-1120.2197152971057</v>
      </c>
      <c r="L17" s="46">
        <f>E17+M9</f>
        <v>-2.2200000000000001E-2</v>
      </c>
      <c r="M17" s="51">
        <f>((-1/(1-0.0022))*-0.02*2.8313)</f>
        <v>5.6750851874123064E-2</v>
      </c>
      <c r="N17" s="48">
        <f>PV(L17,D17,C17,B17,0)</f>
        <v>-1221.8776524698053</v>
      </c>
    </row>
    <row r="18" spans="1:14" ht="13.8">
      <c r="A18" s="58" t="s">
        <v>30</v>
      </c>
      <c r="B18" s="54">
        <v>1000</v>
      </c>
      <c r="C18" s="54">
        <v>55</v>
      </c>
      <c r="D18" s="55">
        <v>4</v>
      </c>
      <c r="E18" s="56">
        <v>-1.5E-3</v>
      </c>
      <c r="F18" s="39">
        <f>PV(E18,D18,C18,B18,0)</f>
        <v>-1226.8500491901082</v>
      </c>
      <c r="G18" s="40">
        <f t="shared" si="0"/>
        <v>-1.2268500491901082</v>
      </c>
      <c r="H18" s="50">
        <f>((4-3)*(C18*(1+(-0.0015))^-(1-0)/1226.85))+((4-2)*(C18*(1-0.0022)^-2/1226.85))+((4-1)*(C18*(1-0.0022)^-3/1226.85))+((4-0)*((C18+B18)*(1-0.0022)^-4/1226.85))</f>
        <v>3.7404761667886701</v>
      </c>
      <c r="I18" s="42">
        <f>E18+J9</f>
        <v>8.5000000000000006E-3</v>
      </c>
      <c r="J18" s="44">
        <f>((-1/(1-0.0015))*0.01*3.7405)</f>
        <v>-3.7461191787681522E-2</v>
      </c>
      <c r="K18" s="45">
        <f>PV(I18,D18,C18,B18,0)</f>
        <v>-1182.1137064333739</v>
      </c>
      <c r="L18" s="46">
        <f>E18+M9</f>
        <v>-2.1500000000000002E-2</v>
      </c>
      <c r="M18" s="51">
        <f>((-1/(1-0.0015))*-0.02*3.7405)</f>
        <v>7.4922383575363044E-2</v>
      </c>
      <c r="N18" s="48">
        <f>PV(L18,D18,C18,B18,0)</f>
        <v>-1323.1822983384789</v>
      </c>
    </row>
    <row r="20" spans="1:14" ht="13.2">
      <c r="A20" s="60" t="s">
        <v>21</v>
      </c>
      <c r="B20" s="61"/>
      <c r="C20" s="61"/>
      <c r="D20" s="61"/>
      <c r="E20" s="62"/>
      <c r="F20" s="62"/>
      <c r="G20" s="62"/>
      <c r="H20" s="62"/>
      <c r="I20" s="62"/>
    </row>
    <row r="21" spans="1:14" ht="39.6">
      <c r="A21" s="63" t="s">
        <v>19</v>
      </c>
      <c r="B21" s="64" t="s">
        <v>54</v>
      </c>
      <c r="C21" s="65" t="s">
        <v>53</v>
      </c>
      <c r="D21" s="65" t="s">
        <v>31</v>
      </c>
      <c r="E21" s="66" t="s">
        <v>50</v>
      </c>
      <c r="F21" s="68" t="s">
        <v>48</v>
      </c>
      <c r="G21" s="72" t="s">
        <v>50</v>
      </c>
      <c r="H21" s="34" t="s">
        <v>51</v>
      </c>
      <c r="I21" s="34" t="s">
        <v>48</v>
      </c>
      <c r="J21" s="35" t="s">
        <v>50</v>
      </c>
      <c r="K21" s="35" t="s">
        <v>51</v>
      </c>
      <c r="L21" s="35" t="s">
        <v>48</v>
      </c>
    </row>
    <row r="22" spans="1:14" ht="13.2">
      <c r="A22" s="63" t="s">
        <v>57</v>
      </c>
      <c r="B22" s="67">
        <f>((1-0)*((1-0)+1)*(C14+B14)*(1-0.0056)^-(3))</f>
        <v>2039.0648117116764</v>
      </c>
      <c r="C22" s="67">
        <f>C14*(1-0.0056)^-1</f>
        <v>2.51407884151247</v>
      </c>
      <c r="D22" s="69">
        <f>(B22)/C22</f>
        <v>811.05841950643639</v>
      </c>
      <c r="E22" s="70"/>
      <c r="F22" s="75"/>
      <c r="G22" s="72"/>
      <c r="H22" s="72"/>
      <c r="I22" s="72"/>
      <c r="J22" s="74"/>
      <c r="K22" s="74"/>
      <c r="L22" s="74"/>
    </row>
    <row r="23" spans="1:14" ht="13.2">
      <c r="A23" s="76" t="s">
        <v>58</v>
      </c>
      <c r="B23" s="77">
        <f t="shared" ref="B23:C23" si="1">SUM(B22)</f>
        <v>2039.0648117116764</v>
      </c>
      <c r="C23" s="77">
        <f t="shared" si="1"/>
        <v>2.51407884151247</v>
      </c>
      <c r="D23" s="78">
        <f>SUM(1/2*B23)/C23</f>
        <v>405.5292097532182</v>
      </c>
      <c r="E23" s="70">
        <v>-5.5999999999999999E-3</v>
      </c>
      <c r="F23" s="79">
        <v>-1008.1456154465005</v>
      </c>
      <c r="G23" s="42">
        <v>4.4000000000000003E-3</v>
      </c>
      <c r="H23" s="44">
        <f>(-1/(1-0.0056)*0.01*1+(4.0326*(0.01^2)))</f>
        <v>-9.6530553660498786E-3</v>
      </c>
      <c r="I23" s="81">
        <v>-998.10832337714066</v>
      </c>
      <c r="J23" s="46">
        <v>-2.5600000000000001E-2</v>
      </c>
      <c r="K23" s="82">
        <f>(-1/(1-0.0056))*-0.02*1+(4.0326*(-0.02^2))</f>
        <v>2.1725670732099758E-2</v>
      </c>
      <c r="L23" s="83">
        <v>-1028.8382594417076</v>
      </c>
    </row>
    <row r="26" spans="1:14" ht="23.25" customHeight="1">
      <c r="A26" s="37" t="s">
        <v>24</v>
      </c>
    </row>
    <row r="27" spans="1:14" ht="27" customHeight="1">
      <c r="A27" s="63" t="s">
        <v>19</v>
      </c>
      <c r="B27" s="67" t="s">
        <v>54</v>
      </c>
      <c r="C27" s="65" t="s">
        <v>53</v>
      </c>
      <c r="D27" s="65" t="s">
        <v>31</v>
      </c>
      <c r="E27" s="66" t="s">
        <v>50</v>
      </c>
      <c r="F27" s="86" t="s">
        <v>48</v>
      </c>
      <c r="G27" s="72" t="s">
        <v>50</v>
      </c>
      <c r="H27" s="72" t="s">
        <v>51</v>
      </c>
      <c r="I27" s="72" t="s">
        <v>48</v>
      </c>
      <c r="J27" s="35" t="s">
        <v>50</v>
      </c>
      <c r="K27" s="35" t="s">
        <v>51</v>
      </c>
      <c r="L27" s="35" t="s">
        <v>48</v>
      </c>
    </row>
    <row r="28" spans="1:14" ht="13.2">
      <c r="A28" s="63" t="s">
        <v>57</v>
      </c>
      <c r="B28" s="67">
        <f>((1-0)*((1-0)+1)*(C15+B15)*((1-0.0047)^-(3)))</f>
        <v>2104.5346901158246</v>
      </c>
      <c r="C28" s="67">
        <f>(C15*(1-0.0047)^-1)</f>
        <v>37.677082286747719</v>
      </c>
      <c r="D28" s="69">
        <f t="shared" ref="D28:D29" si="2">B28/C28</f>
        <v>55.857156721927467</v>
      </c>
      <c r="E28" s="70"/>
      <c r="F28" s="86"/>
      <c r="G28" s="72"/>
      <c r="H28" s="72"/>
      <c r="I28" s="72"/>
      <c r="J28" s="74"/>
      <c r="K28" s="74"/>
      <c r="L28" s="74"/>
    </row>
    <row r="29" spans="1:14" ht="13.2">
      <c r="A29" s="76" t="s">
        <v>58</v>
      </c>
      <c r="B29" s="77">
        <f t="shared" ref="B29:C29" si="3">SUM(B28)</f>
        <v>2104.5346901158246</v>
      </c>
      <c r="C29" s="77">
        <f t="shared" si="3"/>
        <v>37.677082286747719</v>
      </c>
      <c r="D29" s="78">
        <f t="shared" si="2"/>
        <v>55.857156721927467</v>
      </c>
      <c r="E29" s="70">
        <v>-4.7000000000000002E-3</v>
      </c>
      <c r="F29" s="87">
        <v>-1042.4000000000001</v>
      </c>
      <c r="G29" s="42">
        <v>5.3E-3</v>
      </c>
      <c r="H29" s="42">
        <v>2.0199999999999999E-2</v>
      </c>
      <c r="I29" s="89">
        <v>-1032.03</v>
      </c>
      <c r="J29" s="46">
        <v>-2.47E-2</v>
      </c>
      <c r="K29" s="82">
        <f>(-1/(1-0.0047))*-0.02*1.001+(2*(-0.02^2))</f>
        <v>2.0914538330151711E-2</v>
      </c>
      <c r="L29" s="83">
        <f>-1063.78</f>
        <v>-1063.78</v>
      </c>
    </row>
    <row r="32" spans="1:14" ht="13.2">
      <c r="A32" s="37" t="s">
        <v>26</v>
      </c>
    </row>
    <row r="33" spans="1:12" ht="39.6">
      <c r="A33" s="63" t="s">
        <v>19</v>
      </c>
      <c r="B33" s="67" t="s">
        <v>54</v>
      </c>
      <c r="C33" s="65" t="s">
        <v>53</v>
      </c>
      <c r="D33" s="65" t="s">
        <v>31</v>
      </c>
      <c r="E33" s="66" t="s">
        <v>50</v>
      </c>
      <c r="F33" s="86" t="s">
        <v>48</v>
      </c>
      <c r="G33" s="72" t="s">
        <v>50</v>
      </c>
      <c r="H33" s="72" t="s">
        <v>51</v>
      </c>
      <c r="I33" s="72" t="s">
        <v>48</v>
      </c>
      <c r="J33" s="35" t="s">
        <v>50</v>
      </c>
      <c r="K33" s="35" t="s">
        <v>51</v>
      </c>
      <c r="L33" s="35" t="s">
        <v>48</v>
      </c>
    </row>
    <row r="34" spans="1:12" ht="13.2">
      <c r="A34" s="63" t="s">
        <v>57</v>
      </c>
      <c r="B34" s="67">
        <f>(2-1)*((2-1)+1)*C16*((1-0.0043)^-(3))</f>
        <v>5.0650587011462553</v>
      </c>
      <c r="C34" s="67">
        <f>(C16*(1-0.0043)^-1)</f>
        <v>2.5107964246258914</v>
      </c>
      <c r="D34" s="69">
        <f t="shared" ref="D34:D36" si="4">B34/C34</f>
        <v>2.0173115794925307</v>
      </c>
      <c r="E34" s="70"/>
      <c r="F34" s="86"/>
      <c r="G34" s="72"/>
      <c r="H34" s="72"/>
      <c r="I34" s="73"/>
      <c r="J34" s="74"/>
      <c r="K34" s="74"/>
      <c r="L34" s="74"/>
    </row>
    <row r="35" spans="1:12" ht="13.2">
      <c r="A35" s="63" t="s">
        <v>59</v>
      </c>
      <c r="B35" s="67">
        <f>(2-0)*((2-0)+1)*(C16*B16)*((1-0.0043)^-(4))</f>
        <v>15260.797532829938</v>
      </c>
      <c r="C35" s="67">
        <f>C34*(1-0.043)^-2</f>
        <v>2.7414960595315292</v>
      </c>
      <c r="D35" s="69">
        <f t="shared" si="4"/>
        <v>5566.5947356633169</v>
      </c>
      <c r="E35" s="70"/>
      <c r="F35" s="86"/>
      <c r="G35" s="72"/>
      <c r="H35" s="72"/>
      <c r="I35" s="73"/>
      <c r="J35" s="74"/>
      <c r="K35" s="74"/>
      <c r="L35" s="74"/>
    </row>
    <row r="36" spans="1:12" ht="13.2">
      <c r="A36" s="76" t="s">
        <v>58</v>
      </c>
      <c r="B36" s="77">
        <f>B34+B35</f>
        <v>15265.862591531084</v>
      </c>
      <c r="C36" s="77">
        <f>SUM(C34:C35)</f>
        <v>5.2522924841574206</v>
      </c>
      <c r="D36" s="78">
        <f t="shared" si="4"/>
        <v>2906.5141816792889</v>
      </c>
      <c r="E36" s="70">
        <v>-4.3E-3</v>
      </c>
      <c r="F36" s="87">
        <v>-1013.69</v>
      </c>
      <c r="G36" s="42">
        <v>5.7000000000000002E-3</v>
      </c>
      <c r="H36" s="42">
        <v>2.1000000000000001E-2</v>
      </c>
      <c r="I36" s="89">
        <v>-993.65</v>
      </c>
      <c r="J36" s="46">
        <v>-2.4299999999999999E-2</v>
      </c>
      <c r="K36" s="82">
        <f>(-1/(1-0))*-0.02*1.0043+(1.474872*(-0.02^2))</f>
        <v>2.06759488E-2</v>
      </c>
      <c r="L36" s="90">
        <v>-1055.6199999999999</v>
      </c>
    </row>
    <row r="39" spans="1:12" ht="13.2">
      <c r="A39" s="57" t="s">
        <v>28</v>
      </c>
    </row>
    <row r="40" spans="1:12" ht="39.6">
      <c r="A40" s="63" t="s">
        <v>19</v>
      </c>
      <c r="B40" s="67" t="s">
        <v>54</v>
      </c>
      <c r="C40" s="65" t="s">
        <v>53</v>
      </c>
      <c r="D40" s="65" t="s">
        <v>31</v>
      </c>
      <c r="E40" s="66" t="s">
        <v>50</v>
      </c>
      <c r="F40" s="86" t="s">
        <v>48</v>
      </c>
      <c r="G40" s="72" t="s">
        <v>50</v>
      </c>
      <c r="H40" s="72" t="s">
        <v>51</v>
      </c>
      <c r="I40" s="72" t="s">
        <v>48</v>
      </c>
      <c r="J40" s="35" t="s">
        <v>50</v>
      </c>
      <c r="K40" s="35" t="s">
        <v>51</v>
      </c>
      <c r="L40" s="35" t="s">
        <v>48</v>
      </c>
    </row>
    <row r="41" spans="1:12" ht="13.2">
      <c r="A41" s="91" t="s">
        <v>57</v>
      </c>
      <c r="B41" s="67">
        <f>(3-2)*((3-2)+1)*C17*((1-0.0022)^-(3))</f>
        <v>97.64302724274954</v>
      </c>
      <c r="C41" s="67">
        <f>(C17*(1-0.0022)^-1)</f>
        <v>48.60693525756664</v>
      </c>
      <c r="D41" s="69">
        <f t="shared" ref="D41:D44" si="5">B41/C41</f>
        <v>2.0088291254188761</v>
      </c>
      <c r="E41" s="70"/>
      <c r="F41" s="86"/>
      <c r="G41" s="72"/>
      <c r="H41" s="72"/>
      <c r="I41" s="73"/>
      <c r="J41" s="74"/>
      <c r="K41" s="74"/>
      <c r="L41" s="74"/>
    </row>
    <row r="42" spans="1:12" ht="13.2">
      <c r="A42" s="91" t="s">
        <v>59</v>
      </c>
      <c r="B42" s="67">
        <f>(3-1)*((3-1)+1)*(C17*((1-0.0022)^-(4)))</f>
        <v>293.57494661079232</v>
      </c>
      <c r="C42" s="67">
        <f>C17*(1-0.0022)^-2</f>
        <v>48.714106291407745</v>
      </c>
      <c r="D42" s="69">
        <f t="shared" si="5"/>
        <v>6.0264873762566271</v>
      </c>
      <c r="E42" s="70"/>
      <c r="F42" s="86"/>
      <c r="G42" s="72"/>
      <c r="H42" s="72"/>
      <c r="I42" s="73"/>
      <c r="J42" s="74"/>
      <c r="K42" s="74"/>
      <c r="L42" s="74"/>
    </row>
    <row r="43" spans="1:12" ht="13.2">
      <c r="A43" s="91" t="s">
        <v>33</v>
      </c>
      <c r="B43" s="67">
        <f>(3-0)*((3-0)+1)*(C17+B17)*((1-0.0022)^-(5))</f>
        <v>12721.320162973625</v>
      </c>
      <c r="C43" s="67">
        <f>C17*(1-0.0022)^-3</f>
        <v>48.82151362137477</v>
      </c>
      <c r="D43" s="69">
        <f t="shared" si="5"/>
        <v>260.56791810330202</v>
      </c>
      <c r="E43" s="92"/>
      <c r="F43" s="93"/>
      <c r="G43" s="94"/>
      <c r="H43" s="94"/>
      <c r="I43" s="94"/>
      <c r="J43" s="95"/>
      <c r="K43" s="95"/>
      <c r="L43" s="95"/>
    </row>
    <row r="44" spans="1:12" ht="13.2">
      <c r="A44" s="76" t="s">
        <v>58</v>
      </c>
      <c r="B44" s="77">
        <f t="shared" ref="B44:C44" si="6">SUM(B41:B42:B43)</f>
        <v>13112.538136827166</v>
      </c>
      <c r="C44" s="77">
        <f t="shared" si="6"/>
        <v>13112.538136827166</v>
      </c>
      <c r="D44" s="78">
        <f t="shared" si="5"/>
        <v>1</v>
      </c>
      <c r="E44" s="66">
        <v>-0.22</v>
      </c>
      <c r="F44" s="87">
        <v>-1152.77</v>
      </c>
      <c r="G44" s="42">
        <v>7.7999999999999996E-3</v>
      </c>
      <c r="H44" s="42">
        <v>2.01E-2</v>
      </c>
      <c r="I44" s="89">
        <v>-1110.22</v>
      </c>
      <c r="J44" s="46">
        <v>-2.2200000000000001E-2</v>
      </c>
      <c r="K44" s="82">
        <f>((-1/(1-0.0022))*-0.02*1.0022+(2.9367259)*(-0.02^2))</f>
        <v>2.1262884386859089E-2</v>
      </c>
      <c r="L44" s="83">
        <f>-1221.88</f>
        <v>-1221.8800000000001</v>
      </c>
    </row>
    <row r="47" spans="1:12" ht="13.2">
      <c r="A47" s="58" t="s">
        <v>30</v>
      </c>
    </row>
    <row r="48" spans="1:12" ht="39.6">
      <c r="A48" s="63" t="s">
        <v>19</v>
      </c>
      <c r="B48" s="67" t="s">
        <v>54</v>
      </c>
      <c r="C48" s="65" t="s">
        <v>53</v>
      </c>
      <c r="D48" s="65" t="s">
        <v>31</v>
      </c>
      <c r="E48" s="66" t="s">
        <v>50</v>
      </c>
      <c r="F48" s="86" t="s">
        <v>48</v>
      </c>
      <c r="G48" s="72" t="s">
        <v>50</v>
      </c>
      <c r="H48" s="72" t="s">
        <v>51</v>
      </c>
      <c r="I48" s="72" t="s">
        <v>48</v>
      </c>
      <c r="J48" s="35" t="s">
        <v>50</v>
      </c>
      <c r="K48" s="35" t="s">
        <v>51</v>
      </c>
      <c r="L48" s="35" t="s">
        <v>48</v>
      </c>
    </row>
    <row r="49" spans="1:12" ht="13.2">
      <c r="A49" s="91" t="s">
        <v>57</v>
      </c>
      <c r="B49" s="67">
        <f>(4-3)*((4-3)+1)*C18*((1-0.0015)^-(3))</f>
        <v>110.49648872087069</v>
      </c>
      <c r="C49" s="67">
        <f>(C18*(1.0015)^-1)</f>
        <v>54.917623564653013</v>
      </c>
      <c r="D49" s="69">
        <f t="shared" ref="D49:D53" si="7">B49/C49</f>
        <v>2.012040608253673</v>
      </c>
      <c r="E49" s="70"/>
      <c r="F49" s="86"/>
      <c r="G49" s="72"/>
      <c r="H49" s="72"/>
      <c r="I49" s="73"/>
      <c r="J49" s="74"/>
      <c r="K49" s="74"/>
      <c r="L49" s="74"/>
    </row>
    <row r="50" spans="1:12" ht="13.2">
      <c r="A50" s="91" t="s">
        <v>59</v>
      </c>
      <c r="B50" s="67">
        <f>(4-2)*((4-2)+1)*(C18*((1-0.0015)^-(4)))</f>
        <v>331.98744733361247</v>
      </c>
      <c r="C50" s="67">
        <f>C18*(1.0015)^-2</f>
        <v>54.835370508889675</v>
      </c>
      <c r="D50" s="69">
        <f t="shared" si="7"/>
        <v>6.0542573935885429</v>
      </c>
      <c r="E50" s="70"/>
      <c r="F50" s="86"/>
      <c r="G50" s="72"/>
      <c r="H50" s="72"/>
      <c r="I50" s="73"/>
      <c r="J50" s="74"/>
      <c r="K50" s="74"/>
      <c r="L50" s="74"/>
    </row>
    <row r="51" spans="1:12" ht="13.2">
      <c r="A51" s="91" t="s">
        <v>33</v>
      </c>
      <c r="B51" s="67">
        <f>(4-1)*((4-1)+1)*(C17)*((1-0.0015)^-(5))</f>
        <v>586.38471145555434</v>
      </c>
      <c r="C51" s="67">
        <f>C18*(1.0015)^-3</f>
        <v>54.753240647917792</v>
      </c>
      <c r="D51" s="69">
        <f t="shared" si="7"/>
        <v>10.709589140599187</v>
      </c>
      <c r="E51" s="92"/>
      <c r="F51" s="93"/>
      <c r="G51" s="94"/>
      <c r="H51" s="94"/>
      <c r="I51" s="94"/>
      <c r="J51" s="95"/>
      <c r="K51" s="95"/>
      <c r="L51" s="95"/>
    </row>
    <row r="52" spans="1:12" ht="13.2">
      <c r="A52" s="91" t="s">
        <v>60</v>
      </c>
      <c r="B52" s="67">
        <f>(4-0)*((4-0)+1)*(C18+B18)*((1-0.0015)^-(6))</f>
        <v>21290.900976399644</v>
      </c>
      <c r="C52" s="67">
        <f>C18*(1.0015)^-4</f>
        <v>54.671233797221952</v>
      </c>
      <c r="D52" s="69">
        <f t="shared" si="7"/>
        <v>389.4351653992033</v>
      </c>
      <c r="E52" s="92"/>
      <c r="F52" s="93"/>
      <c r="G52" s="94"/>
      <c r="H52" s="94"/>
      <c r="I52" s="94"/>
      <c r="J52" s="95"/>
      <c r="K52" s="95"/>
      <c r="L52" s="95"/>
    </row>
    <row r="53" spans="1:12" ht="13.2">
      <c r="A53" s="76" t="s">
        <v>58</v>
      </c>
      <c r="B53" s="77">
        <f t="shared" ref="B53:C53" si="8">SUM(B49:B50:B51:B52)</f>
        <v>22319.76962390968</v>
      </c>
      <c r="C53" s="77">
        <f t="shared" si="8"/>
        <v>22319.76962390968</v>
      </c>
      <c r="D53" s="78">
        <f t="shared" si="7"/>
        <v>1</v>
      </c>
      <c r="E53" s="70">
        <v>-1.5E-3</v>
      </c>
      <c r="F53" s="87">
        <v>-1226.8499999999999</v>
      </c>
      <c r="G53" s="42">
        <v>8.5000000000000006E-3</v>
      </c>
      <c r="H53" s="42">
        <v>2.01E-2</v>
      </c>
      <c r="I53" s="89">
        <v>-1182.1099999999999</v>
      </c>
      <c r="J53" s="35">
        <v>-2.15</v>
      </c>
      <c r="K53" s="82">
        <f>(-1/(1-0.0015))*-0.02*1.0015+(3.3209794*(-0.02^2))</f>
        <v>2.1388481895202805E-2</v>
      </c>
      <c r="L53" s="83">
        <f>-1323.18</f>
        <v>-1323.18</v>
      </c>
    </row>
    <row r="96" spans="2:2" ht="15.75" customHeight="1">
      <c r="B96" s="65" t="s">
        <v>19</v>
      </c>
    </row>
    <row r="97" spans="1:2" ht="15.75" customHeight="1">
      <c r="A97" s="60" t="s">
        <v>21</v>
      </c>
      <c r="B97" s="69">
        <v>405.5292097532182</v>
      </c>
    </row>
    <row r="98" spans="1:2" ht="15.75" customHeight="1">
      <c r="A98" s="52" t="s">
        <v>24</v>
      </c>
    </row>
    <row r="99" spans="1:2" ht="15.75" customHeight="1">
      <c r="A99" s="52" t="s">
        <v>26</v>
      </c>
    </row>
    <row r="100" spans="1:2" ht="15.75" customHeight="1">
      <c r="A100" s="57" t="s">
        <v>28</v>
      </c>
    </row>
    <row r="101" spans="1:2" ht="15.75" customHeight="1">
      <c r="A101" s="58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Debito Pubblico 2012</vt:lpstr>
      <vt:lpstr>Debito Pubblico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Poyda</dc:creator>
  <cp:lastModifiedBy>15571272</cp:lastModifiedBy>
  <cp:lastPrinted>2020-03-27T12:59:49Z</cp:lastPrinted>
  <dcterms:created xsi:type="dcterms:W3CDTF">2020-03-27T12:44:58Z</dcterms:created>
  <dcterms:modified xsi:type="dcterms:W3CDTF">2020-08-08T14:57:15Z</dcterms:modified>
</cp:coreProperties>
</file>