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5120" windowHeight="7095" activeTab="1"/>
  </bookViews>
  <sheets>
    <sheet name="Setup" sheetId="24" r:id="rId1"/>
    <sheet name="Gear" sheetId="2" r:id="rId2"/>
    <sheet name="Data" sheetId="23" r:id="rId3"/>
    <sheet name="Weaponskill" sheetId="33" r:id="rId4"/>
    <sheet name="Melee" sheetId="34" r:id="rId5"/>
    <sheet name="Gear Lists" sheetId="13" r:id="rId6"/>
    <sheet name="Other Lists" sheetId="14" r:id="rId7"/>
    <sheet name="Stats" sheetId="25" r:id="rId8"/>
  </sheets>
  <definedNames>
    <definedName name="AM2Table">Data!$G$42:$I$48</definedName>
    <definedName name="Ammo">'Gear Lists'!$A$69:$AM$91</definedName>
    <definedName name="AmmoList">'Gear Lists'!$A$70:$A$91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Melee!$F$18</definedName>
    <definedName name="AvgHitsPerHand1Set2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RoundsSet1">Melee!$Q$12:$R$112</definedName>
    <definedName name="AvgRoundsSet2">Melee!$T$12:$U$112</definedName>
    <definedName name="Back">'Gear Lists'!$A$281:$AM$286</definedName>
    <definedName name="BackList">'Gear Lists'!$A$282:$A$286</definedName>
    <definedName name="Body">'Gear Lists'!$A$183:$AM$219</definedName>
    <definedName name="BodyList">'Gear Lists'!$A$185:$A$219</definedName>
    <definedName name="Boosts">'Other Lists'!$A$144:$A$145</definedName>
    <definedName name="Dagger">'Gear Lists'!$A$24:$BA$43</definedName>
    <definedName name="DaggerList">'Gear Lists'!$A$25:$A$43</definedName>
    <definedName name="Earring">'Gear Lists'!$A$147:$AM$180</definedName>
    <definedName name="EarringList">'Gear Lists'!$A$148:$A$180</definedName>
    <definedName name="Feet">'Gear Lists'!$A$354:$AN$383</definedName>
    <definedName name="FeetList">'Gear Lists'!$A$355:$A$383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Lists'!$A$222:$AM$252</definedName>
    <definedName name="HandsList">'Gear Lists'!$A$223:$A$252</definedName>
    <definedName name="Hastes">'Other Lists'!$A$140:$A$141</definedName>
    <definedName name="Head">'Gear Lists'!$A$94:$AM$132</definedName>
    <definedName name="HeadList">'Gear Lists'!$A$95:$A$132</definedName>
    <definedName name="Ionis">'Other Lists'!$A$132:$B$136</definedName>
    <definedName name="Katana">'Gear Lists'!$A$4:$BA$21</definedName>
    <definedName name="KatanaList">'Gear Lists'!$A$5:$A$21</definedName>
    <definedName name="Legs">'Gear Lists'!$A$323:$AM$351</definedName>
    <definedName name="LegsList">'Gear Lists'!$A$324:$A$351</definedName>
    <definedName name="MobHeader">'Other Lists'!$A$64:$J$64</definedName>
    <definedName name="MobNames">'Other Lists'!$A$65:$A$78</definedName>
    <definedName name="Mobs">'Other Lists'!$A$64:$J$78</definedName>
    <definedName name="Neck">'Gear Lists'!$A$135:$AM$144</definedName>
    <definedName name="NeckList">'Gear Lists'!$A$136:$A$144</definedName>
    <definedName name="OffhandWeapon">'Other Lists'!$A$92:$A$93</definedName>
    <definedName name="PlayerStats">Stats!$A$2:$I$3</definedName>
    <definedName name="Races">'Other Lists'!$A$85:$A$89</definedName>
    <definedName name="Ranged">'Gear Lists'!$A$63:$AM$66</definedName>
    <definedName name="RangedList">'Gear Lists'!$A$64:$A$66</definedName>
    <definedName name="RateTiers">Stats!$A$36:$J$36</definedName>
    <definedName name="Ring">'Gear Lists'!$A$255:$AM$278</definedName>
    <definedName name="RingList">'Gear Lists'!$A$256:$A$278</definedName>
    <definedName name="Set1AM3">Weaponskill!$E$6</definedName>
    <definedName name="Set1AM32">Weaponskill!$E$7</definedName>
    <definedName name="Set1AM33">Weaponskill!$E$8</definedName>
    <definedName name="Set1ConserveTP">Data!$D$270</definedName>
    <definedName name="Set1DA">Data!$D$220</definedName>
    <definedName name="Set1FTP">Data!$D$268</definedName>
    <definedName name="Set1MeleeTP">Data!$B$230</definedName>
    <definedName name="Set1MinTP">Setup!$F$39</definedName>
    <definedName name="Set1OverTP">Setup!$F$37</definedName>
    <definedName name="Set1QA">Data!$D$222</definedName>
    <definedName name="Set1Regain">Data!$D$274</definedName>
    <definedName name="Set1SaveTP">Data!$K$20</definedName>
    <definedName name="Set1TA">Data!$D$221</definedName>
    <definedName name="Set1TPBonus">Data!$D$269</definedName>
    <definedName name="Set1WSAgi">Data!$D$36</definedName>
    <definedName name="Set1WSDex">Data!$D$35</definedName>
    <definedName name="Set1WSDmg">Data!$D$271</definedName>
    <definedName name="Set1WSHitRate">Data!$D$108</definedName>
    <definedName name="Set1WSInt">Data!$D$37</definedName>
    <definedName name="Set1WSStoreTP">Data!$D$229</definedName>
    <definedName name="Set1WSStr">Data!$D$34</definedName>
    <definedName name="Set1WSTP">Data!$D$230</definedName>
    <definedName name="Set2AM3">Weaponskill!$E$539</definedName>
    <definedName name="Set2AM32">Weaponskill!$E$540</definedName>
    <definedName name="Set2AM33">Weaponskill!$E$541</definedName>
    <definedName name="Set2ConserveTP">Data!$E$270</definedName>
    <definedName name="Set2DA">Data!$E$220</definedName>
    <definedName name="Set2FTP">Data!$E$268</definedName>
    <definedName name="Set2MeleeTP">Data!$C$230</definedName>
    <definedName name="Set2MinTP">Setup!$G$39</definedName>
    <definedName name="Set2OverTP">Setup!$G$37</definedName>
    <definedName name="Set2QA">Data!$E$222</definedName>
    <definedName name="Set2Regain">Data!$E$274</definedName>
    <definedName name="Set2SaveTP">Data!$L$20</definedName>
    <definedName name="Set2TA">Data!$E$221</definedName>
    <definedName name="Set2TPBonus">Data!$E$269</definedName>
    <definedName name="Set2WSAgi">Data!$E$36</definedName>
    <definedName name="Set2WSDex">Data!$E$35</definedName>
    <definedName name="Set2WSDmg">Data!$E$271</definedName>
    <definedName name="Set2WSHitRate">Data!$E$108</definedName>
    <definedName name="Set2WSInt">Data!$E$37</definedName>
    <definedName name="Set2WSStoreTP">Data!$E$229</definedName>
    <definedName name="Set2WSStr">Data!$E$34</definedName>
    <definedName name="Set2WSTP">Data!$E$230</definedName>
    <definedName name="SetBonusLookup">'Other Lists'!$C$106:$M$127</definedName>
    <definedName name="Shuriken">'Gear Lists'!$A$46:$BA$60</definedName>
    <definedName name="ShurikenList">'Gear Lists'!$A$47:$A$60</definedName>
    <definedName name="Skills">'Other Lists'!$A$100:$C$102</definedName>
    <definedName name="Slots">Gear!$A$3:$A$22</definedName>
    <definedName name="StatHeader">'Gear Lists'!$A$1:$BA$1</definedName>
    <definedName name="Stats">Stats!$A$8:$I$8</definedName>
    <definedName name="Subjobs">'Other Lists'!$A$81:$A$82</definedName>
    <definedName name="ThrowingWeapon">'Other Lists'!$A$96:$A$97</definedName>
    <definedName name="Toggle">'Other Lists'!$A$41:$A$42</definedName>
    <definedName name="TPSet1">Gear!$A$2:$V$22</definedName>
    <definedName name="TPSet1Gear">Gear!$B$3:$B$18</definedName>
    <definedName name="TPSet2">Gear!$Y$2:$AT$22</definedName>
    <definedName name="TPSet2Gear">Gear!$Z$3:$Z$18</definedName>
    <definedName name="Waist">'Gear Lists'!$A$289:$AM$320</definedName>
    <definedName name="WaistList">'Gear Lists'!$A$290:$A$320</definedName>
    <definedName name="WeaponskillData">'Other Lists'!$A$27:$Q$36</definedName>
    <definedName name="WeaponskillDataCols">'Other Lists'!$A$26:$Q$26</definedName>
    <definedName name="Weaponskills">'Other Lists'!$A$27:$A$36</definedName>
    <definedName name="WSSet1">Gear!$A$26:$V$46</definedName>
    <definedName name="WSSet1Gear">Gear!$B$27:$B$42</definedName>
    <definedName name="WSSet2">Gear!$Y$26:$AT$46</definedName>
    <definedName name="WSSet2Gear">Gear!$Z$27:$Z$42</definedName>
  </definedNames>
  <calcPr calcId="125725"/>
</workbook>
</file>

<file path=xl/calcChain.xml><?xml version="1.0" encoding="utf-8"?>
<calcChain xmlns="http://schemas.openxmlformats.org/spreadsheetml/2006/main">
  <c r="L116" i="14"/>
  <c r="K116"/>
  <c r="J116"/>
  <c r="L115"/>
  <c r="K115"/>
  <c r="J115"/>
  <c r="J114"/>
  <c r="K114"/>
  <c r="L114"/>
  <c r="H77"/>
  <c r="G77"/>
  <c r="F77"/>
  <c r="E77"/>
  <c r="D77"/>
  <c r="D272" i="23" l="1"/>
  <c r="E272" l="1"/>
  <c r="G17" l="1"/>
  <c r="C253"/>
  <c r="B253"/>
  <c r="B224"/>
  <c r="N2" i="24"/>
  <c r="N3"/>
  <c r="N5" s="1"/>
  <c r="C50" i="23"/>
  <c r="E50"/>
  <c r="D50"/>
  <c r="B50"/>
  <c r="N6" i="24"/>
  <c r="E67" i="23"/>
  <c r="B67"/>
  <c r="M3" l="1"/>
  <c r="AS5" i="2"/>
  <c r="AR5"/>
  <c r="U12"/>
  <c r="U7"/>
  <c r="U14"/>
  <c r="U15"/>
  <c r="AR8"/>
  <c r="U11"/>
  <c r="AS11"/>
  <c r="AR13"/>
  <c r="AS18"/>
  <c r="AS13"/>
  <c r="AR14"/>
  <c r="AR7"/>
  <c r="T9"/>
  <c r="AS6"/>
  <c r="U10"/>
  <c r="AS16"/>
  <c r="U17"/>
  <c r="AS3"/>
  <c r="AR18"/>
  <c r="T7"/>
  <c r="AR10"/>
  <c r="AR11"/>
  <c r="AR16"/>
  <c r="T8"/>
  <c r="U16"/>
  <c r="AR6"/>
  <c r="AS7"/>
  <c r="AS15"/>
  <c r="AS9"/>
  <c r="U9"/>
  <c r="AS4"/>
  <c r="U18"/>
  <c r="T14"/>
  <c r="T10"/>
  <c r="U8"/>
  <c r="T16"/>
  <c r="U6"/>
  <c r="T17"/>
  <c r="U13"/>
  <c r="AS10"/>
  <c r="AR12"/>
  <c r="T12"/>
  <c r="T11"/>
  <c r="AR4"/>
  <c r="AS17"/>
  <c r="T6"/>
  <c r="AS8"/>
  <c r="AR15"/>
  <c r="AR9"/>
  <c r="AS14"/>
  <c r="AR17"/>
  <c r="T13"/>
  <c r="AR3"/>
  <c r="AS12"/>
  <c r="T15"/>
  <c r="T18"/>
  <c r="U5" l="1"/>
  <c r="T5"/>
  <c r="T4"/>
  <c r="U3"/>
  <c r="T3"/>
  <c r="U4"/>
  <c r="B187" i="23" l="1"/>
  <c r="C187"/>
  <c r="C181"/>
  <c r="B181"/>
  <c r="C14" i="24"/>
  <c r="C213" i="23"/>
  <c r="B213"/>
  <c r="C212"/>
  <c r="B212"/>
  <c r="B191" l="1"/>
  <c r="C180"/>
  <c r="B180"/>
  <c r="AB2" i="2"/>
  <c r="D2"/>
  <c r="H24" i="23"/>
  <c r="G24"/>
  <c r="AQ19" i="2"/>
  <c r="H26" i="23"/>
  <c r="AQ18" i="2"/>
  <c r="AQ16"/>
  <c r="AQ13"/>
  <c r="AQ9"/>
  <c r="AQ12"/>
  <c r="AQ14"/>
  <c r="AQ15"/>
  <c r="AQ10"/>
  <c r="AQ6"/>
  <c r="AQ7"/>
  <c r="G25" i="23"/>
  <c r="AQ11" i="2"/>
  <c r="G26" i="23"/>
  <c r="AQ17" i="2"/>
  <c r="AQ8"/>
  <c r="C206" i="23" l="1"/>
  <c r="C207" s="1"/>
  <c r="B206"/>
  <c r="B207" s="1"/>
  <c r="B202"/>
  <c r="AQ5" i="2"/>
  <c r="S19"/>
  <c r="S5"/>
  <c r="S11"/>
  <c r="S13"/>
  <c r="S8"/>
  <c r="S16"/>
  <c r="S4"/>
  <c r="S10"/>
  <c r="S3"/>
  <c r="S14"/>
  <c r="AQ4"/>
  <c r="S18"/>
  <c r="S9"/>
  <c r="S7"/>
  <c r="S12"/>
  <c r="S15"/>
  <c r="AQ3"/>
  <c r="S6"/>
  <c r="H25" i="23"/>
  <c r="S17" i="2"/>
  <c r="C202" i="23" l="1"/>
  <c r="B203"/>
  <c r="AQ22" i="2"/>
  <c r="S22"/>
  <c r="C102" i="14"/>
  <c r="C17" i="24"/>
  <c r="B223" i="23"/>
  <c r="C223"/>
  <c r="B68" i="34" l="1"/>
  <c r="B27"/>
  <c r="C203" i="23"/>
  <c r="C101" i="14"/>
  <c r="C260" i="23"/>
  <c r="B260"/>
  <c r="L20"/>
  <c r="K20"/>
  <c r="C42" l="1"/>
  <c r="C43" s="1"/>
  <c r="D40"/>
  <c r="E40"/>
  <c r="C40"/>
  <c r="B40"/>
  <c r="C258"/>
  <c r="B258"/>
  <c r="E42"/>
  <c r="E43" s="1"/>
  <c r="D42"/>
  <c r="D43" s="1"/>
  <c r="B42"/>
  <c r="B43" s="1"/>
  <c r="E45"/>
  <c r="D45"/>
  <c r="C45"/>
  <c r="B45"/>
  <c r="E41"/>
  <c r="D41"/>
  <c r="B41"/>
  <c r="C41"/>
  <c r="E233"/>
  <c r="D233"/>
  <c r="C233"/>
  <c r="B233"/>
  <c r="H19"/>
  <c r="G19"/>
  <c r="H13"/>
  <c r="G13"/>
  <c r="X20" i="2"/>
  <c r="AB19"/>
  <c r="AB5"/>
  <c r="D19"/>
  <c r="D5"/>
  <c r="Y28"/>
  <c r="A28"/>
  <c r="C100" i="14"/>
  <c r="C16" i="24"/>
  <c r="E118" i="23"/>
  <c r="D118"/>
  <c r="C118"/>
  <c r="B118"/>
  <c r="D128"/>
  <c r="B128"/>
  <c r="E119"/>
  <c r="D119"/>
  <c r="C119"/>
  <c r="B119"/>
  <c r="E58"/>
  <c r="D58"/>
  <c r="C58"/>
  <c r="B58"/>
  <c r="E57"/>
  <c r="D57"/>
  <c r="C57"/>
  <c r="B57"/>
  <c r="AA29" i="2"/>
  <c r="AC29"/>
  <c r="AG29"/>
  <c r="B27"/>
  <c r="B28"/>
  <c r="C29"/>
  <c r="E29"/>
  <c r="I29"/>
  <c r="AA5"/>
  <c r="AD5"/>
  <c r="AH5"/>
  <c r="C5"/>
  <c r="F5"/>
  <c r="J5"/>
  <c r="E48" i="23"/>
  <c r="D48"/>
  <c r="B48"/>
  <c r="C48"/>
  <c r="B1"/>
  <c r="D1"/>
  <c r="D29" i="2"/>
  <c r="B1" i="25"/>
  <c r="C1" s="1"/>
  <c r="A47"/>
  <c r="F47" s="1"/>
  <c r="A57"/>
  <c r="E57" s="1"/>
  <c r="A67"/>
  <c r="H67" s="1"/>
  <c r="E1" i="23"/>
  <c r="D9" s="1"/>
  <c r="D3"/>
  <c r="F3"/>
  <c r="H29" i="2"/>
  <c r="E9" i="23"/>
  <c r="D67"/>
  <c r="L3"/>
  <c r="L1"/>
  <c r="M29" i="2"/>
  <c r="V29"/>
  <c r="C18" i="23"/>
  <c r="R5" i="2"/>
  <c r="C21" i="23"/>
  <c r="N5" i="2"/>
  <c r="Q5"/>
  <c r="V5"/>
  <c r="D4" i="23"/>
  <c r="F4"/>
  <c r="B44"/>
  <c r="E10"/>
  <c r="B46"/>
  <c r="B47"/>
  <c r="B51"/>
  <c r="L4"/>
  <c r="M4" s="1"/>
  <c r="M5" i="2"/>
  <c r="L5"/>
  <c r="B14" i="23"/>
  <c r="C14"/>
  <c r="K5" i="2"/>
  <c r="C13" i="23"/>
  <c r="E20" i="34"/>
  <c r="E22" s="1"/>
  <c r="G22"/>
  <c r="G5"/>
  <c r="H22"/>
  <c r="H23"/>
  <c r="H5"/>
  <c r="H6"/>
  <c r="I22"/>
  <c r="I23"/>
  <c r="I24"/>
  <c r="I5"/>
  <c r="I6"/>
  <c r="I7"/>
  <c r="J22"/>
  <c r="J23"/>
  <c r="J24"/>
  <c r="J25"/>
  <c r="J5"/>
  <c r="J6"/>
  <c r="J7"/>
  <c r="J8"/>
  <c r="K22"/>
  <c r="K23"/>
  <c r="K24"/>
  <c r="K25"/>
  <c r="K26"/>
  <c r="K5"/>
  <c r="K6"/>
  <c r="K7"/>
  <c r="K8"/>
  <c r="K9"/>
  <c r="L22"/>
  <c r="L23"/>
  <c r="L24"/>
  <c r="L25"/>
  <c r="L26"/>
  <c r="L27"/>
  <c r="L5"/>
  <c r="L6"/>
  <c r="L7"/>
  <c r="L8"/>
  <c r="L9"/>
  <c r="L10"/>
  <c r="M22"/>
  <c r="M23"/>
  <c r="M24"/>
  <c r="M25"/>
  <c r="M26"/>
  <c r="M27"/>
  <c r="M28"/>
  <c r="M5"/>
  <c r="M6"/>
  <c r="M7"/>
  <c r="M8"/>
  <c r="M9"/>
  <c r="M10"/>
  <c r="M11"/>
  <c r="N22"/>
  <c r="N23"/>
  <c r="N24"/>
  <c r="N25"/>
  <c r="N26"/>
  <c r="N27"/>
  <c r="N28"/>
  <c r="N29"/>
  <c r="N5"/>
  <c r="N6"/>
  <c r="N7"/>
  <c r="N8"/>
  <c r="N9"/>
  <c r="N10"/>
  <c r="N11"/>
  <c r="N12"/>
  <c r="Q29" i="2"/>
  <c r="L29"/>
  <c r="K29"/>
  <c r="J29"/>
  <c r="A2" i="33"/>
  <c r="J8" s="1"/>
  <c r="D44" i="23"/>
  <c r="D46"/>
  <c r="D47"/>
  <c r="D51"/>
  <c r="R29" i="2"/>
  <c r="C20" i="23"/>
  <c r="AB29" i="2"/>
  <c r="E3" i="23"/>
  <c r="G3"/>
  <c r="AF29" i="2"/>
  <c r="F9" i="23"/>
  <c r="G23" i="24"/>
  <c r="AK29" i="2"/>
  <c r="AT29"/>
  <c r="D18" i="23"/>
  <c r="AP5" i="2"/>
  <c r="D21" i="23"/>
  <c r="AL5" i="2"/>
  <c r="AO5"/>
  <c r="AT5"/>
  <c r="E4" i="23"/>
  <c r="G4"/>
  <c r="C44"/>
  <c r="F10"/>
  <c r="C46"/>
  <c r="C47"/>
  <c r="AK5" i="2"/>
  <c r="AJ5"/>
  <c r="D14" i="23"/>
  <c r="AI5" i="2"/>
  <c r="D13" i="23"/>
  <c r="G64" i="34"/>
  <c r="G46"/>
  <c r="H64"/>
  <c r="H65"/>
  <c r="H46"/>
  <c r="H47"/>
  <c r="I64"/>
  <c r="I65"/>
  <c r="I66"/>
  <c r="I46"/>
  <c r="I47"/>
  <c r="I48"/>
  <c r="J64"/>
  <c r="J65"/>
  <c r="J66"/>
  <c r="J67"/>
  <c r="J46"/>
  <c r="J47"/>
  <c r="J48"/>
  <c r="J49"/>
  <c r="K64"/>
  <c r="K65"/>
  <c r="K66"/>
  <c r="K67"/>
  <c r="K68"/>
  <c r="K46"/>
  <c r="K47"/>
  <c r="K48"/>
  <c r="K49"/>
  <c r="K50"/>
  <c r="L64"/>
  <c r="L65"/>
  <c r="L66"/>
  <c r="L67"/>
  <c r="L68"/>
  <c r="L69"/>
  <c r="L46"/>
  <c r="L47"/>
  <c r="L48"/>
  <c r="L49"/>
  <c r="L50"/>
  <c r="L51"/>
  <c r="M64"/>
  <c r="M65"/>
  <c r="M66"/>
  <c r="M67"/>
  <c r="M68"/>
  <c r="M69"/>
  <c r="M70"/>
  <c r="M46"/>
  <c r="M47"/>
  <c r="M48"/>
  <c r="M49"/>
  <c r="M50"/>
  <c r="M51"/>
  <c r="M52"/>
  <c r="N64"/>
  <c r="N65"/>
  <c r="N66"/>
  <c r="N67"/>
  <c r="N68"/>
  <c r="N69"/>
  <c r="N70"/>
  <c r="N71"/>
  <c r="N46"/>
  <c r="N47"/>
  <c r="N48"/>
  <c r="N49"/>
  <c r="N50"/>
  <c r="N51"/>
  <c r="N52"/>
  <c r="N53"/>
  <c r="AO29" i="2"/>
  <c r="AJ29"/>
  <c r="AI29"/>
  <c r="AH29"/>
  <c r="A535" i="33"/>
  <c r="J538" s="1"/>
  <c r="E44" i="23"/>
  <c r="E46"/>
  <c r="E47"/>
  <c r="AP29" i="2"/>
  <c r="D20" i="23"/>
  <c r="Z27" i="2"/>
  <c r="Z28"/>
  <c r="L2" i="23"/>
  <c r="AA43" i="2"/>
  <c r="L11" i="23"/>
  <c r="L12"/>
  <c r="L13"/>
  <c r="C43" i="2"/>
  <c r="AA19"/>
  <c r="AC5"/>
  <c r="AG5"/>
  <c r="C19"/>
  <c r="E5"/>
  <c r="I5"/>
  <c r="AP19"/>
  <c r="AQ43"/>
  <c r="AP43"/>
  <c r="AO43"/>
  <c r="AN43"/>
  <c r="AM43"/>
  <c r="AJ43"/>
  <c r="AE43"/>
  <c r="S43"/>
  <c r="R43"/>
  <c r="Q43"/>
  <c r="P43"/>
  <c r="O43"/>
  <c r="L43"/>
  <c r="G43"/>
  <c r="AN19"/>
  <c r="AK19"/>
  <c r="AF19"/>
  <c r="R19"/>
  <c r="P19"/>
  <c r="M19"/>
  <c r="H19"/>
  <c r="I37" i="25"/>
  <c r="J37"/>
  <c r="I38"/>
  <c r="J38"/>
  <c r="I39"/>
  <c r="J39"/>
  <c r="I40"/>
  <c r="J40"/>
  <c r="I41"/>
  <c r="J41"/>
  <c r="I42"/>
  <c r="J42"/>
  <c r="I43"/>
  <c r="J43"/>
  <c r="E62" i="34"/>
  <c r="E64" s="1"/>
  <c r="F29" i="2"/>
  <c r="F5" i="23"/>
  <c r="D5"/>
  <c r="N7" i="24"/>
  <c r="L6" i="23" s="1"/>
  <c r="S29" i="2"/>
  <c r="O29"/>
  <c r="N9" i="24"/>
  <c r="L7" i="23" s="1"/>
  <c r="C17"/>
  <c r="P29" i="2"/>
  <c r="N8" i="24"/>
  <c r="L5" i="23" s="1"/>
  <c r="N29" i="2"/>
  <c r="C16" i="23"/>
  <c r="N10" i="24"/>
  <c r="L8" i="23" s="1"/>
  <c r="D236"/>
  <c r="K12" i="33"/>
  <c r="AD29" i="2"/>
  <c r="G5" i="23"/>
  <c r="E5"/>
  <c r="AQ29" i="2"/>
  <c r="AL29"/>
  <c r="D16" i="23"/>
  <c r="C13" i="24"/>
  <c r="E236" i="23"/>
  <c r="AM29" i="2"/>
  <c r="D17" i="23"/>
  <c r="AN29" i="2"/>
  <c r="K545" i="33"/>
  <c r="Q8"/>
  <c r="Q11"/>
  <c r="Q541"/>
  <c r="Q544"/>
  <c r="A1" i="23"/>
  <c r="D6"/>
  <c r="E6"/>
  <c r="F6"/>
  <c r="G6"/>
  <c r="K11"/>
  <c r="K12"/>
  <c r="K13"/>
  <c r="H17"/>
  <c r="B32"/>
  <c r="C32"/>
  <c r="D32"/>
  <c r="E32"/>
  <c r="B33"/>
  <c r="C33"/>
  <c r="D33"/>
  <c r="E33"/>
  <c r="G5" i="2"/>
  <c r="AE5"/>
  <c r="H5"/>
  <c r="AF5"/>
  <c r="G29"/>
  <c r="AE29"/>
  <c r="H41" i="23"/>
  <c r="H45" s="1"/>
  <c r="I41"/>
  <c r="I46" s="1"/>
  <c r="C224"/>
  <c r="O5" i="2"/>
  <c r="AM5"/>
  <c r="B236" i="23"/>
  <c r="C236"/>
  <c r="P5" i="2"/>
  <c r="AN5"/>
  <c r="B243" i="23"/>
  <c r="C243"/>
  <c r="B244"/>
  <c r="C244"/>
  <c r="X3" i="2"/>
  <c r="X4"/>
  <c r="X5"/>
  <c r="X6"/>
  <c r="X7"/>
  <c r="X8"/>
  <c r="X9"/>
  <c r="X10"/>
  <c r="X11"/>
  <c r="X12"/>
  <c r="X13"/>
  <c r="X14"/>
  <c r="X15"/>
  <c r="X16"/>
  <c r="X17"/>
  <c r="X18"/>
  <c r="X29"/>
  <c r="X30"/>
  <c r="X31"/>
  <c r="X32"/>
  <c r="X33"/>
  <c r="X34"/>
  <c r="X35"/>
  <c r="X36"/>
  <c r="X37"/>
  <c r="X38"/>
  <c r="X39"/>
  <c r="X40"/>
  <c r="X41"/>
  <c r="X42"/>
  <c r="X44"/>
  <c r="D43" i="24"/>
  <c r="C4"/>
  <c r="C5"/>
  <c r="C6"/>
  <c r="C7"/>
  <c r="C10"/>
  <c r="C11"/>
  <c r="C12"/>
  <c r="C15"/>
  <c r="G18"/>
  <c r="B24" i="34"/>
  <c r="B66"/>
  <c r="B25"/>
  <c r="B26"/>
  <c r="B65"/>
  <c r="B67"/>
  <c r="M114" i="14"/>
  <c r="M115"/>
  <c r="M116"/>
  <c r="G27" i="23"/>
  <c r="H27"/>
  <c r="E539" i="33" l="1"/>
  <c r="E540"/>
  <c r="E541"/>
  <c r="E8"/>
  <c r="E6"/>
  <c r="E7"/>
  <c r="E51" i="23"/>
  <c r="C191"/>
  <c r="C49"/>
  <c r="C57" i="25"/>
  <c r="C59" s="1"/>
  <c r="C51" i="23"/>
  <c r="C67"/>
  <c r="C5"/>
  <c r="I47"/>
  <c r="E128"/>
  <c r="C4"/>
  <c r="C128"/>
  <c r="C3"/>
  <c r="C6"/>
  <c r="K538" i="33"/>
  <c r="I45" i="23"/>
  <c r="G23"/>
  <c r="C261"/>
  <c r="G57" i="25"/>
  <c r="G58" s="1"/>
  <c r="B13" i="23"/>
  <c r="I44"/>
  <c r="H10"/>
  <c r="L538" i="33"/>
  <c r="I3"/>
  <c r="K3" s="1"/>
  <c r="B18" i="23"/>
  <c r="H43"/>
  <c r="H18"/>
  <c r="H42"/>
  <c r="G18"/>
  <c r="K2" i="33"/>
  <c r="J541"/>
  <c r="I43" i="23"/>
  <c r="I48"/>
  <c r="B49"/>
  <c r="E49"/>
  <c r="I42"/>
  <c r="B10" i="33"/>
  <c r="B543"/>
  <c r="I535"/>
  <c r="K535"/>
  <c r="I536"/>
  <c r="K536" s="1"/>
  <c r="B542"/>
  <c r="E59" i="25"/>
  <c r="E58"/>
  <c r="E61"/>
  <c r="E60"/>
  <c r="C47"/>
  <c r="C49" s="1"/>
  <c r="B19" i="23"/>
  <c r="C9"/>
  <c r="I2" i="33"/>
  <c r="D10" i="23"/>
  <c r="B10"/>
  <c r="C10"/>
  <c r="B261"/>
  <c r="H46"/>
  <c r="H57" i="25"/>
  <c r="B76"/>
  <c r="B57"/>
  <c r="H47"/>
  <c r="H48" s="1"/>
  <c r="H48" i="23"/>
  <c r="D57" i="25"/>
  <c r="H44" i="23"/>
  <c r="H47"/>
  <c r="J5" i="33"/>
  <c r="H9" i="23"/>
  <c r="D49"/>
  <c r="B47" i="25"/>
  <c r="B51" s="1"/>
  <c r="F57"/>
  <c r="L5" i="33"/>
  <c r="B9"/>
  <c r="I57" i="25"/>
  <c r="I61" s="1"/>
  <c r="K5" i="33"/>
  <c r="B9" i="23"/>
  <c r="E47" i="25"/>
  <c r="E48" s="1"/>
  <c r="I47"/>
  <c r="I50" s="1"/>
  <c r="F49"/>
  <c r="F50"/>
  <c r="F48"/>
  <c r="F51"/>
  <c r="K19" i="23"/>
  <c r="C67" i="25"/>
  <c r="C69" s="1"/>
  <c r="D47"/>
  <c r="G47"/>
  <c r="L19" i="23"/>
  <c r="H23"/>
  <c r="H70" i="25"/>
  <c r="H69"/>
  <c r="H71"/>
  <c r="H68"/>
  <c r="G67"/>
  <c r="I67"/>
  <c r="E67"/>
  <c r="D67"/>
  <c r="B67"/>
  <c r="F67"/>
  <c r="N3" i="23"/>
  <c r="N4"/>
  <c r="AR19" i="2" l="1"/>
  <c r="AR22" s="1"/>
  <c r="AS19"/>
  <c r="AS22" s="1"/>
  <c r="U19"/>
  <c r="U22" s="1"/>
  <c r="T19"/>
  <c r="T22" s="1"/>
  <c r="E51" i="25"/>
  <c r="C58"/>
  <c r="C60"/>
  <c r="C61"/>
  <c r="Q543" i="33"/>
  <c r="Q10"/>
  <c r="G61" i="25"/>
  <c r="G60"/>
  <c r="G59"/>
  <c r="I58"/>
  <c r="C503" i="33"/>
  <c r="E503" s="1"/>
  <c r="I59" i="25"/>
  <c r="I60"/>
  <c r="C793" i="33"/>
  <c r="E793" s="1"/>
  <c r="C574"/>
  <c r="E574" s="1"/>
  <c r="C722"/>
  <c r="D722" s="1"/>
  <c r="C896"/>
  <c r="D896" s="1"/>
  <c r="C973"/>
  <c r="E973" s="1"/>
  <c r="C557"/>
  <c r="D557" s="1"/>
  <c r="C552"/>
  <c r="D552" s="1"/>
  <c r="C947"/>
  <c r="D947" s="1"/>
  <c r="C810"/>
  <c r="E810" s="1"/>
  <c r="C842"/>
  <c r="D842" s="1"/>
  <c r="C751"/>
  <c r="E751" s="1"/>
  <c r="C430"/>
  <c r="E430" s="1"/>
  <c r="C623"/>
  <c r="D623" s="1"/>
  <c r="C850"/>
  <c r="E850" s="1"/>
  <c r="C634"/>
  <c r="D634" s="1"/>
  <c r="C775"/>
  <c r="E775" s="1"/>
  <c r="C748"/>
  <c r="E748" s="1"/>
  <c r="C1012"/>
  <c r="E1012" s="1"/>
  <c r="C569"/>
  <c r="D569" s="1"/>
  <c r="C553"/>
  <c r="D553" s="1"/>
  <c r="C742"/>
  <c r="E742" s="1"/>
  <c r="C927"/>
  <c r="E927" s="1"/>
  <c r="C702"/>
  <c r="D702" s="1"/>
  <c r="C791"/>
  <c r="D791" s="1"/>
  <c r="C1056"/>
  <c r="E1056" s="1"/>
  <c r="C554"/>
  <c r="D554" s="1"/>
  <c r="C988"/>
  <c r="E988" s="1"/>
  <c r="C817"/>
  <c r="E817" s="1"/>
  <c r="C739"/>
  <c r="D739" s="1"/>
  <c r="C732"/>
  <c r="E732" s="1"/>
  <c r="C878"/>
  <c r="D878" s="1"/>
  <c r="C813"/>
  <c r="D813" s="1"/>
  <c r="C964"/>
  <c r="E964" s="1"/>
  <c r="C966"/>
  <c r="E966" s="1"/>
  <c r="C725"/>
  <c r="D725" s="1"/>
  <c r="C657"/>
  <c r="D657" s="1"/>
  <c r="C1027"/>
  <c r="E1027" s="1"/>
  <c r="C859"/>
  <c r="E859" s="1"/>
  <c r="C1045"/>
  <c r="D1045" s="1"/>
  <c r="C818"/>
  <c r="D818" s="1"/>
  <c r="C942"/>
  <c r="D942" s="1"/>
  <c r="C745"/>
  <c r="E745" s="1"/>
  <c r="C692"/>
  <c r="D692" s="1"/>
  <c r="C1040"/>
  <c r="D1040" s="1"/>
  <c r="C886"/>
  <c r="E886" s="1"/>
  <c r="C1010"/>
  <c r="D1010" s="1"/>
  <c r="C662"/>
  <c r="D662" s="1"/>
  <c r="C820"/>
  <c r="D820" s="1"/>
  <c r="C642"/>
  <c r="D642" s="1"/>
  <c r="C790"/>
  <c r="D790" s="1"/>
  <c r="C925"/>
  <c r="E925" s="1"/>
  <c r="C814"/>
  <c r="D814" s="1"/>
  <c r="C783"/>
  <c r="D783" s="1"/>
  <c r="C1002"/>
  <c r="E1002" s="1"/>
  <c r="C991"/>
  <c r="D991" s="1"/>
  <c r="C595"/>
  <c r="E595" s="1"/>
  <c r="C677"/>
  <c r="D677" s="1"/>
  <c r="C641"/>
  <c r="D641" s="1"/>
  <c r="C673"/>
  <c r="E673" s="1"/>
  <c r="C979"/>
  <c r="D979" s="1"/>
  <c r="C1060"/>
  <c r="D1060" s="1"/>
  <c r="C870"/>
  <c r="E870" s="1"/>
  <c r="C904"/>
  <c r="E904" s="1"/>
  <c r="C660"/>
  <c r="D660" s="1"/>
  <c r="C719"/>
  <c r="E719" s="1"/>
  <c r="C911"/>
  <c r="D911" s="1"/>
  <c r="C844"/>
  <c r="D844" s="1"/>
  <c r="C905"/>
  <c r="E905" s="1"/>
  <c r="C687"/>
  <c r="D687" s="1"/>
  <c r="C902"/>
  <c r="D902" s="1"/>
  <c r="C756"/>
  <c r="D756" s="1"/>
  <c r="C667"/>
  <c r="E667" s="1"/>
  <c r="C578"/>
  <c r="D578" s="1"/>
  <c r="C762"/>
  <c r="D762" s="1"/>
  <c r="C625"/>
  <c r="D625" s="1"/>
  <c r="C571"/>
  <c r="D571" s="1"/>
  <c r="C970"/>
  <c r="D970" s="1"/>
  <c r="C974"/>
  <c r="D974" s="1"/>
  <c r="C572"/>
  <c r="D572" s="1"/>
  <c r="C811"/>
  <c r="E811" s="1"/>
  <c r="C583"/>
  <c r="D583" s="1"/>
  <c r="C899"/>
  <c r="D899" s="1"/>
  <c r="C830"/>
  <c r="D830" s="1"/>
  <c r="C559"/>
  <c r="D559" s="1"/>
  <c r="C711"/>
  <c r="D711" s="1"/>
  <c r="C864"/>
  <c r="D864" s="1"/>
  <c r="C700"/>
  <c r="D700" s="1"/>
  <c r="C621"/>
  <c r="E621" s="1"/>
  <c r="C931"/>
  <c r="D931" s="1"/>
  <c r="C794"/>
  <c r="E794" s="1"/>
  <c r="C639"/>
  <c r="D639" s="1"/>
  <c r="C869"/>
  <c r="E869" s="1"/>
  <c r="C636"/>
  <c r="D636" s="1"/>
  <c r="C632"/>
  <c r="E632" s="1"/>
  <c r="C903"/>
  <c r="D903" s="1"/>
  <c r="C1053"/>
  <c r="D1053" s="1"/>
  <c r="C924"/>
  <c r="D924" s="1"/>
  <c r="C801"/>
  <c r="E801" s="1"/>
  <c r="C800"/>
  <c r="D800" s="1"/>
  <c r="C1052"/>
  <c r="D1052" s="1"/>
  <c r="C592"/>
  <c r="E592" s="1"/>
  <c r="C755"/>
  <c r="E755" s="1"/>
  <c r="C609"/>
  <c r="E609" s="1"/>
  <c r="C782"/>
  <c r="D782" s="1"/>
  <c r="C1038"/>
  <c r="D1038" s="1"/>
  <c r="C1023"/>
  <c r="D1023" s="1"/>
  <c r="C1021"/>
  <c r="D1021" s="1"/>
  <c r="C738"/>
  <c r="E738" s="1"/>
  <c r="C788"/>
  <c r="D788" s="1"/>
  <c r="C809"/>
  <c r="E809" s="1"/>
  <c r="C1013"/>
  <c r="E1013" s="1"/>
  <c r="C696"/>
  <c r="E696" s="1"/>
  <c r="C586"/>
  <c r="D586" s="1"/>
  <c r="C699"/>
  <c r="E699" s="1"/>
  <c r="C908"/>
  <c r="D908" s="1"/>
  <c r="C684"/>
  <c r="D684" s="1"/>
  <c r="C760"/>
  <c r="E760" s="1"/>
  <c r="C726"/>
  <c r="E726" s="1"/>
  <c r="C812"/>
  <c r="E812" s="1"/>
  <c r="C764"/>
  <c r="E764" s="1"/>
  <c r="C708"/>
  <c r="E708" s="1"/>
  <c r="C1036"/>
  <c r="D1036" s="1"/>
  <c r="C649"/>
  <c r="E649" s="1"/>
  <c r="C805"/>
  <c r="D805" s="1"/>
  <c r="C873"/>
  <c r="D873" s="1"/>
  <c r="C807"/>
  <c r="D807" s="1"/>
  <c r="C727"/>
  <c r="D727" s="1"/>
  <c r="C1015"/>
  <c r="D1015" s="1"/>
  <c r="C772"/>
  <c r="E772" s="1"/>
  <c r="C628"/>
  <c r="E628" s="1"/>
  <c r="C580"/>
  <c r="D580" s="1"/>
  <c r="C978"/>
  <c r="D978" s="1"/>
  <c r="C806"/>
  <c r="D806" s="1"/>
  <c r="C975"/>
  <c r="E975" s="1"/>
  <c r="C563"/>
  <c r="E563" s="1"/>
  <c r="C778"/>
  <c r="D778" s="1"/>
  <c r="C832"/>
  <c r="D832" s="1"/>
  <c r="C718"/>
  <c r="E718" s="1"/>
  <c r="C865"/>
  <c r="E865" s="1"/>
  <c r="C743"/>
  <c r="D743" s="1"/>
  <c r="C770"/>
  <c r="D770" s="1"/>
  <c r="C584"/>
  <c r="E584" s="1"/>
  <c r="C582"/>
  <c r="E582" s="1"/>
  <c r="C1026"/>
  <c r="D1026" s="1"/>
  <c r="C995"/>
  <c r="D995" s="1"/>
  <c r="C792"/>
  <c r="D792" s="1"/>
  <c r="C1048"/>
  <c r="D1048" s="1"/>
  <c r="C862"/>
  <c r="E862" s="1"/>
  <c r="C575"/>
  <c r="D575" s="1"/>
  <c r="C803"/>
  <c r="D803" s="1"/>
  <c r="C744"/>
  <c r="E744" s="1"/>
  <c r="C940"/>
  <c r="E940" s="1"/>
  <c r="C1049"/>
  <c r="E1049" s="1"/>
  <c r="C920"/>
  <c r="D920" s="1"/>
  <c r="C561"/>
  <c r="E561" s="1"/>
  <c r="C689"/>
  <c r="D689" s="1"/>
  <c r="C1032"/>
  <c r="D1032" s="1"/>
  <c r="C646"/>
  <c r="E646" s="1"/>
  <c r="C968"/>
  <c r="E968" s="1"/>
  <c r="C944"/>
  <c r="D944" s="1"/>
  <c r="C635"/>
  <c r="D635" s="1"/>
  <c r="C958"/>
  <c r="E958" s="1"/>
  <c r="C838"/>
  <c r="E838" s="1"/>
  <c r="C906"/>
  <c r="D906" s="1"/>
  <c r="C637"/>
  <c r="D637" s="1"/>
  <c r="C1061"/>
  <c r="D1061" s="1"/>
  <c r="C600"/>
  <c r="D600" s="1"/>
  <c r="C1025"/>
  <c r="D1025" s="1"/>
  <c r="C933"/>
  <c r="E933" s="1"/>
  <c r="C823"/>
  <c r="E823" s="1"/>
  <c r="C593"/>
  <c r="E593" s="1"/>
  <c r="C616"/>
  <c r="D616" s="1"/>
  <c r="C690"/>
  <c r="D690" s="1"/>
  <c r="C932"/>
  <c r="D932" s="1"/>
  <c r="C786"/>
  <c r="D786" s="1"/>
  <c r="C831"/>
  <c r="D831" s="1"/>
  <c r="C851"/>
  <c r="D851" s="1"/>
  <c r="C969"/>
  <c r="E969" s="1"/>
  <c r="C821"/>
  <c r="D821" s="1"/>
  <c r="C894"/>
  <c r="D894" s="1"/>
  <c r="C997"/>
  <c r="E997" s="1"/>
  <c r="C839"/>
  <c r="D839" s="1"/>
  <c r="C915"/>
  <c r="D915" s="1"/>
  <c r="C987"/>
  <c r="E987" s="1"/>
  <c r="C629"/>
  <c r="E629" s="1"/>
  <c r="C1050"/>
  <c r="D1050" s="1"/>
  <c r="C556"/>
  <c r="D556" s="1"/>
  <c r="C608"/>
  <c r="E608" s="1"/>
  <c r="C695"/>
  <c r="D695" s="1"/>
  <c r="C1014"/>
  <c r="D1014" s="1"/>
  <c r="C731"/>
  <c r="E731" s="1"/>
  <c r="C603"/>
  <c r="D603" s="1"/>
  <c r="C691"/>
  <c r="D691" s="1"/>
  <c r="C1051"/>
  <c r="D1051" s="1"/>
  <c r="C888"/>
  <c r="E888" s="1"/>
  <c r="C618"/>
  <c r="E618" s="1"/>
  <c r="C758"/>
  <c r="E758" s="1"/>
  <c r="C706"/>
  <c r="E706" s="1"/>
  <c r="C589"/>
  <c r="E589" s="1"/>
  <c r="C683"/>
  <c r="D683" s="1"/>
  <c r="C849"/>
  <c r="E849" s="1"/>
  <c r="C825"/>
  <c r="E825" s="1"/>
  <c r="C1043"/>
  <c r="D1043" s="1"/>
  <c r="C674"/>
  <c r="D674" s="1"/>
  <c r="C965"/>
  <c r="D965" s="1"/>
  <c r="C877"/>
  <c r="D877" s="1"/>
  <c r="C599"/>
  <c r="E599" s="1"/>
  <c r="C898"/>
  <c r="D898" s="1"/>
  <c r="C962"/>
  <c r="D962" s="1"/>
  <c r="C1016"/>
  <c r="D1016" s="1"/>
  <c r="C771"/>
  <c r="D771" s="1"/>
  <c r="C654"/>
  <c r="E654" s="1"/>
  <c r="C1008"/>
  <c r="D1008" s="1"/>
  <c r="C845"/>
  <c r="E845" s="1"/>
  <c r="C551"/>
  <c r="D551" s="1"/>
  <c r="C852"/>
  <c r="D852" s="1"/>
  <c r="C606"/>
  <c r="D606" s="1"/>
  <c r="C943"/>
  <c r="D943" s="1"/>
  <c r="C675"/>
  <c r="D675" s="1"/>
  <c r="C594"/>
  <c r="D594" s="1"/>
  <c r="C1062"/>
  <c r="E1062" s="1"/>
  <c r="C954"/>
  <c r="D954" s="1"/>
  <c r="C697"/>
  <c r="E697" s="1"/>
  <c r="C1000"/>
  <c r="D1000" s="1"/>
  <c r="C824"/>
  <c r="E824" s="1"/>
  <c r="C1044"/>
  <c r="E1044" s="1"/>
  <c r="C754"/>
  <c r="D754" s="1"/>
  <c r="C963"/>
  <c r="D963" s="1"/>
  <c r="C693"/>
  <c r="E693" s="1"/>
  <c r="C921"/>
  <c r="E921" s="1"/>
  <c r="C624"/>
  <c r="E624" s="1"/>
  <c r="C949"/>
  <c r="E949" s="1"/>
  <c r="C858"/>
  <c r="E858" s="1"/>
  <c r="C1046"/>
  <c r="E1046" s="1"/>
  <c r="C994"/>
  <c r="D994" s="1"/>
  <c r="C558"/>
  <c r="D558" s="1"/>
  <c r="C957"/>
  <c r="D957" s="1"/>
  <c r="C1031"/>
  <c r="D1031" s="1"/>
  <c r="C705"/>
  <c r="E705" s="1"/>
  <c r="C591"/>
  <c r="D591" s="1"/>
  <c r="C885"/>
  <c r="D885" s="1"/>
  <c r="C923"/>
  <c r="D923" s="1"/>
  <c r="C948"/>
  <c r="D948" s="1"/>
  <c r="C887"/>
  <c r="D887" s="1"/>
  <c r="C796"/>
  <c r="D796" s="1"/>
  <c r="C581"/>
  <c r="D581" s="1"/>
  <c r="C956"/>
  <c r="E956" s="1"/>
  <c r="C1054"/>
  <c r="E1054" s="1"/>
  <c r="C989"/>
  <c r="E989" s="1"/>
  <c r="C659"/>
  <c r="D659" s="1"/>
  <c r="C827"/>
  <c r="D827" s="1"/>
  <c r="C585"/>
  <c r="E585" s="1"/>
  <c r="C679"/>
  <c r="E679" s="1"/>
  <c r="C658"/>
  <c r="D658" s="1"/>
  <c r="C917"/>
  <c r="E917" s="1"/>
  <c r="C855"/>
  <c r="E855" s="1"/>
  <c r="C666"/>
  <c r="D666" s="1"/>
  <c r="C846"/>
  <c r="D846" s="1"/>
  <c r="C912"/>
  <c r="C879"/>
  <c r="C808"/>
  <c r="E808" s="1"/>
  <c r="C710"/>
  <c r="E710" s="1"/>
  <c r="C721"/>
  <c r="E721" s="1"/>
  <c r="C607"/>
  <c r="E607" s="1"/>
  <c r="C890"/>
  <c r="D890" s="1"/>
  <c r="C854"/>
  <c r="E854" s="1"/>
  <c r="C984"/>
  <c r="E984" s="1"/>
  <c r="C604"/>
  <c r="D604" s="1"/>
  <c r="C1058"/>
  <c r="D1058" s="1"/>
  <c r="C1055"/>
  <c r="D1055" s="1"/>
  <c r="C670"/>
  <c r="E670" s="1"/>
  <c r="C1028"/>
  <c r="E1028" s="1"/>
  <c r="C752"/>
  <c r="E752" s="1"/>
  <c r="C602"/>
  <c r="D602" s="1"/>
  <c r="C734"/>
  <c r="D734" s="1"/>
  <c r="C627"/>
  <c r="D627" s="1"/>
  <c r="C1035"/>
  <c r="E1035" s="1"/>
  <c r="C694"/>
  <c r="D694" s="1"/>
  <c r="C910"/>
  <c r="D910" s="1"/>
  <c r="C703"/>
  <c r="E703" s="1"/>
  <c r="C622"/>
  <c r="E622" s="1"/>
  <c r="C918"/>
  <c r="D918" s="1"/>
  <c r="C876"/>
  <c r="D876" s="1"/>
  <c r="C955"/>
  <c r="E955" s="1"/>
  <c r="C724"/>
  <c r="D724" s="1"/>
  <c r="C960"/>
  <c r="D960" s="1"/>
  <c r="C857"/>
  <c r="E857" s="1"/>
  <c r="C1029"/>
  <c r="D1029" s="1"/>
  <c r="C678"/>
  <c r="D678" s="1"/>
  <c r="C746"/>
  <c r="D746" s="1"/>
  <c r="C1001"/>
  <c r="E1001" s="1"/>
  <c r="C907"/>
  <c r="E907" s="1"/>
  <c r="C570"/>
  <c r="E570" s="1"/>
  <c r="C656"/>
  <c r="D656" s="1"/>
  <c r="C562"/>
  <c r="E562" s="1"/>
  <c r="C652"/>
  <c r="D652" s="1"/>
  <c r="C872"/>
  <c r="E872" s="1"/>
  <c r="C712"/>
  <c r="E712" s="1"/>
  <c r="C1034"/>
  <c r="D1034" s="1"/>
  <c r="C1059"/>
  <c r="E1059" s="1"/>
  <c r="C971"/>
  <c r="D971" s="1"/>
  <c r="C704"/>
  <c r="D704" s="1"/>
  <c r="C841"/>
  <c r="E841" s="1"/>
  <c r="C605"/>
  <c r="E605" s="1"/>
  <c r="C1004"/>
  <c r="E1004" s="1"/>
  <c r="C769"/>
  <c r="D769" s="1"/>
  <c r="C1037"/>
  <c r="D1037" s="1"/>
  <c r="C668"/>
  <c r="D668" s="1"/>
  <c r="C840"/>
  <c r="D840" s="1"/>
  <c r="C985"/>
  <c r="D985" s="1"/>
  <c r="C626"/>
  <c r="D626" s="1"/>
  <c r="C779"/>
  <c r="E779" s="1"/>
  <c r="C749"/>
  <c r="D749" s="1"/>
  <c r="C767"/>
  <c r="E767" s="1"/>
  <c r="C882"/>
  <c r="E882" s="1"/>
  <c r="C610"/>
  <c r="D610" s="1"/>
  <c r="C816"/>
  <c r="D816" s="1"/>
  <c r="C950"/>
  <c r="D950" s="1"/>
  <c r="C1022"/>
  <c r="E1022" s="1"/>
  <c r="C661"/>
  <c r="D661" s="1"/>
  <c r="C871"/>
  <c r="D871" s="1"/>
  <c r="C900"/>
  <c r="D900" s="1"/>
  <c r="C766"/>
  <c r="D766" s="1"/>
  <c r="C919"/>
  <c r="D919" s="1"/>
  <c r="C680"/>
  <c r="D680" s="1"/>
  <c r="C565"/>
  <c r="E565" s="1"/>
  <c r="C615"/>
  <c r="E615" s="1"/>
  <c r="C856"/>
  <c r="D856" s="1"/>
  <c r="C750"/>
  <c r="D750" s="1"/>
  <c r="C795"/>
  <c r="D795" s="1"/>
  <c r="C698"/>
  <c r="E698" s="1"/>
  <c r="C992"/>
  <c r="D992" s="1"/>
  <c r="C707"/>
  <c r="D707" s="1"/>
  <c r="C650"/>
  <c r="E650" s="1"/>
  <c r="C617"/>
  <c r="E617" s="1"/>
  <c r="C967"/>
  <c r="D967" s="1"/>
  <c r="C781"/>
  <c r="D781" s="1"/>
  <c r="C630"/>
  <c r="D630" s="1"/>
  <c r="C926"/>
  <c r="D926" s="1"/>
  <c r="C892"/>
  <c r="D892" s="1"/>
  <c r="C741"/>
  <c r="D741" s="1"/>
  <c r="C560"/>
  <c r="E560" s="1"/>
  <c r="C843"/>
  <c r="E843" s="1"/>
  <c r="C577"/>
  <c r="D577" s="1"/>
  <c r="C929"/>
  <c r="E929" s="1"/>
  <c r="C663"/>
  <c r="E663" s="1"/>
  <c r="C993"/>
  <c r="C671"/>
  <c r="E671" s="1"/>
  <c r="C588"/>
  <c r="E588" s="1"/>
  <c r="C976"/>
  <c r="E976" s="1"/>
  <c r="C638"/>
  <c r="D638" s="1"/>
  <c r="C981"/>
  <c r="E981" s="1"/>
  <c r="C1024"/>
  <c r="E1024" s="1"/>
  <c r="C651"/>
  <c r="E651" s="1"/>
  <c r="C773"/>
  <c r="E773" s="1"/>
  <c r="C1011"/>
  <c r="D1011" s="1"/>
  <c r="C590"/>
  <c r="E590" s="1"/>
  <c r="C935"/>
  <c r="E935" s="1"/>
  <c r="C753"/>
  <c r="E753" s="1"/>
  <c r="C977"/>
  <c r="E977" s="1"/>
  <c r="C1020"/>
  <c r="E1020" s="1"/>
  <c r="C647"/>
  <c r="E647" s="1"/>
  <c r="C848"/>
  <c r="E848" s="1"/>
  <c r="C784"/>
  <c r="E784" s="1"/>
  <c r="C834"/>
  <c r="E834" s="1"/>
  <c r="C737"/>
  <c r="E737" s="1"/>
  <c r="C686"/>
  <c r="D686" s="1"/>
  <c r="C735"/>
  <c r="D735" s="1"/>
  <c r="C723"/>
  <c r="E723" s="1"/>
  <c r="C860"/>
  <c r="D860" s="1"/>
  <c r="C598"/>
  <c r="E598" s="1"/>
  <c r="C936"/>
  <c r="E936" s="1"/>
  <c r="C717"/>
  <c r="D717" s="1"/>
  <c r="C953"/>
  <c r="D953" s="1"/>
  <c r="C952"/>
  <c r="D952" s="1"/>
  <c r="C740"/>
  <c r="E740" s="1"/>
  <c r="C875"/>
  <c r="D875" s="1"/>
  <c r="C780"/>
  <c r="D780" s="1"/>
  <c r="C1042"/>
  <c r="D1042" s="1"/>
  <c r="C761"/>
  <c r="E761" s="1"/>
  <c r="C714"/>
  <c r="D714" s="1"/>
  <c r="C996"/>
  <c r="D996" s="1"/>
  <c r="C863"/>
  <c r="E863" s="1"/>
  <c r="C576"/>
  <c r="D576" s="1"/>
  <c r="C644"/>
  <c r="D644" s="1"/>
  <c r="C891"/>
  <c r="D891" s="1"/>
  <c r="C648"/>
  <c r="D648" s="1"/>
  <c r="C709"/>
  <c r="D709" s="1"/>
  <c r="C837"/>
  <c r="E837" s="1"/>
  <c r="C1030"/>
  <c r="D1030" s="1"/>
  <c r="C946"/>
  <c r="D946" s="1"/>
  <c r="C909"/>
  <c r="D909" s="1"/>
  <c r="C730"/>
  <c r="D730" s="1"/>
  <c r="C768"/>
  <c r="E768" s="1"/>
  <c r="C867"/>
  <c r="E867" s="1"/>
  <c r="C1007"/>
  <c r="C1009"/>
  <c r="D1009" s="1"/>
  <c r="C715"/>
  <c r="D715" s="1"/>
  <c r="C655"/>
  <c r="C1003"/>
  <c r="D1003" s="1"/>
  <c r="C757"/>
  <c r="E757" s="1"/>
  <c r="C597"/>
  <c r="E597" s="1"/>
  <c r="C1005"/>
  <c r="E1005" s="1"/>
  <c r="C763"/>
  <c r="E763" s="1"/>
  <c r="C573"/>
  <c r="D573" s="1"/>
  <c r="C961"/>
  <c r="E961" s="1"/>
  <c r="C664"/>
  <c r="D664" s="1"/>
  <c r="C682"/>
  <c r="E682" s="1"/>
  <c r="C901"/>
  <c r="E901" s="1"/>
  <c r="C567"/>
  <c r="D567" s="1"/>
  <c r="C643"/>
  <c r="D643" s="1"/>
  <c r="C640"/>
  <c r="D640" s="1"/>
  <c r="C774"/>
  <c r="D774" s="1"/>
  <c r="C631"/>
  <c r="D631" s="1"/>
  <c r="C713"/>
  <c r="D713" s="1"/>
  <c r="C939"/>
  <c r="E939" s="1"/>
  <c r="C799"/>
  <c r="E799" s="1"/>
  <c r="C601"/>
  <c r="E601" s="1"/>
  <c r="C884"/>
  <c r="C833"/>
  <c r="D833" s="1"/>
  <c r="C853"/>
  <c r="D853" s="1"/>
  <c r="C922"/>
  <c r="D922" s="1"/>
  <c r="C685"/>
  <c r="D685" s="1"/>
  <c r="C672"/>
  <c r="E672" s="1"/>
  <c r="C998"/>
  <c r="D998" s="1"/>
  <c r="C701"/>
  <c r="E701" s="1"/>
  <c r="C1047"/>
  <c r="C785"/>
  <c r="D785" s="1"/>
  <c r="C934"/>
  <c r="E934" s="1"/>
  <c r="C736"/>
  <c r="E736" s="1"/>
  <c r="C983"/>
  <c r="D983" s="1"/>
  <c r="C611"/>
  <c r="D611" s="1"/>
  <c r="C1018"/>
  <c r="D1018" s="1"/>
  <c r="C688"/>
  <c r="D688" s="1"/>
  <c r="C619"/>
  <c r="D619" s="1"/>
  <c r="C835"/>
  <c r="E835" s="1"/>
  <c r="C633"/>
  <c r="E633" s="1"/>
  <c r="C938"/>
  <c r="D938" s="1"/>
  <c r="C866"/>
  <c r="E866" s="1"/>
  <c r="C765"/>
  <c r="E765" s="1"/>
  <c r="C889"/>
  <c r="E889" s="1"/>
  <c r="C914"/>
  <c r="E914" s="1"/>
  <c r="C1057"/>
  <c r="D1057" s="1"/>
  <c r="C1033"/>
  <c r="D1033" s="1"/>
  <c r="C645"/>
  <c r="E645" s="1"/>
  <c r="C653"/>
  <c r="D653" s="1"/>
  <c r="C669"/>
  <c r="E669" s="1"/>
  <c r="C913"/>
  <c r="E913" s="1"/>
  <c r="C777"/>
  <c r="D777" s="1"/>
  <c r="C802"/>
  <c r="E802" s="1"/>
  <c r="C1017"/>
  <c r="D1017" s="1"/>
  <c r="C566"/>
  <c r="D566" s="1"/>
  <c r="C826"/>
  <c r="E826" s="1"/>
  <c r="C676"/>
  <c r="E676" s="1"/>
  <c r="C787"/>
  <c r="E787" s="1"/>
  <c r="C1019"/>
  <c r="E1019" s="1"/>
  <c r="C1006"/>
  <c r="D1006" s="1"/>
  <c r="C555"/>
  <c r="E555" s="1"/>
  <c r="C880"/>
  <c r="E880" s="1"/>
  <c r="C941"/>
  <c r="E941" s="1"/>
  <c r="C836"/>
  <c r="E836" s="1"/>
  <c r="C819"/>
  <c r="D819" s="1"/>
  <c r="C895"/>
  <c r="D895" s="1"/>
  <c r="C747"/>
  <c r="D747" s="1"/>
  <c r="C874"/>
  <c r="D874" s="1"/>
  <c r="C759"/>
  <c r="D759" s="1"/>
  <c r="C986"/>
  <c r="D986" s="1"/>
  <c r="C716"/>
  <c r="D716" s="1"/>
  <c r="C564"/>
  <c r="E564" s="1"/>
  <c r="C951"/>
  <c r="D951" s="1"/>
  <c r="C681"/>
  <c r="D681" s="1"/>
  <c r="C928"/>
  <c r="E928" s="1"/>
  <c r="C804"/>
  <c r="D804" s="1"/>
  <c r="C999"/>
  <c r="E999" s="1"/>
  <c r="C789"/>
  <c r="E789" s="1"/>
  <c r="C893"/>
  <c r="D893" s="1"/>
  <c r="C612"/>
  <c r="D612" s="1"/>
  <c r="C959"/>
  <c r="D959" s="1"/>
  <c r="C972"/>
  <c r="D972" s="1"/>
  <c r="C568"/>
  <c r="D568" s="1"/>
  <c r="C587"/>
  <c r="E587" s="1"/>
  <c r="C1041"/>
  <c r="E1041" s="1"/>
  <c r="C733"/>
  <c r="D733" s="1"/>
  <c r="C881"/>
  <c r="E881" s="1"/>
  <c r="C868"/>
  <c r="E868" s="1"/>
  <c r="C720"/>
  <c r="E720" s="1"/>
  <c r="C728"/>
  <c r="E728" s="1"/>
  <c r="C797"/>
  <c r="E797" s="1"/>
  <c r="C828"/>
  <c r="E828" s="1"/>
  <c r="C945"/>
  <c r="E945" s="1"/>
  <c r="C897"/>
  <c r="E897" s="1"/>
  <c r="C982"/>
  <c r="E982" s="1"/>
  <c r="C980"/>
  <c r="E980" s="1"/>
  <c r="C916"/>
  <c r="E916" s="1"/>
  <c r="C861"/>
  <c r="D861" s="1"/>
  <c r="C930"/>
  <c r="E930" s="1"/>
  <c r="C620"/>
  <c r="E620" s="1"/>
  <c r="C815"/>
  <c r="D815" s="1"/>
  <c r="C596"/>
  <c r="D596" s="1"/>
  <c r="C614"/>
  <c r="D614" s="1"/>
  <c r="C822"/>
  <c r="D822" s="1"/>
  <c r="C613"/>
  <c r="E613" s="1"/>
  <c r="C847"/>
  <c r="E847" s="1"/>
  <c r="C883"/>
  <c r="D883" s="1"/>
  <c r="C579"/>
  <c r="D579" s="1"/>
  <c r="C1039"/>
  <c r="D1039" s="1"/>
  <c r="C798"/>
  <c r="D798" s="1"/>
  <c r="C665"/>
  <c r="D665" s="1"/>
  <c r="C937"/>
  <c r="E937" s="1"/>
  <c r="C776"/>
  <c r="E776" s="1"/>
  <c r="C729"/>
  <c r="D729" s="1"/>
  <c r="C829"/>
  <c r="E829" s="1"/>
  <c r="C990"/>
  <c r="D990" s="1"/>
  <c r="C70" i="25"/>
  <c r="C144" i="33"/>
  <c r="D144" s="1"/>
  <c r="C465"/>
  <c r="E465" s="1"/>
  <c r="C470"/>
  <c r="D470" s="1"/>
  <c r="C212"/>
  <c r="E212" s="1"/>
  <c r="C410"/>
  <c r="D410" s="1"/>
  <c r="C236"/>
  <c r="D236" s="1"/>
  <c r="C287"/>
  <c r="D287" s="1"/>
  <c r="C33"/>
  <c r="D33" s="1"/>
  <c r="C526"/>
  <c r="E526" s="1"/>
  <c r="C380"/>
  <c r="E380" s="1"/>
  <c r="C231"/>
  <c r="E231" s="1"/>
  <c r="C310"/>
  <c r="E310" s="1"/>
  <c r="C91"/>
  <c r="E91" s="1"/>
  <c r="C421"/>
  <c r="E421" s="1"/>
  <c r="C511"/>
  <c r="D511" s="1"/>
  <c r="C111"/>
  <c r="E111" s="1"/>
  <c r="C486"/>
  <c r="D486" s="1"/>
  <c r="C333"/>
  <c r="E333" s="1"/>
  <c r="C504"/>
  <c r="E504" s="1"/>
  <c r="C390"/>
  <c r="E390" s="1"/>
  <c r="C328"/>
  <c r="D328" s="1"/>
  <c r="C493"/>
  <c r="D493" s="1"/>
  <c r="C295"/>
  <c r="D295" s="1"/>
  <c r="C522"/>
  <c r="D522" s="1"/>
  <c r="C336"/>
  <c r="D336" s="1"/>
  <c r="C55"/>
  <c r="E55" s="1"/>
  <c r="C286"/>
  <c r="E286" s="1"/>
  <c r="C194"/>
  <c r="E194" s="1"/>
  <c r="C185"/>
  <c r="E185" s="1"/>
  <c r="C395"/>
  <c r="E395" s="1"/>
  <c r="C193"/>
  <c r="D193" s="1"/>
  <c r="C66"/>
  <c r="D66" s="1"/>
  <c r="C74"/>
  <c r="E74" s="1"/>
  <c r="C525"/>
  <c r="E525" s="1"/>
  <c r="C437"/>
  <c r="E437" s="1"/>
  <c r="C455"/>
  <c r="E455" s="1"/>
  <c r="C116"/>
  <c r="D116" s="1"/>
  <c r="C512"/>
  <c r="E512" s="1"/>
  <c r="C85"/>
  <c r="E85" s="1"/>
  <c r="C356"/>
  <c r="D356" s="1"/>
  <c r="C448"/>
  <c r="E448" s="1"/>
  <c r="C312"/>
  <c r="D312" s="1"/>
  <c r="C480"/>
  <c r="D480" s="1"/>
  <c r="C64"/>
  <c r="D64" s="1"/>
  <c r="C184"/>
  <c r="E184" s="1"/>
  <c r="C137"/>
  <c r="E137" s="1"/>
  <c r="C216"/>
  <c r="E216" s="1"/>
  <c r="C346"/>
  <c r="D346" s="1"/>
  <c r="C150"/>
  <c r="E150" s="1"/>
  <c r="C121"/>
  <c r="D121" s="1"/>
  <c r="C491"/>
  <c r="D491" s="1"/>
  <c r="C393"/>
  <c r="D393" s="1"/>
  <c r="C133"/>
  <c r="D133" s="1"/>
  <c r="C136"/>
  <c r="D136" s="1"/>
  <c r="C252"/>
  <c r="E252" s="1"/>
  <c r="C277"/>
  <c r="E277" s="1"/>
  <c r="C474"/>
  <c r="E474" s="1"/>
  <c r="C48"/>
  <c r="E48" s="1"/>
  <c r="C472"/>
  <c r="E472" s="1"/>
  <c r="C489"/>
  <c r="D489" s="1"/>
  <c r="C177"/>
  <c r="D177" s="1"/>
  <c r="C343"/>
  <c r="E343" s="1"/>
  <c r="C444"/>
  <c r="E444" s="1"/>
  <c r="C425"/>
  <c r="E425" s="1"/>
  <c r="C351"/>
  <c r="E351" s="1"/>
  <c r="C251"/>
  <c r="E251" s="1"/>
  <c r="C201"/>
  <c r="D201" s="1"/>
  <c r="C484"/>
  <c r="D484" s="1"/>
  <c r="C451"/>
  <c r="E451" s="1"/>
  <c r="C68"/>
  <c r="E68" s="1"/>
  <c r="C447"/>
  <c r="D447" s="1"/>
  <c r="C207"/>
  <c r="E207" s="1"/>
  <c r="C476"/>
  <c r="E476" s="1"/>
  <c r="C38"/>
  <c r="E38" s="1"/>
  <c r="C479"/>
  <c r="D479" s="1"/>
  <c r="C517"/>
  <c r="E517" s="1"/>
  <c r="C357"/>
  <c r="D357" s="1"/>
  <c r="C529"/>
  <c r="D529" s="1"/>
  <c r="C432"/>
  <c r="D432" s="1"/>
  <c r="C358"/>
  <c r="E358" s="1"/>
  <c r="C404"/>
  <c r="D404" s="1"/>
  <c r="C311"/>
  <c r="D311" s="1"/>
  <c r="C438"/>
  <c r="E438" s="1"/>
  <c r="C218"/>
  <c r="D218" s="1"/>
  <c r="C424"/>
  <c r="E424" s="1"/>
  <c r="C37"/>
  <c r="D37" s="1"/>
  <c r="C508"/>
  <c r="E508" s="1"/>
  <c r="C344"/>
  <c r="D344" s="1"/>
  <c r="C244"/>
  <c r="D244" s="1"/>
  <c r="C226"/>
  <c r="D226" s="1"/>
  <c r="C280"/>
  <c r="D280" s="1"/>
  <c r="C86"/>
  <c r="D86" s="1"/>
  <c r="C519"/>
  <c r="D519" s="1"/>
  <c r="C89"/>
  <c r="E89" s="1"/>
  <c r="C211"/>
  <c r="E211" s="1"/>
  <c r="C265"/>
  <c r="E265" s="1"/>
  <c r="C124"/>
  <c r="E124" s="1"/>
  <c r="C297"/>
  <c r="D297" s="1"/>
  <c r="C304"/>
  <c r="E304" s="1"/>
  <c r="C160"/>
  <c r="D160" s="1"/>
  <c r="C414"/>
  <c r="E414" s="1"/>
  <c r="C313"/>
  <c r="D313" s="1"/>
  <c r="C170"/>
  <c r="D170" s="1"/>
  <c r="C374"/>
  <c r="E374" s="1"/>
  <c r="C490"/>
  <c r="E490" s="1"/>
  <c r="C205"/>
  <c r="E205" s="1"/>
  <c r="C460"/>
  <c r="E460" s="1"/>
  <c r="C228"/>
  <c r="D228" s="1"/>
  <c r="C331"/>
  <c r="D331" s="1"/>
  <c r="C488"/>
  <c r="E488" s="1"/>
  <c r="C154"/>
  <c r="E154" s="1"/>
  <c r="C499"/>
  <c r="E499" s="1"/>
  <c r="C457"/>
  <c r="E457" s="1"/>
  <c r="C334"/>
  <c r="E334" s="1"/>
  <c r="C513"/>
  <c r="D513" s="1"/>
  <c r="C521"/>
  <c r="E521" s="1"/>
  <c r="C326"/>
  <c r="E326" s="1"/>
  <c r="C340"/>
  <c r="D340" s="1"/>
  <c r="C73"/>
  <c r="D73" s="1"/>
  <c r="C376"/>
  <c r="D376" s="1"/>
  <c r="C256"/>
  <c r="D256" s="1"/>
  <c r="C221"/>
  <c r="E221" s="1"/>
  <c r="C125"/>
  <c r="E125" s="1"/>
  <c r="C434"/>
  <c r="E434" s="1"/>
  <c r="C341"/>
  <c r="E341" s="1"/>
  <c r="C275"/>
  <c r="D275" s="1"/>
  <c r="C385"/>
  <c r="E385" s="1"/>
  <c r="C505"/>
  <c r="D505" s="1"/>
  <c r="C23"/>
  <c r="D23" s="1"/>
  <c r="C439"/>
  <c r="D439" s="1"/>
  <c r="C433"/>
  <c r="C454"/>
  <c r="D454" s="1"/>
  <c r="C22"/>
  <c r="E22" s="1"/>
  <c r="C353"/>
  <c r="D353" s="1"/>
  <c r="C342"/>
  <c r="D342" s="1"/>
  <c r="C506"/>
  <c r="D506" s="1"/>
  <c r="C383"/>
  <c r="E383" s="1"/>
  <c r="C350"/>
  <c r="E350" s="1"/>
  <c r="C477"/>
  <c r="D477" s="1"/>
  <c r="C128"/>
  <c r="E128" s="1"/>
  <c r="C217"/>
  <c r="D217" s="1"/>
  <c r="C126"/>
  <c r="C93"/>
  <c r="E93" s="1"/>
  <c r="C94"/>
  <c r="E94" s="1"/>
  <c r="C403"/>
  <c r="E403" s="1"/>
  <c r="C202"/>
  <c r="D202" s="1"/>
  <c r="C371"/>
  <c r="E371" s="1"/>
  <c r="C87"/>
  <c r="D87" s="1"/>
  <c r="C103"/>
  <c r="D103" s="1"/>
  <c r="C120"/>
  <c r="E120" s="1"/>
  <c r="C411"/>
  <c r="D411" s="1"/>
  <c r="C206"/>
  <c r="E206" s="1"/>
  <c r="C392"/>
  <c r="D392" s="1"/>
  <c r="C127"/>
  <c r="D127" s="1"/>
  <c r="C423"/>
  <c r="D423" s="1"/>
  <c r="C413"/>
  <c r="E413" s="1"/>
  <c r="C246"/>
  <c r="D246" s="1"/>
  <c r="C440"/>
  <c r="D440" s="1"/>
  <c r="C296"/>
  <c r="D296" s="1"/>
  <c r="C337"/>
  <c r="D337" s="1"/>
  <c r="C232"/>
  <c r="E232" s="1"/>
  <c r="C49"/>
  <c r="E49" s="1"/>
  <c r="C354"/>
  <c r="D354" s="1"/>
  <c r="C464"/>
  <c r="D464" s="1"/>
  <c r="C81"/>
  <c r="D81" s="1"/>
  <c r="C195"/>
  <c r="E195" s="1"/>
  <c r="C339"/>
  <c r="D339" s="1"/>
  <c r="C267"/>
  <c r="E267" s="1"/>
  <c r="C62"/>
  <c r="D62" s="1"/>
  <c r="C293"/>
  <c r="D293" s="1"/>
  <c r="C418"/>
  <c r="D418" s="1"/>
  <c r="C300"/>
  <c r="D300" s="1"/>
  <c r="C441"/>
  <c r="D441" s="1"/>
  <c r="C191"/>
  <c r="E191" s="1"/>
  <c r="C415"/>
  <c r="D415" s="1"/>
  <c r="C288"/>
  <c r="E288" s="1"/>
  <c r="C314"/>
  <c r="E314" s="1"/>
  <c r="C135"/>
  <c r="E135" s="1"/>
  <c r="C167"/>
  <c r="E167" s="1"/>
  <c r="C108"/>
  <c r="D108" s="1"/>
  <c r="C20"/>
  <c r="E20" s="1"/>
  <c r="C261"/>
  <c r="D261" s="1"/>
  <c r="C210"/>
  <c r="D210" s="1"/>
  <c r="C384"/>
  <c r="D384" s="1"/>
  <c r="C494"/>
  <c r="E494" s="1"/>
  <c r="C148"/>
  <c r="D148" s="1"/>
  <c r="C57"/>
  <c r="D57" s="1"/>
  <c r="C389"/>
  <c r="D389" s="1"/>
  <c r="C305"/>
  <c r="D305" s="1"/>
  <c r="C345"/>
  <c r="E345" s="1"/>
  <c r="C496"/>
  <c r="D496" s="1"/>
  <c r="C291"/>
  <c r="E291" s="1"/>
  <c r="C270"/>
  <c r="D270" s="1"/>
  <c r="C140"/>
  <c r="D140" s="1"/>
  <c r="C514"/>
  <c r="E514" s="1"/>
  <c r="C528"/>
  <c r="E528" s="1"/>
  <c r="C327"/>
  <c r="E327" s="1"/>
  <c r="C75"/>
  <c r="D75" s="1"/>
  <c r="C373"/>
  <c r="E373" s="1"/>
  <c r="C176"/>
  <c r="D176" s="1"/>
  <c r="C129"/>
  <c r="D129" s="1"/>
  <c r="C69"/>
  <c r="E69" s="1"/>
  <c r="C419"/>
  <c r="E419" s="1"/>
  <c r="C112"/>
  <c r="D112" s="1"/>
  <c r="C482"/>
  <c r="D482" s="1"/>
  <c r="C52"/>
  <c r="D52" s="1"/>
  <c r="C151"/>
  <c r="D151" s="1"/>
  <c r="C507"/>
  <c r="E507" s="1"/>
  <c r="C303"/>
  <c r="D303" s="1"/>
  <c r="C471"/>
  <c r="E471" s="1"/>
  <c r="C523"/>
  <c r="E523" s="1"/>
  <c r="C180"/>
  <c r="D180" s="1"/>
  <c r="C242"/>
  <c r="D242" s="1"/>
  <c r="C324"/>
  <c r="D324" s="1"/>
  <c r="C449"/>
  <c r="E449" s="1"/>
  <c r="C19"/>
  <c r="E19" s="1"/>
  <c r="C183"/>
  <c r="D183" s="1"/>
  <c r="C461"/>
  <c r="E461" s="1"/>
  <c r="C427"/>
  <c r="E427" s="1"/>
  <c r="C518"/>
  <c r="E518" s="1"/>
  <c r="C243"/>
  <c r="E243" s="1"/>
  <c r="C238"/>
  <c r="E238" s="1"/>
  <c r="C289"/>
  <c r="E289" s="1"/>
  <c r="C105"/>
  <c r="D105" s="1"/>
  <c r="C50"/>
  <c r="D50" s="1"/>
  <c r="C169"/>
  <c r="D169" s="1"/>
  <c r="C67"/>
  <c r="E67" s="1"/>
  <c r="C301"/>
  <c r="D301" s="1"/>
  <c r="C123"/>
  <c r="D123" s="1"/>
  <c r="C445"/>
  <c r="E445" s="1"/>
  <c r="C361"/>
  <c r="D361" s="1"/>
  <c r="C213"/>
  <c r="D213" s="1"/>
  <c r="C199"/>
  <c r="D199" s="1"/>
  <c r="C45"/>
  <c r="E45" s="1"/>
  <c r="C88"/>
  <c r="D88" s="1"/>
  <c r="C259"/>
  <c r="E259" s="1"/>
  <c r="C35"/>
  <c r="D35" s="1"/>
  <c r="C278"/>
  <c r="E278" s="1"/>
  <c r="C239"/>
  <c r="E239" s="1"/>
  <c r="C487"/>
  <c r="E487" s="1"/>
  <c r="C83"/>
  <c r="E83" s="1"/>
  <c r="C41"/>
  <c r="D41" s="1"/>
  <c r="C309"/>
  <c r="D309" s="1"/>
  <c r="C122"/>
  <c r="D122" s="1"/>
  <c r="C31"/>
  <c r="D31" s="1"/>
  <c r="C397"/>
  <c r="E397" s="1"/>
  <c r="C367"/>
  <c r="D367" s="1"/>
  <c r="C77"/>
  <c r="D77" s="1"/>
  <c r="C100"/>
  <c r="D100" s="1"/>
  <c r="C209"/>
  <c r="D209" s="1"/>
  <c r="C497"/>
  <c r="D497" s="1"/>
  <c r="C174"/>
  <c r="E174" s="1"/>
  <c r="C407"/>
  <c r="E407" s="1"/>
  <c r="C347"/>
  <c r="E347" s="1"/>
  <c r="C54"/>
  <c r="E54" s="1"/>
  <c r="D60" i="25"/>
  <c r="D59"/>
  <c r="D61"/>
  <c r="D58"/>
  <c r="H58"/>
  <c r="H60"/>
  <c r="H61"/>
  <c r="H59"/>
  <c r="H51"/>
  <c r="H49"/>
  <c r="C48"/>
  <c r="C51"/>
  <c r="C50"/>
  <c r="B52"/>
  <c r="C109" i="33"/>
  <c r="D109" s="1"/>
  <c r="C43"/>
  <c r="D43" s="1"/>
  <c r="C462"/>
  <c r="E462" s="1"/>
  <c r="C273"/>
  <c r="E273" s="1"/>
  <c r="C426"/>
  <c r="D426" s="1"/>
  <c r="C65"/>
  <c r="D65" s="1"/>
  <c r="C175"/>
  <c r="D175" s="1"/>
  <c r="C56"/>
  <c r="D56" s="1"/>
  <c r="C435"/>
  <c r="D435" s="1"/>
  <c r="C370"/>
  <c r="D370" s="1"/>
  <c r="C63"/>
  <c r="E63" s="1"/>
  <c r="C272"/>
  <c r="D272" s="1"/>
  <c r="C352"/>
  <c r="E352" s="1"/>
  <c r="C80"/>
  <c r="D80" s="1"/>
  <c r="C478"/>
  <c r="D478" s="1"/>
  <c r="C475"/>
  <c r="D475" s="1"/>
  <c r="C182"/>
  <c r="E182" s="1"/>
  <c r="C429"/>
  <c r="E429" s="1"/>
  <c r="C229"/>
  <c r="D229" s="1"/>
  <c r="C25"/>
  <c r="E25" s="1"/>
  <c r="C320"/>
  <c r="D320" s="1"/>
  <c r="C189"/>
  <c r="D189" s="1"/>
  <c r="C282"/>
  <c r="D282" s="1"/>
  <c r="C188"/>
  <c r="D188" s="1"/>
  <c r="C104"/>
  <c r="C329"/>
  <c r="D329" s="1"/>
  <c r="C219"/>
  <c r="E219" s="1"/>
  <c r="C359"/>
  <c r="E359" s="1"/>
  <c r="C235"/>
  <c r="D235" s="1"/>
  <c r="C241"/>
  <c r="D241" s="1"/>
  <c r="C250"/>
  <c r="E250" s="1"/>
  <c r="C302"/>
  <c r="E302" s="1"/>
  <c r="C285"/>
  <c r="D285" s="1"/>
  <c r="C283"/>
  <c r="E283" s="1"/>
  <c r="C458"/>
  <c r="D458" s="1"/>
  <c r="C115"/>
  <c r="E115" s="1"/>
  <c r="C130"/>
  <c r="D130" s="1"/>
  <c r="C279"/>
  <c r="D279" s="1"/>
  <c r="C436"/>
  <c r="E436" s="1"/>
  <c r="C84"/>
  <c r="D84" s="1"/>
  <c r="C463"/>
  <c r="E463" s="1"/>
  <c r="C422"/>
  <c r="D422" s="1"/>
  <c r="C237"/>
  <c r="E237" s="1"/>
  <c r="C495"/>
  <c r="D495" s="1"/>
  <c r="C143"/>
  <c r="D143" s="1"/>
  <c r="C431"/>
  <c r="D431" s="1"/>
  <c r="C240"/>
  <c r="E240" s="1"/>
  <c r="C284"/>
  <c r="D284" s="1"/>
  <c r="C223"/>
  <c r="E223" s="1"/>
  <c r="C118"/>
  <c r="D118" s="1"/>
  <c r="C388"/>
  <c r="E388" s="1"/>
  <c r="C308"/>
  <c r="E308" s="1"/>
  <c r="C204"/>
  <c r="E204" s="1"/>
  <c r="C46"/>
  <c r="E46" s="1"/>
  <c r="C502"/>
  <c r="C325"/>
  <c r="E325" s="1"/>
  <c r="C382"/>
  <c r="D382" s="1"/>
  <c r="C453"/>
  <c r="E453" s="1"/>
  <c r="C131"/>
  <c r="C208"/>
  <c r="C230"/>
  <c r="E230" s="1"/>
  <c r="C29"/>
  <c r="E29" s="1"/>
  <c r="B50" i="25"/>
  <c r="C468" i="33"/>
  <c r="E468" s="1"/>
  <c r="C428"/>
  <c r="E428" s="1"/>
  <c r="C32"/>
  <c r="E32" s="1"/>
  <c r="C399"/>
  <c r="E399" s="1"/>
  <c r="C401"/>
  <c r="D401" s="1"/>
  <c r="C266"/>
  <c r="E266" s="1"/>
  <c r="C97"/>
  <c r="D97" s="1"/>
  <c r="C281"/>
  <c r="D281" s="1"/>
  <c r="C138"/>
  <c r="E138" s="1"/>
  <c r="C271"/>
  <c r="E271" s="1"/>
  <c r="C156"/>
  <c r="E156" s="1"/>
  <c r="C510"/>
  <c r="D510" s="1"/>
  <c r="C225"/>
  <c r="E225" s="1"/>
  <c r="C117"/>
  <c r="E117" s="1"/>
  <c r="C332"/>
  <c r="D332" s="1"/>
  <c r="C179"/>
  <c r="D179" s="1"/>
  <c r="C394"/>
  <c r="E394" s="1"/>
  <c r="C198"/>
  <c r="D198" s="1"/>
  <c r="C402"/>
  <c r="E402" s="1"/>
  <c r="C248"/>
  <c r="D248" s="1"/>
  <c r="C172"/>
  <c r="E172" s="1"/>
  <c r="C492"/>
  <c r="D492" s="1"/>
  <c r="C368"/>
  <c r="D368" s="1"/>
  <c r="C443"/>
  <c r="E443" s="1"/>
  <c r="C276"/>
  <c r="D276" s="1"/>
  <c r="C158"/>
  <c r="E158" s="1"/>
  <c r="C71"/>
  <c r="D71" s="1"/>
  <c r="C322"/>
  <c r="E322" s="1"/>
  <c r="C349"/>
  <c r="E349" s="1"/>
  <c r="C119"/>
  <c r="D119" s="1"/>
  <c r="C420"/>
  <c r="E420" s="1"/>
  <c r="C27"/>
  <c r="D27" s="1"/>
  <c r="C316"/>
  <c r="E316" s="1"/>
  <c r="C483"/>
  <c r="E483" s="1"/>
  <c r="C255"/>
  <c r="E255" s="1"/>
  <c r="C215"/>
  <c r="E215" s="1"/>
  <c r="C306"/>
  <c r="D306" s="1"/>
  <c r="C157"/>
  <c r="E157" s="1"/>
  <c r="C452"/>
  <c r="E452" s="1"/>
  <c r="C197"/>
  <c r="D197" s="1"/>
  <c r="C141"/>
  <c r="D141" s="1"/>
  <c r="C30"/>
  <c r="D30" s="1"/>
  <c r="C335"/>
  <c r="D335" s="1"/>
  <c r="C190"/>
  <c r="D190" s="1"/>
  <c r="C318"/>
  <c r="E318" s="1"/>
  <c r="C260"/>
  <c r="D260" s="1"/>
  <c r="C245"/>
  <c r="E245" s="1"/>
  <c r="C247"/>
  <c r="D247" s="1"/>
  <c r="C366"/>
  <c r="E366" s="1"/>
  <c r="C234"/>
  <c r="D234" s="1"/>
  <c r="C509"/>
  <c r="D509" s="1"/>
  <c r="C387"/>
  <c r="C18"/>
  <c r="C134"/>
  <c r="C178"/>
  <c r="E178" s="1"/>
  <c r="C168"/>
  <c r="C501"/>
  <c r="E501" s="1"/>
  <c r="C161"/>
  <c r="E161" s="1"/>
  <c r="C149"/>
  <c r="D149" s="1"/>
  <c r="C321"/>
  <c r="C398"/>
  <c r="D398" s="1"/>
  <c r="C99"/>
  <c r="C360"/>
  <c r="D360" s="1"/>
  <c r="C106"/>
  <c r="D106" s="1"/>
  <c r="F61" i="25"/>
  <c r="F59"/>
  <c r="F60"/>
  <c r="I49"/>
  <c r="I48"/>
  <c r="B60"/>
  <c r="B62"/>
  <c r="B61"/>
  <c r="B59"/>
  <c r="B58"/>
  <c r="B49"/>
  <c r="E49"/>
  <c r="E63"/>
  <c r="I51"/>
  <c r="E50"/>
  <c r="C44" i="33"/>
  <c r="D44" s="1"/>
  <c r="C481"/>
  <c r="E481" s="1"/>
  <c r="C264"/>
  <c r="E264" s="1"/>
  <c r="C203"/>
  <c r="E203" s="1"/>
  <c r="C524"/>
  <c r="E524" s="1"/>
  <c r="C378"/>
  <c r="D378" s="1"/>
  <c r="C258"/>
  <c r="D258" s="1"/>
  <c r="C292"/>
  <c r="D292" s="1"/>
  <c r="C372"/>
  <c r="D372" s="1"/>
  <c r="C381"/>
  <c r="D381" s="1"/>
  <c r="C107"/>
  <c r="D107" s="1"/>
  <c r="C466"/>
  <c r="D466" s="1"/>
  <c r="C299"/>
  <c r="E299" s="1"/>
  <c r="C355"/>
  <c r="E355" s="1"/>
  <c r="C82"/>
  <c r="E82" s="1"/>
  <c r="C363"/>
  <c r="D363" s="1"/>
  <c r="C473"/>
  <c r="E473" s="1"/>
  <c r="C527"/>
  <c r="E527" s="1"/>
  <c r="C28"/>
  <c r="E28" s="1"/>
  <c r="C200"/>
  <c r="E200" s="1"/>
  <c r="C222"/>
  <c r="D222" s="1"/>
  <c r="C254"/>
  <c r="E254" s="1"/>
  <c r="C42"/>
  <c r="D42" s="1"/>
  <c r="C95"/>
  <c r="D95" s="1"/>
  <c r="C59"/>
  <c r="E59" s="1"/>
  <c r="C113"/>
  <c r="E113" s="1"/>
  <c r="C257"/>
  <c r="E257" s="1"/>
  <c r="C214"/>
  <c r="E214" s="1"/>
  <c r="C163"/>
  <c r="D163" s="1"/>
  <c r="C145"/>
  <c r="E145" s="1"/>
  <c r="C379"/>
  <c r="D379" s="1"/>
  <c r="C220"/>
  <c r="D220" s="1"/>
  <c r="C233"/>
  <c r="E233" s="1"/>
  <c r="C446"/>
  <c r="D446" s="1"/>
  <c r="B48" i="25"/>
  <c r="C469" i="33"/>
  <c r="E469" s="1"/>
  <c r="C227"/>
  <c r="E227" s="1"/>
  <c r="C268"/>
  <c r="D268" s="1"/>
  <c r="C153"/>
  <c r="E153" s="1"/>
  <c r="C500"/>
  <c r="D500" s="1"/>
  <c r="C249"/>
  <c r="E249" s="1"/>
  <c r="C263"/>
  <c r="D263" s="1"/>
  <c r="C364"/>
  <c r="D364" s="1"/>
  <c r="C78"/>
  <c r="E78" s="1"/>
  <c r="C262"/>
  <c r="E262" s="1"/>
  <c r="C405"/>
  <c r="D405" s="1"/>
  <c r="C442"/>
  <c r="D442" s="1"/>
  <c r="C92"/>
  <c r="E92" s="1"/>
  <c r="C21"/>
  <c r="D21" s="1"/>
  <c r="C459"/>
  <c r="D459" s="1"/>
  <c r="C362"/>
  <c r="D362" s="1"/>
  <c r="C96"/>
  <c r="E96" s="1"/>
  <c r="C181"/>
  <c r="D181" s="1"/>
  <c r="C39"/>
  <c r="D39" s="1"/>
  <c r="C34"/>
  <c r="D34" s="1"/>
  <c r="C412"/>
  <c r="D412" s="1"/>
  <c r="C269"/>
  <c r="E269" s="1"/>
  <c r="C155"/>
  <c r="E155" s="1"/>
  <c r="C330"/>
  <c r="D330" s="1"/>
  <c r="C416"/>
  <c r="E416" s="1"/>
  <c r="C467"/>
  <c r="E467" s="1"/>
  <c r="C166"/>
  <c r="C192"/>
  <c r="E192" s="1"/>
  <c r="C165"/>
  <c r="C498"/>
  <c r="D498" s="1"/>
  <c r="C72"/>
  <c r="D72" s="1"/>
  <c r="C171"/>
  <c r="E171" s="1"/>
  <c r="C520"/>
  <c r="E520" s="1"/>
  <c r="C159"/>
  <c r="E159" s="1"/>
  <c r="C307"/>
  <c r="D307" s="1"/>
  <c r="C406"/>
  <c r="E406" s="1"/>
  <c r="C70"/>
  <c r="D70" s="1"/>
  <c r="C187"/>
  <c r="E187" s="1"/>
  <c r="C61"/>
  <c r="D61" s="1"/>
  <c r="C338"/>
  <c r="D338" s="1"/>
  <c r="C76"/>
  <c r="E76" s="1"/>
  <c r="C47"/>
  <c r="E47" s="1"/>
  <c r="C162"/>
  <c r="D162" s="1"/>
  <c r="C408"/>
  <c r="D408" s="1"/>
  <c r="C485"/>
  <c r="D485" s="1"/>
  <c r="C294"/>
  <c r="D294" s="1"/>
  <c r="C51"/>
  <c r="E51" s="1"/>
  <c r="C146"/>
  <c r="D146" s="1"/>
  <c r="C323"/>
  <c r="D323" s="1"/>
  <c r="C515"/>
  <c r="E515" s="1"/>
  <c r="C36"/>
  <c r="D36" s="1"/>
  <c r="C147"/>
  <c r="D147" s="1"/>
  <c r="C58"/>
  <c r="D58" s="1"/>
  <c r="C365"/>
  <c r="E365" s="1"/>
  <c r="C132"/>
  <c r="E132" s="1"/>
  <c r="C375"/>
  <c r="D375" s="1"/>
  <c r="C319"/>
  <c r="E319" s="1"/>
  <c r="C79"/>
  <c r="E79" s="1"/>
  <c r="C102"/>
  <c r="D102" s="1"/>
  <c r="C98"/>
  <c r="D98" s="1"/>
  <c r="C400"/>
  <c r="D400" s="1"/>
  <c r="C90"/>
  <c r="D90" s="1"/>
  <c r="C186"/>
  <c r="E186" s="1"/>
  <c r="C53"/>
  <c r="E53" s="1"/>
  <c r="C142"/>
  <c r="D142" s="1"/>
  <c r="C396"/>
  <c r="E396" s="1"/>
  <c r="C139"/>
  <c r="D139" s="1"/>
  <c r="C26"/>
  <c r="D26" s="1"/>
  <c r="C224"/>
  <c r="D224" s="1"/>
  <c r="C456"/>
  <c r="D456" s="1"/>
  <c r="C101"/>
  <c r="E101" s="1"/>
  <c r="C164"/>
  <c r="E164" s="1"/>
  <c r="C253"/>
  <c r="E253" s="1"/>
  <c r="C450"/>
  <c r="D450" s="1"/>
  <c r="C114"/>
  <c r="D114" s="1"/>
  <c r="C173"/>
  <c r="D173" s="1"/>
  <c r="C196"/>
  <c r="E196" s="1"/>
  <c r="C298"/>
  <c r="E298" s="1"/>
  <c r="C369"/>
  <c r="D369" s="1"/>
  <c r="C274"/>
  <c r="D274" s="1"/>
  <c r="C24"/>
  <c r="C317"/>
  <c r="C290"/>
  <c r="C377"/>
  <c r="C348"/>
  <c r="D348" s="1"/>
  <c r="C315"/>
  <c r="C409"/>
  <c r="C60"/>
  <c r="E60" s="1"/>
  <c r="C516"/>
  <c r="E516" s="1"/>
  <c r="C391"/>
  <c r="C417"/>
  <c r="D417" s="1"/>
  <c r="C386"/>
  <c r="D386" s="1"/>
  <c r="C110"/>
  <c r="E110" s="1"/>
  <c r="C152"/>
  <c r="E152" s="1"/>
  <c r="C40"/>
  <c r="E40" s="1"/>
  <c r="H50" i="25"/>
  <c r="F58"/>
  <c r="D50"/>
  <c r="D48"/>
  <c r="D49"/>
  <c r="D51"/>
  <c r="F53"/>
  <c r="C68"/>
  <c r="C71"/>
  <c r="G51"/>
  <c r="G48"/>
  <c r="G50"/>
  <c r="G49"/>
  <c r="D71"/>
  <c r="D69"/>
  <c r="D68"/>
  <c r="D70"/>
  <c r="F70"/>
  <c r="F69"/>
  <c r="F71"/>
  <c r="F68"/>
  <c r="G70"/>
  <c r="G69"/>
  <c r="G71"/>
  <c r="G68"/>
  <c r="I70"/>
  <c r="I68"/>
  <c r="I69"/>
  <c r="I71"/>
  <c r="H73"/>
  <c r="B72"/>
  <c r="B70"/>
  <c r="B71"/>
  <c r="B68"/>
  <c r="B69"/>
  <c r="E71"/>
  <c r="E70"/>
  <c r="E68"/>
  <c r="E69"/>
  <c r="C63" l="1"/>
  <c r="C53"/>
  <c r="I53"/>
  <c r="D765" i="33"/>
  <c r="H53" i="25"/>
  <c r="B53"/>
  <c r="I63"/>
  <c r="E878" i="33"/>
  <c r="D503"/>
  <c r="E179"/>
  <c r="E785"/>
  <c r="E572"/>
  <c r="D670"/>
  <c r="E938"/>
  <c r="D917"/>
  <c r="E700"/>
  <c r="D697"/>
  <c r="D310"/>
  <c r="E816"/>
  <c r="E551"/>
  <c r="E709"/>
  <c r="D907"/>
  <c r="E619"/>
  <c r="E1017"/>
  <c r="E600"/>
  <c r="D941"/>
  <c r="D789"/>
  <c r="E766"/>
  <c r="G63" i="25"/>
  <c r="D897" i="33"/>
  <c r="D882"/>
  <c r="E806"/>
  <c r="D609"/>
  <c r="E910"/>
  <c r="E786"/>
  <c r="E662"/>
  <c r="D451"/>
  <c r="D836"/>
  <c r="D633"/>
  <c r="E991"/>
  <c r="D721"/>
  <c r="D973"/>
  <c r="D624"/>
  <c r="D1027"/>
  <c r="E903"/>
  <c r="D937"/>
  <c r="D705"/>
  <c r="E623"/>
  <c r="E680"/>
  <c r="E727"/>
  <c r="E612"/>
  <c r="D968"/>
  <c r="D731"/>
  <c r="E996"/>
  <c r="D904"/>
  <c r="D588"/>
  <c r="D837"/>
  <c r="E915"/>
  <c r="D589"/>
  <c r="E1030"/>
  <c r="D570"/>
  <c r="D667"/>
  <c r="E702"/>
  <c r="E796"/>
  <c r="D563"/>
  <c r="E614"/>
  <c r="D835"/>
  <c r="D645"/>
  <c r="E714"/>
  <c r="E1009"/>
  <c r="D868"/>
  <c r="D834"/>
  <c r="E1011"/>
  <c r="E637"/>
  <c r="D881"/>
  <c r="E575"/>
  <c r="D54"/>
  <c r="E1033"/>
  <c r="E657"/>
  <c r="D980"/>
  <c r="E616"/>
  <c r="D742"/>
  <c r="E668"/>
  <c r="D976"/>
  <c r="D710"/>
  <c r="E985"/>
  <c r="D613"/>
  <c r="D736"/>
  <c r="D676"/>
  <c r="E631"/>
  <c r="E953"/>
  <c r="D916"/>
  <c r="D776"/>
  <c r="D646"/>
  <c r="D650"/>
  <c r="E974"/>
  <c r="E959"/>
  <c r="D726"/>
  <c r="D288"/>
  <c r="D961"/>
  <c r="D845"/>
  <c r="E653"/>
  <c r="E819"/>
  <c r="D737"/>
  <c r="D935"/>
  <c r="E557"/>
  <c r="E950"/>
  <c r="E606"/>
  <c r="D859"/>
  <c r="D720"/>
  <c r="E864"/>
  <c r="E70"/>
  <c r="E578"/>
  <c r="D936"/>
  <c r="E963"/>
  <c r="E627"/>
  <c r="E893"/>
  <c r="E247"/>
  <c r="D761"/>
  <c r="D125"/>
  <c r="D849"/>
  <c r="E1052"/>
  <c r="D671"/>
  <c r="D982"/>
  <c r="D574"/>
  <c r="E553"/>
  <c r="D793"/>
  <c r="E583"/>
  <c r="D810"/>
  <c r="D654"/>
  <c r="E640"/>
  <c r="D585"/>
  <c r="E896"/>
  <c r="E833"/>
  <c r="D763"/>
  <c r="E689"/>
  <c r="D608"/>
  <c r="E579"/>
  <c r="D1062"/>
  <c r="E730"/>
  <c r="D436"/>
  <c r="E716"/>
  <c r="D802"/>
  <c r="E844"/>
  <c r="E704"/>
  <c r="E656"/>
  <c r="D560"/>
  <c r="E181"/>
  <c r="E771"/>
  <c r="E602"/>
  <c r="E788"/>
  <c r="D240"/>
  <c r="E842"/>
  <c r="E665"/>
  <c r="D745"/>
  <c r="D582"/>
  <c r="D956"/>
  <c r="D254"/>
  <c r="E951"/>
  <c r="E552"/>
  <c r="E634"/>
  <c r="E922"/>
  <c r="E756"/>
  <c r="E722"/>
  <c r="D1012"/>
  <c r="D784"/>
  <c r="D565"/>
  <c r="E566"/>
  <c r="D857"/>
  <c r="D1013"/>
  <c r="D744"/>
  <c r="E715"/>
  <c r="E860"/>
  <c r="D1035"/>
  <c r="E636"/>
  <c r="D808"/>
  <c r="D599"/>
  <c r="E739"/>
  <c r="D812"/>
  <c r="E1045"/>
  <c r="D706"/>
  <c r="E681"/>
  <c r="D850"/>
  <c r="E694"/>
  <c r="E717"/>
  <c r="E658"/>
  <c r="D621"/>
  <c r="E774"/>
  <c r="D632"/>
  <c r="E807"/>
  <c r="D528"/>
  <c r="E1061"/>
  <c r="E573"/>
  <c r="D809"/>
  <c r="D416"/>
  <c r="D870"/>
  <c r="E626"/>
  <c r="E960"/>
  <c r="D584"/>
  <c r="E877"/>
  <c r="E902"/>
  <c r="E26"/>
  <c r="E947"/>
  <c r="E803"/>
  <c r="D590"/>
  <c r="E707"/>
  <c r="D1002"/>
  <c r="E971"/>
  <c r="E1055"/>
  <c r="E581"/>
  <c r="D826"/>
  <c r="D921"/>
  <c r="E853"/>
  <c r="D732"/>
  <c r="D775"/>
  <c r="D755"/>
  <c r="E1031"/>
  <c r="E954"/>
  <c r="E408"/>
  <c r="D696"/>
  <c r="D564"/>
  <c r="E822"/>
  <c r="E1014"/>
  <c r="E1010"/>
  <c r="E932"/>
  <c r="D1054"/>
  <c r="D615"/>
  <c r="D934"/>
  <c r="E839"/>
  <c r="D927"/>
  <c r="E147"/>
  <c r="D1022"/>
  <c r="E840"/>
  <c r="D975"/>
  <c r="E741"/>
  <c r="E852"/>
  <c r="E898"/>
  <c r="D1041"/>
  <c r="D811"/>
  <c r="D1028"/>
  <c r="E818"/>
  <c r="D988"/>
  <c r="D562"/>
  <c r="E891"/>
  <c r="D940"/>
  <c r="E1000"/>
  <c r="E683"/>
  <c r="D703"/>
  <c r="D333"/>
  <c r="D738"/>
  <c r="D858"/>
  <c r="E832"/>
  <c r="E778"/>
  <c r="D843"/>
  <c r="D855"/>
  <c r="E813"/>
  <c r="E686"/>
  <c r="E944"/>
  <c r="D701"/>
  <c r="E62"/>
  <c r="E782"/>
  <c r="D430"/>
  <c r="E1043"/>
  <c r="E820"/>
  <c r="E906"/>
  <c r="D773"/>
  <c r="D987"/>
  <c r="E1040"/>
  <c r="D949"/>
  <c r="E1015"/>
  <c r="E105"/>
  <c r="E576"/>
  <c r="D719"/>
  <c r="E1026"/>
  <c r="D751"/>
  <c r="E887"/>
  <c r="E1029"/>
  <c r="D601"/>
  <c r="E1025"/>
  <c r="D607"/>
  <c r="D768"/>
  <c r="D841"/>
  <c r="D764"/>
  <c r="E759"/>
  <c r="D880"/>
  <c r="E684"/>
  <c r="D1001"/>
  <c r="E603"/>
  <c r="E635"/>
  <c r="D925"/>
  <c r="D629"/>
  <c r="E559"/>
  <c r="D817"/>
  <c r="E831"/>
  <c r="E814"/>
  <c r="D617"/>
  <c r="E558"/>
  <c r="E962"/>
  <c r="E594"/>
  <c r="E1039"/>
  <c r="D595"/>
  <c r="E1053"/>
  <c r="E660"/>
  <c r="E791"/>
  <c r="E675"/>
  <c r="D999"/>
  <c r="E780"/>
  <c r="E604"/>
  <c r="D651"/>
  <c r="D647"/>
  <c r="E556"/>
  <c r="D728"/>
  <c r="E506"/>
  <c r="D555"/>
  <c r="E591"/>
  <c r="E198"/>
  <c r="D753"/>
  <c r="E885"/>
  <c r="E967"/>
  <c r="D824"/>
  <c r="E895"/>
  <c r="D669"/>
  <c r="E475"/>
  <c r="E995"/>
  <c r="E569"/>
  <c r="D787"/>
  <c r="E924"/>
  <c r="E746"/>
  <c r="E846"/>
  <c r="E690"/>
  <c r="D866"/>
  <c r="E873"/>
  <c r="D939"/>
  <c r="E942"/>
  <c r="D966"/>
  <c r="E652"/>
  <c r="D693"/>
  <c r="D587"/>
  <c r="E1023"/>
  <c r="D772"/>
  <c r="E661"/>
  <c r="E610"/>
  <c r="D748"/>
  <c r="D622"/>
  <c r="E193"/>
  <c r="E1060"/>
  <c r="E729"/>
  <c r="D847"/>
  <c r="E1038"/>
  <c r="E890"/>
  <c r="D989"/>
  <c r="D752"/>
  <c r="D964"/>
  <c r="D958"/>
  <c r="E666"/>
  <c r="E861"/>
  <c r="E983"/>
  <c r="D605"/>
  <c r="E642"/>
  <c r="D779"/>
  <c r="E713"/>
  <c r="E790"/>
  <c r="E952"/>
  <c r="E830"/>
  <c r="E856"/>
  <c r="D886"/>
  <c r="E81"/>
  <c r="E188"/>
  <c r="E677"/>
  <c r="E664"/>
  <c r="E783"/>
  <c r="E946"/>
  <c r="E931"/>
  <c r="E361"/>
  <c r="D933"/>
  <c r="D863"/>
  <c r="E685"/>
  <c r="E851"/>
  <c r="E659"/>
  <c r="E586"/>
  <c r="E648"/>
  <c r="E972"/>
  <c r="D137"/>
  <c r="E554"/>
  <c r="D708"/>
  <c r="D913"/>
  <c r="E711"/>
  <c r="D1049"/>
  <c r="D1056"/>
  <c r="E992"/>
  <c r="E303"/>
  <c r="E695"/>
  <c r="E638"/>
  <c r="D1046"/>
  <c r="E56"/>
  <c r="E725"/>
  <c r="E733"/>
  <c r="E691"/>
  <c r="E692"/>
  <c r="E643"/>
  <c r="E577"/>
  <c r="D879"/>
  <c r="E879"/>
  <c r="E1007"/>
  <c r="D1007"/>
  <c r="E1036"/>
  <c r="D797"/>
  <c r="E750"/>
  <c r="D672"/>
  <c r="E920"/>
  <c r="E1006"/>
  <c r="E990"/>
  <c r="D945"/>
  <c r="D977"/>
  <c r="E908"/>
  <c r="E795"/>
  <c r="D618"/>
  <c r="D1004"/>
  <c r="D597"/>
  <c r="D1044"/>
  <c r="E1008"/>
  <c r="D758"/>
  <c r="E805"/>
  <c r="E734"/>
  <c r="D914"/>
  <c r="D984"/>
  <c r="D838"/>
  <c r="D981"/>
  <c r="E815"/>
  <c r="E1051"/>
  <c r="D905"/>
  <c r="D867"/>
  <c r="D561"/>
  <c r="E970"/>
  <c r="D872"/>
  <c r="D828"/>
  <c r="D888"/>
  <c r="D740"/>
  <c r="D628"/>
  <c r="E919"/>
  <c r="E871"/>
  <c r="E749"/>
  <c r="E639"/>
  <c r="D699"/>
  <c r="E747"/>
  <c r="E777"/>
  <c r="D1059"/>
  <c r="E781"/>
  <c r="E568"/>
  <c r="E674"/>
  <c r="E641"/>
  <c r="E1034"/>
  <c r="E1057"/>
  <c r="E770"/>
  <c r="E892"/>
  <c r="E894"/>
  <c r="D901"/>
  <c r="E762"/>
  <c r="D663"/>
  <c r="D912"/>
  <c r="E912"/>
  <c r="E1047"/>
  <c r="D1047"/>
  <c r="D823"/>
  <c r="D928"/>
  <c r="D862"/>
  <c r="D723"/>
  <c r="D598"/>
  <c r="D848"/>
  <c r="D593"/>
  <c r="D889"/>
  <c r="D854"/>
  <c r="D1024"/>
  <c r="E596"/>
  <c r="D698"/>
  <c r="E580"/>
  <c r="D929"/>
  <c r="E798"/>
  <c r="E1048"/>
  <c r="E965"/>
  <c r="D997"/>
  <c r="E724"/>
  <c r="D1005"/>
  <c r="E926"/>
  <c r="D682"/>
  <c r="E567"/>
  <c r="E1003"/>
  <c r="E993"/>
  <c r="D993"/>
  <c r="E899"/>
  <c r="E644"/>
  <c r="D865"/>
  <c r="D673"/>
  <c r="E883"/>
  <c r="E688"/>
  <c r="E876"/>
  <c r="D955"/>
  <c r="E630"/>
  <c r="E1021"/>
  <c r="E978"/>
  <c r="E998"/>
  <c r="E754"/>
  <c r="E943"/>
  <c r="E1016"/>
  <c r="D825"/>
  <c r="D1019"/>
  <c r="D1020"/>
  <c r="D649"/>
  <c r="D592"/>
  <c r="E874"/>
  <c r="E875"/>
  <c r="E687"/>
  <c r="D794"/>
  <c r="E571"/>
  <c r="E625"/>
  <c r="D799"/>
  <c r="E827"/>
  <c r="E1050"/>
  <c r="E986"/>
  <c r="E1042"/>
  <c r="E900"/>
  <c r="D767"/>
  <c r="E769"/>
  <c r="D712"/>
  <c r="D869"/>
  <c r="D760"/>
  <c r="E800"/>
  <c r="E678"/>
  <c r="E743"/>
  <c r="D718"/>
  <c r="D829"/>
  <c r="E1018"/>
  <c r="E804"/>
  <c r="E1058"/>
  <c r="D969"/>
  <c r="E979"/>
  <c r="E792"/>
  <c r="D679"/>
  <c r="E948"/>
  <c r="D884"/>
  <c r="E884"/>
  <c r="E655"/>
  <c r="D655"/>
  <c r="E918"/>
  <c r="E611"/>
  <c r="E923"/>
  <c r="D930"/>
  <c r="E911"/>
  <c r="E735"/>
  <c r="D801"/>
  <c r="E1037"/>
  <c r="E1032"/>
  <c r="E821"/>
  <c r="E994"/>
  <c r="E957"/>
  <c r="D757"/>
  <c r="D620"/>
  <c r="E909"/>
  <c r="C73" i="25"/>
  <c r="D271" i="33"/>
  <c r="E478"/>
  <c r="D158"/>
  <c r="E241"/>
  <c r="D230"/>
  <c r="D227"/>
  <c r="D514"/>
  <c r="E116"/>
  <c r="E410"/>
  <c r="E30"/>
  <c r="D184"/>
  <c r="D507"/>
  <c r="E217"/>
  <c r="E177"/>
  <c r="D185"/>
  <c r="D19"/>
  <c r="E311"/>
  <c r="E360"/>
  <c r="E519"/>
  <c r="E379"/>
  <c r="D278"/>
  <c r="D483"/>
  <c r="E258"/>
  <c r="E64"/>
  <c r="D82"/>
  <c r="D231"/>
  <c r="E106"/>
  <c r="E210"/>
  <c r="E404"/>
  <c r="E268"/>
  <c r="D512"/>
  <c r="D262"/>
  <c r="E133"/>
  <c r="E80"/>
  <c r="D110"/>
  <c r="D171"/>
  <c r="E173"/>
  <c r="D145"/>
  <c r="D115"/>
  <c r="D48"/>
  <c r="D457"/>
  <c r="D187"/>
  <c r="E353"/>
  <c r="E65"/>
  <c r="D371"/>
  <c r="D204"/>
  <c r="E42"/>
  <c r="D212"/>
  <c r="E392"/>
  <c r="E236"/>
  <c r="D96"/>
  <c r="D469"/>
  <c r="E313"/>
  <c r="D452"/>
  <c r="D437"/>
  <c r="D85"/>
  <c r="E98"/>
  <c r="E312"/>
  <c r="D78"/>
  <c r="E324"/>
  <c r="D277"/>
  <c r="D91"/>
  <c r="D521"/>
  <c r="E66"/>
  <c r="D343"/>
  <c r="D299"/>
  <c r="D93"/>
  <c r="D504"/>
  <c r="E344"/>
  <c r="D68"/>
  <c r="D517"/>
  <c r="D461"/>
  <c r="E293"/>
  <c r="E218"/>
  <c r="D238"/>
  <c r="D216"/>
  <c r="E213"/>
  <c r="E228"/>
  <c r="D524"/>
  <c r="E440"/>
  <c r="E301"/>
  <c r="D60"/>
  <c r="E336"/>
  <c r="D265"/>
  <c r="E305"/>
  <c r="D120"/>
  <c r="D518"/>
  <c r="E491"/>
  <c r="E470"/>
  <c r="D53"/>
  <c r="D359"/>
  <c r="D341"/>
  <c r="E495"/>
  <c r="E439"/>
  <c r="E331"/>
  <c r="D117"/>
  <c r="E296"/>
  <c r="D424"/>
  <c r="E332"/>
  <c r="D273"/>
  <c r="E384"/>
  <c r="E328"/>
  <c r="D465"/>
  <c r="E144"/>
  <c r="E244"/>
  <c r="D314"/>
  <c r="E447"/>
  <c r="D448"/>
  <c r="D421"/>
  <c r="E73"/>
  <c r="D327"/>
  <c r="E190"/>
  <c r="E170"/>
  <c r="D153"/>
  <c r="E432"/>
  <c r="E482"/>
  <c r="D215"/>
  <c r="D463"/>
  <c r="E287"/>
  <c r="E529"/>
  <c r="D403"/>
  <c r="E418"/>
  <c r="D326"/>
  <c r="E357"/>
  <c r="D390"/>
  <c r="E335"/>
  <c r="D154"/>
  <c r="D351"/>
  <c r="D476"/>
  <c r="D135"/>
  <c r="E146"/>
  <c r="E511"/>
  <c r="D25"/>
  <c r="E493"/>
  <c r="D444"/>
  <c r="E280"/>
  <c r="D474"/>
  <c r="D74"/>
  <c r="D232"/>
  <c r="E411"/>
  <c r="D286"/>
  <c r="E77"/>
  <c r="E356"/>
  <c r="E454"/>
  <c r="D383"/>
  <c r="D471"/>
  <c r="E50"/>
  <c r="D501"/>
  <c r="D487"/>
  <c r="D194"/>
  <c r="D425"/>
  <c r="E151"/>
  <c r="E348"/>
  <c r="D472"/>
  <c r="E346"/>
  <c r="D150"/>
  <c r="D55"/>
  <c r="D192"/>
  <c r="D374"/>
  <c r="E88"/>
  <c r="D22"/>
  <c r="E129"/>
  <c r="E423"/>
  <c r="E256"/>
  <c r="D406"/>
  <c r="D515"/>
  <c r="E505"/>
  <c r="E86"/>
  <c r="E114"/>
  <c r="D203"/>
  <c r="D264"/>
  <c r="E284"/>
  <c r="E107"/>
  <c r="E295"/>
  <c r="E354"/>
  <c r="E226"/>
  <c r="E121"/>
  <c r="E272"/>
  <c r="D525"/>
  <c r="D174"/>
  <c r="D207"/>
  <c r="E480"/>
  <c r="D111"/>
  <c r="E486"/>
  <c r="D269"/>
  <c r="E21"/>
  <c r="E201"/>
  <c r="E522"/>
  <c r="D455"/>
  <c r="D157"/>
  <c r="D28"/>
  <c r="D243"/>
  <c r="D350"/>
  <c r="D159"/>
  <c r="D380"/>
  <c r="D488"/>
  <c r="E33"/>
  <c r="E148"/>
  <c r="D395"/>
  <c r="D38"/>
  <c r="E386"/>
  <c r="D191"/>
  <c r="D257"/>
  <c r="E489"/>
  <c r="E260"/>
  <c r="D526"/>
  <c r="D304"/>
  <c r="E307"/>
  <c r="E450"/>
  <c r="E109"/>
  <c r="E149"/>
  <c r="D449"/>
  <c r="D523"/>
  <c r="D420"/>
  <c r="E459"/>
  <c r="E57"/>
  <c r="E320"/>
  <c r="E103"/>
  <c r="D69"/>
  <c r="D221"/>
  <c r="E31"/>
  <c r="D252"/>
  <c r="E393"/>
  <c r="E281"/>
  <c r="D253"/>
  <c r="E323"/>
  <c r="E175"/>
  <c r="E368"/>
  <c r="E378"/>
  <c r="D308"/>
  <c r="D155"/>
  <c r="E143"/>
  <c r="E263"/>
  <c r="D200"/>
  <c r="E183"/>
  <c r="E464"/>
  <c r="E246"/>
  <c r="E123"/>
  <c r="E189"/>
  <c r="E112"/>
  <c r="D40"/>
  <c r="D89"/>
  <c r="E398"/>
  <c r="E235"/>
  <c r="E282"/>
  <c r="E342"/>
  <c r="D407"/>
  <c r="D414"/>
  <c r="E160"/>
  <c r="E513"/>
  <c r="D445"/>
  <c r="D352"/>
  <c r="D245"/>
  <c r="D443"/>
  <c r="E426"/>
  <c r="E140"/>
  <c r="D214"/>
  <c r="D267"/>
  <c r="E309"/>
  <c r="E330"/>
  <c r="E364"/>
  <c r="E23"/>
  <c r="E498"/>
  <c r="E497"/>
  <c r="E466"/>
  <c r="D319"/>
  <c r="E97"/>
  <c r="D205"/>
  <c r="E197"/>
  <c r="E37"/>
  <c r="E136"/>
  <c r="D413"/>
  <c r="E261"/>
  <c r="D211"/>
  <c r="D434"/>
  <c r="D334"/>
  <c r="D76"/>
  <c r="D355"/>
  <c r="E87"/>
  <c r="D397"/>
  <c r="E484"/>
  <c r="D239"/>
  <c r="E35"/>
  <c r="D468"/>
  <c r="E142"/>
  <c r="E367"/>
  <c r="D419"/>
  <c r="E27"/>
  <c r="E362"/>
  <c r="E130"/>
  <c r="E389"/>
  <c r="E479"/>
  <c r="D358"/>
  <c r="D251"/>
  <c r="D508"/>
  <c r="D460"/>
  <c r="D438"/>
  <c r="D453"/>
  <c r="E162"/>
  <c r="D152"/>
  <c r="D289"/>
  <c r="D347"/>
  <c r="D94"/>
  <c r="E199"/>
  <c r="D196"/>
  <c r="D182"/>
  <c r="E220"/>
  <c r="E477"/>
  <c r="E338"/>
  <c r="E496"/>
  <c r="D32"/>
  <c r="E224"/>
  <c r="D283"/>
  <c r="E71"/>
  <c r="E405"/>
  <c r="D67"/>
  <c r="D29"/>
  <c r="E294"/>
  <c r="D429"/>
  <c r="E381"/>
  <c r="E108"/>
  <c r="E122"/>
  <c r="E41"/>
  <c r="D259"/>
  <c r="D45"/>
  <c r="E510"/>
  <c r="E400"/>
  <c r="E485"/>
  <c r="E500"/>
  <c r="E119"/>
  <c r="D481"/>
  <c r="D388"/>
  <c r="D92"/>
  <c r="E52"/>
  <c r="E169"/>
  <c r="E285"/>
  <c r="E370"/>
  <c r="E509"/>
  <c r="E300"/>
  <c r="E180"/>
  <c r="D195"/>
  <c r="D83"/>
  <c r="D402"/>
  <c r="D167"/>
  <c r="E297"/>
  <c r="E363"/>
  <c r="D124"/>
  <c r="D494"/>
  <c r="D302"/>
  <c r="E75"/>
  <c r="E100"/>
  <c r="D128"/>
  <c r="D427"/>
  <c r="D520"/>
  <c r="D101"/>
  <c r="E58"/>
  <c r="E95"/>
  <c r="D373"/>
  <c r="D385"/>
  <c r="D156"/>
  <c r="D266"/>
  <c r="D399"/>
  <c r="D298"/>
  <c r="D164"/>
  <c r="E229"/>
  <c r="E435"/>
  <c r="E248"/>
  <c r="E43"/>
  <c r="D223"/>
  <c r="E39"/>
  <c r="D49"/>
  <c r="E337"/>
  <c r="E127"/>
  <c r="D206"/>
  <c r="E375"/>
  <c r="D249"/>
  <c r="E292"/>
  <c r="D345"/>
  <c r="E242"/>
  <c r="E329"/>
  <c r="D20"/>
  <c r="E415"/>
  <c r="E126"/>
  <c r="D126"/>
  <c r="D516"/>
  <c r="E339"/>
  <c r="E275"/>
  <c r="E376"/>
  <c r="E340"/>
  <c r="D499"/>
  <c r="D132"/>
  <c r="D527"/>
  <c r="E202"/>
  <c r="E270"/>
  <c r="E274"/>
  <c r="D255"/>
  <c r="D322"/>
  <c r="E492"/>
  <c r="E442"/>
  <c r="E84"/>
  <c r="D113"/>
  <c r="E176"/>
  <c r="D291"/>
  <c r="D490"/>
  <c r="D366"/>
  <c r="E209"/>
  <c r="E433"/>
  <c r="D433"/>
  <c r="D46"/>
  <c r="E61"/>
  <c r="E458"/>
  <c r="D63"/>
  <c r="D237"/>
  <c r="E446"/>
  <c r="E441"/>
  <c r="D99"/>
  <c r="E99"/>
  <c r="D409"/>
  <c r="E409"/>
  <c r="E168"/>
  <c r="D168"/>
  <c r="E104"/>
  <c r="D104"/>
  <c r="D318"/>
  <c r="E372"/>
  <c r="D325"/>
  <c r="D396"/>
  <c r="E141"/>
  <c r="D316"/>
  <c r="E276"/>
  <c r="D394"/>
  <c r="D225"/>
  <c r="D219"/>
  <c r="B63" i="25"/>
  <c r="D79" i="33"/>
  <c r="D138"/>
  <c r="E401"/>
  <c r="E456"/>
  <c r="D186"/>
  <c r="D365"/>
  <c r="D51"/>
  <c r="E306"/>
  <c r="D349"/>
  <c r="D172"/>
  <c r="D462"/>
  <c r="E118"/>
  <c r="E412"/>
  <c r="E422"/>
  <c r="E279"/>
  <c r="E222"/>
  <c r="D467"/>
  <c r="D178"/>
  <c r="E382"/>
  <c r="D233"/>
  <c r="E315"/>
  <c r="D315"/>
  <c r="E134"/>
  <c r="D134"/>
  <c r="E208"/>
  <c r="D208"/>
  <c r="E24"/>
  <c r="D24"/>
  <c r="E502"/>
  <c r="D502"/>
  <c r="D473"/>
  <c r="E417"/>
  <c r="F63" i="25"/>
  <c r="E391" i="33"/>
  <c r="D391"/>
  <c r="D290"/>
  <c r="E290"/>
  <c r="D166"/>
  <c r="E166"/>
  <c r="E377"/>
  <c r="D377"/>
  <c r="E321"/>
  <c r="D321"/>
  <c r="D387"/>
  <c r="E387"/>
  <c r="E44"/>
  <c r="D47"/>
  <c r="E90"/>
  <c r="D428"/>
  <c r="E369"/>
  <c r="E139"/>
  <c r="E102"/>
  <c r="E36"/>
  <c r="D250"/>
  <c r="D59"/>
  <c r="E34"/>
  <c r="E431"/>
  <c r="D161"/>
  <c r="E234"/>
  <c r="E72"/>
  <c r="E163"/>
  <c r="E53" i="25"/>
  <c r="D63"/>
  <c r="E317" i="33"/>
  <c r="D317"/>
  <c r="E165"/>
  <c r="D165"/>
  <c r="E18"/>
  <c r="D18"/>
  <c r="D131"/>
  <c r="E131"/>
  <c r="H63" i="25"/>
  <c r="D53"/>
  <c r="F73"/>
  <c r="G53"/>
  <c r="E73"/>
  <c r="G73"/>
  <c r="B73"/>
  <c r="D73"/>
  <c r="I73"/>
  <c r="H3" l="1"/>
  <c r="C3"/>
  <c r="B3" i="23" s="1"/>
  <c r="H3" s="1"/>
  <c r="I3" i="25"/>
  <c r="F3"/>
  <c r="B5" i="23" s="1"/>
  <c r="I5" s="1"/>
  <c r="G3" i="25"/>
  <c r="B6" i="23" s="1"/>
  <c r="H6" s="1"/>
  <c r="B3" i="25"/>
  <c r="E3"/>
  <c r="D3"/>
  <c r="B4" i="23" s="1"/>
  <c r="I4" s="1"/>
  <c r="I3" l="1"/>
  <c r="H5"/>
  <c r="I6"/>
  <c r="H4"/>
  <c r="C126" l="1"/>
  <c r="E126"/>
  <c r="B65"/>
  <c r="C65"/>
  <c r="E65"/>
  <c r="J3" i="33" l="1"/>
  <c r="J536"/>
  <c r="D126" i="23"/>
  <c r="D65"/>
  <c r="B126"/>
  <c r="AI7" i="2"/>
  <c r="V16"/>
  <c r="C40"/>
  <c r="R39"/>
  <c r="AJ15"/>
  <c r="N4"/>
  <c r="V9"/>
  <c r="V12"/>
  <c r="AB36"/>
  <c r="D41"/>
  <c r="AF11"/>
  <c r="AD32"/>
  <c r="G11"/>
  <c r="AA9"/>
  <c r="C37"/>
  <c r="AC33"/>
  <c r="AQ27"/>
  <c r="AB17"/>
  <c r="AD13"/>
  <c r="AC7"/>
  <c r="G27"/>
  <c r="AB33"/>
  <c r="M28"/>
  <c r="Q16"/>
  <c r="AJ32"/>
  <c r="J36"/>
  <c r="G38"/>
  <c r="AG4"/>
  <c r="AE6"/>
  <c r="AH17"/>
  <c r="AD27"/>
  <c r="AE41"/>
  <c r="J9"/>
  <c r="AI31"/>
  <c r="AP13"/>
  <c r="E6"/>
  <c r="P40"/>
  <c r="B57" i="34"/>
  <c r="G10" i="2"/>
  <c r="N17"/>
  <c r="AG3"/>
  <c r="AA41"/>
  <c r="V11"/>
  <c r="I13"/>
  <c r="AK18"/>
  <c r="G16"/>
  <c r="AT35"/>
  <c r="AP33"/>
  <c r="AA37"/>
  <c r="E13"/>
  <c r="AB38"/>
  <c r="AC9"/>
  <c r="AH11"/>
  <c r="P7"/>
  <c r="AI3"/>
  <c r="P8"/>
  <c r="AG27"/>
  <c r="AK12"/>
  <c r="Q32"/>
  <c r="D33"/>
  <c r="R34"/>
  <c r="AG36"/>
  <c r="H38"/>
  <c r="AH33"/>
  <c r="L107" i="14"/>
  <c r="N11" i="2"/>
  <c r="M121" i="14"/>
  <c r="P3" i="2"/>
  <c r="AN34"/>
  <c r="AC13"/>
  <c r="AQ35"/>
  <c r="AP6"/>
  <c r="AM13"/>
  <c r="AL33"/>
  <c r="AA17"/>
  <c r="H35"/>
  <c r="AI41"/>
  <c r="P17"/>
  <c r="AG13"/>
  <c r="O7"/>
  <c r="P4"/>
  <c r="AA7"/>
  <c r="L3"/>
  <c r="R27"/>
  <c r="AO28"/>
  <c r="D31"/>
  <c r="E40"/>
  <c r="M9"/>
  <c r="J125" i="14"/>
  <c r="AE42" i="2"/>
  <c r="C18"/>
  <c r="H8"/>
  <c r="AB10"/>
  <c r="AT28"/>
  <c r="AT36"/>
  <c r="G8"/>
  <c r="AJ16"/>
  <c r="Q17"/>
  <c r="K108" i="14"/>
  <c r="N7" i="2"/>
  <c r="E30"/>
  <c r="J11"/>
  <c r="E4"/>
  <c r="AB34"/>
  <c r="AC12"/>
  <c r="F38"/>
  <c r="F13"/>
  <c r="H16"/>
  <c r="AJ14"/>
  <c r="L38"/>
  <c r="L30"/>
  <c r="AG18"/>
  <c r="Q18"/>
  <c r="AM6"/>
  <c r="AH16"/>
  <c r="S42"/>
  <c r="H17"/>
  <c r="AM10"/>
  <c r="N27"/>
  <c r="AT7"/>
  <c r="F9"/>
  <c r="P34"/>
  <c r="M34"/>
  <c r="AP32"/>
  <c r="AF32"/>
  <c r="I41"/>
  <c r="P32"/>
  <c r="AA16"/>
  <c r="L127" i="14"/>
  <c r="I39" i="2"/>
  <c r="M107" i="14"/>
  <c r="L9" i="2"/>
  <c r="AP36"/>
  <c r="G37"/>
  <c r="AA36"/>
  <c r="AQ39"/>
  <c r="V39"/>
  <c r="AN17"/>
  <c r="I30"/>
  <c r="V36"/>
  <c r="AC14"/>
  <c r="J119" i="14"/>
  <c r="AC18" i="2"/>
  <c r="M15"/>
  <c r="M10"/>
  <c r="O17"/>
  <c r="H3"/>
  <c r="R31"/>
  <c r="E28"/>
  <c r="AH6"/>
  <c r="N35"/>
  <c r="AD16"/>
  <c r="R17"/>
  <c r="AL8"/>
  <c r="AC41"/>
  <c r="R42"/>
  <c r="AK28"/>
  <c r="AT16"/>
  <c r="AK33"/>
  <c r="F17"/>
  <c r="B18" i="34"/>
  <c r="D36" i="2"/>
  <c r="J28"/>
  <c r="D35"/>
  <c r="AG39"/>
  <c r="AE33"/>
  <c r="P37"/>
  <c r="Q38"/>
  <c r="AC40"/>
  <c r="AM28"/>
  <c r="N40"/>
  <c r="C27"/>
  <c r="G7"/>
  <c r="M39"/>
  <c r="J13"/>
  <c r="AI11"/>
  <c r="D13"/>
  <c r="Q34"/>
  <c r="V28"/>
  <c r="AN35"/>
  <c r="AH35"/>
  <c r="R10"/>
  <c r="AP41"/>
  <c r="F7"/>
  <c r="C32"/>
  <c r="L39"/>
  <c r="AO36"/>
  <c r="K120" i="14"/>
  <c r="B8" i="34"/>
  <c r="H37" i="2"/>
  <c r="M31"/>
  <c r="AM9"/>
  <c r="AH38"/>
  <c r="AP31"/>
  <c r="J4"/>
  <c r="M111" i="14"/>
  <c r="AB6" i="2"/>
  <c r="N18"/>
  <c r="B63" i="34"/>
  <c r="AM4" i="2"/>
  <c r="L112" i="14"/>
  <c r="C15" i="2"/>
  <c r="AA32"/>
  <c r="G13"/>
  <c r="AQ41"/>
  <c r="AC30"/>
  <c r="AJ8"/>
  <c r="AK27"/>
  <c r="AL37"/>
  <c r="B19" i="34"/>
  <c r="AA11" i="2"/>
  <c r="AT27"/>
  <c r="AH9"/>
  <c r="F27"/>
  <c r="L118" i="14"/>
  <c r="R4" i="2"/>
  <c r="Q11"/>
  <c r="M109" i="14"/>
  <c r="C31" i="2"/>
  <c r="P6"/>
  <c r="O42"/>
  <c r="R28"/>
  <c r="AF10"/>
  <c r="AJ41"/>
  <c r="AD6"/>
  <c r="AJ36"/>
  <c r="J41"/>
  <c r="AM31"/>
  <c r="AM38"/>
  <c r="AF4"/>
  <c r="R6"/>
  <c r="AK9"/>
  <c r="G42"/>
  <c r="M41"/>
  <c r="AT6"/>
  <c r="AO31"/>
  <c r="AK39"/>
  <c r="AK10"/>
  <c r="K39"/>
  <c r="J38"/>
  <c r="AQ40"/>
  <c r="L13"/>
  <c r="P28"/>
  <c r="AI13"/>
  <c r="AD3"/>
  <c r="AN13"/>
  <c r="D11"/>
  <c r="D39"/>
  <c r="AB28"/>
  <c r="AB16"/>
  <c r="N33"/>
  <c r="M122" i="14"/>
  <c r="AI10" i="2"/>
  <c r="V15"/>
  <c r="J35"/>
  <c r="M112" i="14"/>
  <c r="L109"/>
  <c r="AH10" i="2"/>
  <c r="AK6"/>
  <c r="D4"/>
  <c r="AO33"/>
  <c r="S32"/>
  <c r="N31"/>
  <c r="B15" i="34"/>
  <c r="S38" i="2"/>
  <c r="D8"/>
  <c r="AP37"/>
  <c r="G34"/>
  <c r="AF42"/>
  <c r="E16"/>
  <c r="P42"/>
  <c r="M113" i="14"/>
  <c r="AN3" i="2"/>
  <c r="AB35"/>
  <c r="L111" i="14"/>
  <c r="D32" i="2"/>
  <c r="F42"/>
  <c r="AA28"/>
  <c r="AA40"/>
  <c r="E27"/>
  <c r="AG11"/>
  <c r="AN12"/>
  <c r="M18"/>
  <c r="AD14"/>
  <c r="AM32"/>
  <c r="AI17"/>
  <c r="S37"/>
  <c r="H41"/>
  <c r="G17"/>
  <c r="J8"/>
  <c r="B22" i="34"/>
  <c r="L11" i="2"/>
  <c r="AA33"/>
  <c r="I40"/>
  <c r="K119" i="14"/>
  <c r="O3" i="2"/>
  <c r="AN31"/>
  <c r="AO17"/>
  <c r="H36"/>
  <c r="Q36"/>
  <c r="G14"/>
  <c r="AH12"/>
  <c r="D15"/>
  <c r="N3"/>
  <c r="N28"/>
  <c r="J30"/>
  <c r="M40"/>
  <c r="N13"/>
  <c r="H28"/>
  <c r="J42"/>
  <c r="R12"/>
  <c r="AL35"/>
  <c r="AG38"/>
  <c r="O36"/>
  <c r="M125" i="14"/>
  <c r="O32" i="2"/>
  <c r="I6"/>
  <c r="AK3"/>
  <c r="D9"/>
  <c r="V35"/>
  <c r="D16"/>
  <c r="AA3"/>
  <c r="J120" i="14"/>
  <c r="H6" i="2"/>
  <c r="C36"/>
  <c r="AC15"/>
  <c r="AE27"/>
  <c r="AP42"/>
  <c r="AE30"/>
  <c r="C7"/>
  <c r="E10"/>
  <c r="J32"/>
  <c r="AL16"/>
  <c r="AD4"/>
  <c r="J122" i="14"/>
  <c r="AF12" i="2"/>
  <c r="AI38"/>
  <c r="AC6"/>
  <c r="E38"/>
  <c r="AE7"/>
  <c r="AO3"/>
  <c r="AI9"/>
  <c r="L35"/>
  <c r="E37"/>
  <c r="AL41"/>
  <c r="AT3"/>
  <c r="B20" i="34"/>
  <c r="F33" i="2"/>
  <c r="I15"/>
  <c r="L12"/>
  <c r="L34"/>
  <c r="L126" i="14"/>
  <c r="AO6" i="2"/>
  <c r="AB9"/>
  <c r="C13"/>
  <c r="AB18"/>
  <c r="Q31"/>
  <c r="AT40"/>
  <c r="F30"/>
  <c r="AH32"/>
  <c r="AG40"/>
  <c r="AO18"/>
  <c r="H34"/>
  <c r="G14" i="23"/>
  <c r="Q15" i="2"/>
  <c r="F37"/>
  <c r="AF8"/>
  <c r="AC17"/>
  <c r="AI8"/>
  <c r="P14"/>
  <c r="AJ12"/>
  <c r="AD34"/>
  <c r="AE36"/>
  <c r="AE10"/>
  <c r="AJ27"/>
  <c r="AM14"/>
  <c r="AJ13"/>
  <c r="AC42"/>
  <c r="AE14"/>
  <c r="K27"/>
  <c r="AN38"/>
  <c r="O40"/>
  <c r="F6"/>
  <c r="H12"/>
  <c r="E15"/>
  <c r="J18"/>
  <c r="AP39"/>
  <c r="AG42"/>
  <c r="AT32"/>
  <c r="P10"/>
  <c r="P41"/>
  <c r="J126" i="14"/>
  <c r="AO16" i="2"/>
  <c r="E41"/>
  <c r="AK38"/>
  <c r="AQ28"/>
  <c r="AE40"/>
  <c r="AO13"/>
  <c r="C41"/>
  <c r="M110" i="14"/>
  <c r="J124"/>
  <c r="G4" i="2"/>
  <c r="AG34"/>
  <c r="AC38"/>
  <c r="AI40"/>
  <c r="AE13"/>
  <c r="P15"/>
  <c r="Q8"/>
  <c r="AG9"/>
  <c r="F32"/>
  <c r="L32"/>
  <c r="M11"/>
  <c r="C3"/>
  <c r="AD41"/>
  <c r="B55" i="34"/>
  <c r="M123" i="14"/>
  <c r="P39" i="2"/>
  <c r="AC4"/>
  <c r="AG35"/>
  <c r="AC28"/>
  <c r="I27"/>
  <c r="AL14"/>
  <c r="AA31"/>
  <c r="K127" i="14"/>
  <c r="P30" i="2"/>
  <c r="AF13"/>
  <c r="AA34"/>
  <c r="AI34"/>
  <c r="O11"/>
  <c r="AF9"/>
  <c r="AN16"/>
  <c r="E42"/>
  <c r="G31"/>
  <c r="K14"/>
  <c r="V18"/>
  <c r="C17"/>
  <c r="G41"/>
  <c r="P36"/>
  <c r="V14"/>
  <c r="AH4"/>
  <c r="AC34"/>
  <c r="AI39"/>
  <c r="K33"/>
  <c r="C38"/>
  <c r="AT4"/>
  <c r="AK31"/>
  <c r="AB7"/>
  <c r="AM8"/>
  <c r="AJ10"/>
  <c r="Q3"/>
  <c r="O8"/>
  <c r="AT8"/>
  <c r="H33"/>
  <c r="AT39"/>
  <c r="L123" i="14"/>
  <c r="M117"/>
  <c r="J123"/>
  <c r="K113"/>
  <c r="S27" i="2"/>
  <c r="M119" i="14"/>
  <c r="AL38" i="2"/>
  <c r="H42"/>
  <c r="I33"/>
  <c r="N32"/>
  <c r="I34"/>
  <c r="J12"/>
  <c r="AB12"/>
  <c r="AM16"/>
  <c r="Q4"/>
  <c r="I28"/>
  <c r="H4"/>
  <c r="M6"/>
  <c r="AF28"/>
  <c r="AB41"/>
  <c r="AE34"/>
  <c r="AM18"/>
  <c r="AL12"/>
  <c r="L117" i="14"/>
  <c r="AT33" i="2"/>
  <c r="AK8"/>
  <c r="H21" i="23"/>
  <c r="AE3" i="2"/>
  <c r="J127" i="14"/>
  <c r="AI6" i="2"/>
  <c r="AC32"/>
  <c r="J14"/>
  <c r="G35"/>
  <c r="AO42"/>
  <c r="AJ4"/>
  <c r="V27"/>
  <c r="D40"/>
  <c r="P11"/>
  <c r="AH30"/>
  <c r="M30"/>
  <c r="E32"/>
  <c r="AN10"/>
  <c r="M37"/>
  <c r="AA14"/>
  <c r="AM7"/>
  <c r="L4"/>
  <c r="AO35"/>
  <c r="D17"/>
  <c r="AC36"/>
  <c r="O16"/>
  <c r="K13"/>
  <c r="D37"/>
  <c r="AO14"/>
  <c r="M13"/>
  <c r="AK42"/>
  <c r="B58" i="34"/>
  <c r="L124" i="14"/>
  <c r="O10" i="2"/>
  <c r="AI16"/>
  <c r="Q33"/>
  <c r="D30"/>
  <c r="AD40"/>
  <c r="L10"/>
  <c r="O18"/>
  <c r="AM35"/>
  <c r="O38"/>
  <c r="AI30"/>
  <c r="D14"/>
  <c r="AN8"/>
  <c r="B53" i="34"/>
  <c r="AG31" i="2"/>
  <c r="H14"/>
  <c r="M118" i="14"/>
  <c r="AO27" i="2"/>
  <c r="AP3"/>
  <c r="J37"/>
  <c r="AC31"/>
  <c r="AL4"/>
  <c r="AI27"/>
  <c r="AK14"/>
  <c r="J31"/>
  <c r="J113" i="14"/>
  <c r="K16" i="2"/>
  <c r="AL13"/>
  <c r="AT11"/>
  <c r="AT10"/>
  <c r="E3"/>
  <c r="J17"/>
  <c r="AO9"/>
  <c r="K124" i="14"/>
  <c r="R13" i="2"/>
  <c r="AE4"/>
  <c r="Q6"/>
  <c r="AF37"/>
  <c r="E9"/>
  <c r="AQ38"/>
  <c r="R9"/>
  <c r="J27"/>
  <c r="I17"/>
  <c r="P27"/>
  <c r="S28"/>
  <c r="J33"/>
  <c r="R14"/>
  <c r="AE8"/>
  <c r="N34"/>
  <c r="AC37"/>
  <c r="AN14"/>
  <c r="J111" i="14"/>
  <c r="AD11" i="2"/>
  <c r="AD28"/>
  <c r="P9"/>
  <c r="AI28"/>
  <c r="AP15"/>
  <c r="AK17"/>
  <c r="AL17"/>
  <c r="AA35"/>
  <c r="AJ38"/>
  <c r="AI37"/>
  <c r="K28"/>
  <c r="AJ11"/>
  <c r="O37"/>
  <c r="K7"/>
  <c r="AC10"/>
  <c r="L14"/>
  <c r="J10"/>
  <c r="M4"/>
  <c r="F40"/>
  <c r="M7"/>
  <c r="AA27"/>
  <c r="AA39"/>
  <c r="V41"/>
  <c r="B13" i="34"/>
  <c r="AP34" i="2"/>
  <c r="AP9"/>
  <c r="B11" i="34"/>
  <c r="AC3" i="2"/>
  <c r="N42"/>
  <c r="V4"/>
  <c r="M126" i="14"/>
  <c r="P35" i="2"/>
  <c r="AP17"/>
  <c r="AD15"/>
  <c r="O35"/>
  <c r="AA38"/>
  <c r="AH28"/>
  <c r="AG17"/>
  <c r="AE38"/>
  <c r="I31"/>
  <c r="AE37"/>
  <c r="AE9"/>
  <c r="H15" i="23"/>
  <c r="L28" i="2"/>
  <c r="N12"/>
  <c r="C16"/>
  <c r="AG7"/>
  <c r="AB37"/>
  <c r="R35"/>
  <c r="C6"/>
  <c r="AB42"/>
  <c r="AJ28"/>
  <c r="V40"/>
  <c r="L17"/>
  <c r="AB11"/>
  <c r="AJ31"/>
  <c r="AL36"/>
  <c r="I3"/>
  <c r="AJ39"/>
  <c r="I7"/>
  <c r="G15" i="23"/>
  <c r="N38" i="2"/>
  <c r="M8"/>
  <c r="AM41"/>
  <c r="V7"/>
  <c r="B54" i="34"/>
  <c r="AM12" i="2"/>
  <c r="AK13"/>
  <c r="R7"/>
  <c r="G22" i="23"/>
  <c r="AM37" i="2"/>
  <c r="J3"/>
  <c r="AO32"/>
  <c r="E39"/>
  <c r="L18"/>
  <c r="G18"/>
  <c r="AK40"/>
  <c r="AH14"/>
  <c r="AH7"/>
  <c r="C34"/>
  <c r="AP28"/>
  <c r="AA42"/>
  <c r="O9"/>
  <c r="I12"/>
  <c r="R33"/>
  <c r="AP18"/>
  <c r="S35"/>
  <c r="I11"/>
  <c r="Q30"/>
  <c r="S40"/>
  <c r="AD10"/>
  <c r="AF34"/>
  <c r="I16"/>
  <c r="V33"/>
  <c r="S36"/>
  <c r="AP38"/>
  <c r="K6"/>
  <c r="H27"/>
  <c r="AA10"/>
  <c r="I35"/>
  <c r="AO38"/>
  <c r="AC27"/>
  <c r="AH31"/>
  <c r="D7"/>
  <c r="AT42"/>
  <c r="C4"/>
  <c r="AQ32"/>
  <c r="C11"/>
  <c r="V17"/>
  <c r="G12"/>
  <c r="L33"/>
  <c r="AF15"/>
  <c r="AF16"/>
  <c r="AN39"/>
  <c r="K125" i="14"/>
  <c r="AN30" i="2"/>
  <c r="O4"/>
  <c r="K110" i="14"/>
  <c r="AM40" i="2"/>
  <c r="B9" i="34"/>
  <c r="K107" i="14"/>
  <c r="AQ36" i="2"/>
  <c r="AL34"/>
  <c r="K41"/>
  <c r="O30"/>
  <c r="S39"/>
  <c r="AO7"/>
  <c r="P12"/>
  <c r="P38"/>
  <c r="G21" i="23"/>
  <c r="AQ37" i="2"/>
  <c r="B64" i="34"/>
  <c r="AJ30" i="2"/>
  <c r="Q28"/>
  <c r="H31"/>
  <c r="AE12"/>
  <c r="AI15"/>
  <c r="F3"/>
  <c r="F35"/>
  <c r="AT14"/>
  <c r="AE18"/>
  <c r="AT31"/>
  <c r="F41"/>
  <c r="AF7"/>
  <c r="C8"/>
  <c r="AP7"/>
  <c r="K38"/>
  <c r="AI36"/>
  <c r="AL10"/>
  <c r="Q13"/>
  <c r="Q9"/>
  <c r="AF30"/>
  <c r="S33"/>
  <c r="K17"/>
  <c r="AN6"/>
  <c r="N9"/>
  <c r="I9"/>
  <c r="N10"/>
  <c r="AB4"/>
  <c r="AA6"/>
  <c r="M33"/>
  <c r="AO8"/>
  <c r="M124" i="14"/>
  <c r="AA15" i="2"/>
  <c r="AJ34"/>
  <c r="AM11"/>
  <c r="K117" i="14"/>
  <c r="AF36" i="2"/>
  <c r="AO12"/>
  <c r="AE35"/>
  <c r="AL27"/>
  <c r="C42"/>
  <c r="AN40"/>
  <c r="B52" i="34"/>
  <c r="E8" i="2"/>
  <c r="V3"/>
  <c r="AO30"/>
  <c r="F4"/>
  <c r="AD12"/>
  <c r="AB31"/>
  <c r="O6"/>
  <c r="AK4"/>
  <c r="I42"/>
  <c r="AD36"/>
  <c r="D34"/>
  <c r="AI4"/>
  <c r="AC8"/>
  <c r="H16" i="23"/>
  <c r="B51" i="34"/>
  <c r="AF17" i="2"/>
  <c r="M12"/>
  <c r="Q7"/>
  <c r="AH27"/>
  <c r="G40"/>
  <c r="C9"/>
  <c r="AO41"/>
  <c r="AL11"/>
  <c r="H22" i="23"/>
  <c r="R3" i="2"/>
  <c r="AJ37"/>
  <c r="AE11"/>
  <c r="AE31"/>
  <c r="AL32"/>
  <c r="AB27"/>
  <c r="F11"/>
  <c r="AN28"/>
  <c r="L42"/>
  <c r="F39"/>
  <c r="H20" i="23"/>
  <c r="O41" i="2"/>
  <c r="S30"/>
  <c r="AF35"/>
  <c r="AE15"/>
  <c r="P18"/>
  <c r="C30"/>
  <c r="F31"/>
  <c r="E11"/>
  <c r="E33"/>
  <c r="H15"/>
  <c r="AL39"/>
  <c r="AD31"/>
  <c r="AN9"/>
  <c r="AN37"/>
  <c r="AB14"/>
  <c r="AI33"/>
  <c r="AP35"/>
  <c r="AN15"/>
  <c r="AL18"/>
  <c r="AE16"/>
  <c r="AP16"/>
  <c r="G28"/>
  <c r="D28"/>
  <c r="I4"/>
  <c r="AA4"/>
  <c r="N15"/>
  <c r="V37"/>
  <c r="H13"/>
  <c r="D42"/>
  <c r="AH37"/>
  <c r="K123" i="14"/>
  <c r="V8" i="2"/>
  <c r="E12"/>
  <c r="E35"/>
  <c r="AP14"/>
  <c r="AT17"/>
  <c r="AM30"/>
  <c r="V10"/>
  <c r="R41"/>
  <c r="J110" i="14"/>
  <c r="D3" i="2"/>
  <c r="L37"/>
  <c r="M14"/>
  <c r="AI35"/>
  <c r="K32"/>
  <c r="AQ33"/>
  <c r="P16"/>
  <c r="M17"/>
  <c r="K35"/>
  <c r="AT18"/>
  <c r="AK11"/>
  <c r="K118" i="14"/>
  <c r="AT30" i="2"/>
  <c r="R32"/>
  <c r="D12"/>
  <c r="Q12"/>
  <c r="F34"/>
  <c r="V42"/>
  <c r="B12" i="34"/>
  <c r="G15" i="2"/>
  <c r="AD38"/>
  <c r="I38"/>
  <c r="I32"/>
  <c r="K12"/>
  <c r="AK16"/>
  <c r="AJ42"/>
  <c r="M108" i="14"/>
  <c r="L122"/>
  <c r="G30" i="2"/>
  <c r="L108" i="14"/>
  <c r="B61" i="34"/>
  <c r="AC35" i="2"/>
  <c r="AM36"/>
  <c r="K3"/>
  <c r="O34"/>
  <c r="AI12"/>
  <c r="AJ7"/>
  <c r="C33"/>
  <c r="AG37"/>
  <c r="AA30"/>
  <c r="AP40"/>
  <c r="H39"/>
  <c r="AD37"/>
  <c r="AG32"/>
  <c r="AN42"/>
  <c r="J16"/>
  <c r="K30"/>
  <c r="Q39"/>
  <c r="Q41"/>
  <c r="F14"/>
  <c r="AM15"/>
  <c r="L36"/>
  <c r="J34"/>
  <c r="AL42"/>
  <c r="AN32"/>
  <c r="AD30"/>
  <c r="S31"/>
  <c r="R15"/>
  <c r="O33"/>
  <c r="AO11"/>
  <c r="AE17"/>
  <c r="AA18"/>
  <c r="AJ3"/>
  <c r="Q37"/>
  <c r="R8"/>
  <c r="AD9"/>
  <c r="G32"/>
  <c r="Q42"/>
  <c r="AK30"/>
  <c r="F36"/>
  <c r="M120" i="14"/>
  <c r="B14" i="34"/>
  <c r="D10" i="2"/>
  <c r="AG8"/>
  <c r="O28"/>
  <c r="AP27"/>
  <c r="AF3"/>
  <c r="B49" i="34"/>
  <c r="L119" i="14"/>
  <c r="AT37" i="2"/>
  <c r="R11"/>
  <c r="D6"/>
  <c r="AI42"/>
  <c r="AH41"/>
  <c r="AB3"/>
  <c r="AP4"/>
  <c r="AK32"/>
  <c r="AP12"/>
  <c r="C39"/>
  <c r="AC16"/>
  <c r="M3"/>
  <c r="L125" i="14"/>
  <c r="AO4" i="2"/>
  <c r="AH34"/>
  <c r="N39"/>
  <c r="V34"/>
  <c r="J7"/>
  <c r="AT9"/>
  <c r="L15"/>
  <c r="AN27"/>
  <c r="AG14"/>
  <c r="AL15"/>
  <c r="K8"/>
  <c r="L110" i="14"/>
  <c r="V30" i="2"/>
  <c r="AF39"/>
  <c r="AK41"/>
  <c r="J6"/>
  <c r="K112" i="14"/>
  <c r="H11" i="2"/>
  <c r="AD42"/>
  <c r="L8"/>
  <c r="AK35"/>
  <c r="O15"/>
  <c r="AO40"/>
  <c r="G16" i="23"/>
  <c r="K10" i="2"/>
  <c r="O27"/>
  <c r="AB39"/>
  <c r="L31"/>
  <c r="AA13"/>
  <c r="AD8"/>
  <c r="E18"/>
  <c r="I10"/>
  <c r="AJ18"/>
  <c r="H30"/>
  <c r="I36"/>
  <c r="AM42"/>
  <c r="AH36"/>
  <c r="Q14"/>
  <c r="E7"/>
  <c r="AD18"/>
  <c r="O31"/>
  <c r="AH3"/>
  <c r="F16"/>
  <c r="AM34"/>
  <c r="AH13"/>
  <c r="AL6"/>
  <c r="K37"/>
  <c r="AL28"/>
  <c r="AN18"/>
  <c r="AF27"/>
  <c r="R40"/>
  <c r="AT38"/>
  <c r="N41"/>
  <c r="AB40"/>
  <c r="O13"/>
  <c r="R38"/>
  <c r="K111" i="14"/>
  <c r="K11" i="2"/>
  <c r="V6"/>
  <c r="J107" i="14"/>
  <c r="AK36" i="2"/>
  <c r="C10"/>
  <c r="AM33"/>
  <c r="C14"/>
  <c r="I14"/>
  <c r="H10"/>
  <c r="Q10"/>
  <c r="J39"/>
  <c r="P33"/>
  <c r="G33"/>
  <c r="K40"/>
  <c r="AL30"/>
  <c r="B60" i="34"/>
  <c r="AB13" i="2"/>
  <c r="L41"/>
  <c r="G36"/>
  <c r="R37"/>
  <c r="AM17"/>
  <c r="AM27"/>
  <c r="AN33"/>
  <c r="M127" i="14"/>
  <c r="AT34" i="2"/>
  <c r="AP8"/>
  <c r="N36"/>
  <c r="L113" i="14"/>
  <c r="AH15" i="2"/>
  <c r="AD35"/>
  <c r="K31"/>
  <c r="AP10"/>
  <c r="AE28"/>
  <c r="P31"/>
  <c r="B62" i="34"/>
  <c r="K34" i="2"/>
  <c r="AG30"/>
  <c r="AA12"/>
  <c r="V32"/>
  <c r="AG10"/>
  <c r="L40"/>
  <c r="AG12"/>
  <c r="J121" i="14"/>
  <c r="K15" i="2"/>
  <c r="H40"/>
  <c r="N30"/>
  <c r="G9"/>
  <c r="AN7"/>
  <c r="N16"/>
  <c r="AB32"/>
  <c r="E34"/>
  <c r="AO15"/>
  <c r="AO10"/>
  <c r="AH42"/>
  <c r="F8"/>
  <c r="R18"/>
  <c r="O12"/>
  <c r="D27"/>
  <c r="AH18"/>
  <c r="K109" i="14"/>
  <c r="Q27" i="2"/>
  <c r="AD39"/>
  <c r="AH40"/>
  <c r="AG16"/>
  <c r="AT13"/>
  <c r="M27"/>
  <c r="AN36"/>
  <c r="B56" i="34"/>
  <c r="I18" i="2"/>
  <c r="R16"/>
  <c r="AJ33"/>
  <c r="I8"/>
  <c r="O39"/>
  <c r="S41"/>
  <c r="AE39"/>
  <c r="J15"/>
  <c r="AF41"/>
  <c r="P13"/>
  <c r="AK37"/>
  <c r="K42"/>
  <c r="E31"/>
  <c r="AA8"/>
  <c r="H9"/>
  <c r="AP11"/>
  <c r="AG41"/>
  <c r="AM39"/>
  <c r="M36"/>
  <c r="F28"/>
  <c r="AL31"/>
  <c r="AF33"/>
  <c r="AJ40"/>
  <c r="AH8"/>
  <c r="M42"/>
  <c r="AJ9"/>
  <c r="AQ34"/>
  <c r="AJ6"/>
  <c r="M38"/>
  <c r="N8"/>
  <c r="E36"/>
  <c r="G3"/>
  <c r="K121" i="14"/>
  <c r="AI14" i="2"/>
  <c r="G39"/>
  <c r="V13"/>
  <c r="AB30"/>
  <c r="V31"/>
  <c r="C12"/>
  <c r="E14"/>
  <c r="AQ42"/>
  <c r="J112" i="14"/>
  <c r="L6" i="2"/>
  <c r="L7"/>
  <c r="N37"/>
  <c r="O14"/>
  <c r="AN11"/>
  <c r="AL7"/>
  <c r="AL40"/>
  <c r="N14"/>
  <c r="L16"/>
  <c r="AH39"/>
  <c r="F12"/>
  <c r="J118" i="14"/>
  <c r="H14" i="23"/>
  <c r="AT12" i="2"/>
  <c r="AQ30"/>
  <c r="AJ17"/>
  <c r="AB8"/>
  <c r="R36"/>
  <c r="AT41"/>
  <c r="AG6"/>
  <c r="I37"/>
  <c r="AO37"/>
  <c r="AF6"/>
  <c r="B59" i="34"/>
  <c r="K9" i="2"/>
  <c r="AD17"/>
  <c r="AF31"/>
  <c r="K122" i="14"/>
  <c r="D38" i="2"/>
  <c r="AK7"/>
  <c r="B17" i="34"/>
  <c r="S34" i="2"/>
  <c r="N6"/>
  <c r="AF38"/>
  <c r="H18"/>
  <c r="AT15"/>
  <c r="R30"/>
  <c r="AK34"/>
  <c r="B21" i="34"/>
  <c r="C28" i="2"/>
  <c r="K18"/>
  <c r="AG33"/>
  <c r="F15"/>
  <c r="J117" i="14"/>
  <c r="AB15" i="2"/>
  <c r="AJ35"/>
  <c r="B50" i="34"/>
  <c r="F10" i="2"/>
  <c r="AI32"/>
  <c r="B23" i="34"/>
  <c r="Q35" i="2"/>
  <c r="V38"/>
  <c r="AI18"/>
  <c r="J109" i="14"/>
  <c r="L120"/>
  <c r="K4" i="2"/>
  <c r="K126" i="14"/>
  <c r="J108"/>
  <c r="M35" i="2"/>
  <c r="C35"/>
  <c r="L27"/>
  <c r="AK15"/>
  <c r="J40"/>
  <c r="B16" i="34"/>
  <c r="M16" i="2"/>
  <c r="AF40"/>
  <c r="AQ31"/>
  <c r="AC39"/>
  <c r="AF18"/>
  <c r="AC11"/>
  <c r="AN4"/>
  <c r="AD7"/>
  <c r="AL9"/>
  <c r="AM3"/>
  <c r="AE32"/>
  <c r="L121" i="14"/>
  <c r="AD33" i="2"/>
  <c r="AP30"/>
  <c r="E17"/>
  <c r="Q40"/>
  <c r="D18"/>
  <c r="H32"/>
  <c r="G20" i="23"/>
  <c r="AL3" i="2"/>
  <c r="AN41"/>
  <c r="F18"/>
  <c r="AO34"/>
  <c r="K36"/>
  <c r="AG15"/>
  <c r="AF14"/>
  <c r="G6"/>
  <c r="AG28"/>
  <c r="B10" i="34"/>
  <c r="M32" i="2"/>
  <c r="H7"/>
  <c r="AO39"/>
  <c r="B170" i="23" l="1"/>
  <c r="B171" s="1"/>
  <c r="D170"/>
  <c r="D171" s="1"/>
  <c r="L46" i="2"/>
  <c r="V19"/>
  <c r="V22" s="1"/>
  <c r="AO19"/>
  <c r="AO22" s="1"/>
  <c r="K19"/>
  <c r="K22" s="1"/>
  <c r="L19"/>
  <c r="L22" s="1"/>
  <c r="AC19"/>
  <c r="AC22" s="1"/>
  <c r="E109" i="23"/>
  <c r="E110" s="1"/>
  <c r="C109"/>
  <c r="C110" s="1"/>
  <c r="Q46" i="2"/>
  <c r="AI19"/>
  <c r="AI22" s="1"/>
  <c r="H43"/>
  <c r="H46" s="1"/>
  <c r="AM46"/>
  <c r="O19"/>
  <c r="O22" s="1"/>
  <c r="AH19"/>
  <c r="AH22" s="1"/>
  <c r="O46"/>
  <c r="B245" i="23"/>
  <c r="M43" i="2"/>
  <c r="M46" s="1"/>
  <c r="AN46"/>
  <c r="M22"/>
  <c r="AB22"/>
  <c r="AF22"/>
  <c r="AP46"/>
  <c r="V43"/>
  <c r="V46" s="1"/>
  <c r="D43"/>
  <c r="D46" s="1"/>
  <c r="AT43"/>
  <c r="AT46" s="1"/>
  <c r="D22"/>
  <c r="N19"/>
  <c r="N22" s="1"/>
  <c r="AD19"/>
  <c r="AD22" s="1"/>
  <c r="E170" i="23"/>
  <c r="E171" s="1"/>
  <c r="C170"/>
  <c r="C171" s="1"/>
  <c r="R22" i="2"/>
  <c r="C246" i="23"/>
  <c r="C245"/>
  <c r="AJ19" i="2"/>
  <c r="AJ22" s="1"/>
  <c r="AD43"/>
  <c r="AD46" s="1"/>
  <c r="AM19"/>
  <c r="AM22" s="1"/>
  <c r="AL19"/>
  <c r="AL22" s="1"/>
  <c r="B246" i="23"/>
  <c r="B265"/>
  <c r="C265"/>
  <c r="AA46" i="2"/>
  <c r="J19"/>
  <c r="J22" s="1"/>
  <c r="P46"/>
  <c r="AE19"/>
  <c r="AE22" s="1"/>
  <c r="I19"/>
  <c r="I22" s="1"/>
  <c r="AP22"/>
  <c r="AO46"/>
  <c r="F43"/>
  <c r="F46" s="1"/>
  <c r="K43"/>
  <c r="K46" s="1"/>
  <c r="S46"/>
  <c r="AG19"/>
  <c r="AG22" s="1"/>
  <c r="F19"/>
  <c r="F22" s="1"/>
  <c r="AI43"/>
  <c r="AI46" s="1"/>
  <c r="E43"/>
  <c r="E46" s="1"/>
  <c r="AC43"/>
  <c r="AC46" s="1"/>
  <c r="C22"/>
  <c r="G19"/>
  <c r="G22" s="1"/>
  <c r="AK43"/>
  <c r="AK46" s="1"/>
  <c r="Q19"/>
  <c r="Q22" s="1"/>
  <c r="AJ46"/>
  <c r="B109" i="23"/>
  <c r="B110" s="1"/>
  <c r="D109"/>
  <c r="D110" s="1"/>
  <c r="E19" i="2"/>
  <c r="E22" s="1"/>
  <c r="AE46"/>
  <c r="AA22"/>
  <c r="AK22"/>
  <c r="I43"/>
  <c r="I46" s="1"/>
  <c r="AN22"/>
  <c r="AF43"/>
  <c r="AF46" s="1"/>
  <c r="J43"/>
  <c r="J46" s="1"/>
  <c r="AB43"/>
  <c r="AB46" s="1"/>
  <c r="AH43"/>
  <c r="AH46" s="1"/>
  <c r="AG43"/>
  <c r="AG46" s="1"/>
  <c r="C46"/>
  <c r="H22"/>
  <c r="AL43"/>
  <c r="AL46" s="1"/>
  <c r="AT19"/>
  <c r="AT22" s="1"/>
  <c r="R46"/>
  <c r="P22"/>
  <c r="N43"/>
  <c r="N46" s="1"/>
  <c r="G46"/>
  <c r="AQ46"/>
  <c r="B208" i="23"/>
  <c r="B229"/>
  <c r="C176"/>
  <c r="B176"/>
  <c r="D115"/>
  <c r="D54"/>
  <c r="C34"/>
  <c r="C220"/>
  <c r="E271"/>
  <c r="E269"/>
  <c r="C221"/>
  <c r="E273"/>
  <c r="D268"/>
  <c r="D35"/>
  <c r="E225"/>
  <c r="C222"/>
  <c r="D220"/>
  <c r="D269"/>
  <c r="E268"/>
  <c r="E54"/>
  <c r="E115"/>
  <c r="C54"/>
  <c r="C115"/>
  <c r="C229"/>
  <c r="C208"/>
  <c r="D222"/>
  <c r="B221"/>
  <c r="D270"/>
  <c r="B214"/>
  <c r="D225"/>
  <c r="C37"/>
  <c r="E229"/>
  <c r="C225"/>
  <c r="D221"/>
  <c r="E221"/>
  <c r="B36"/>
  <c r="D37"/>
  <c r="B115"/>
  <c r="B54"/>
  <c r="B220"/>
  <c r="E239"/>
  <c r="D34"/>
  <c r="C35"/>
  <c r="C214"/>
  <c r="C36"/>
  <c r="D36"/>
  <c r="B35"/>
  <c r="E222"/>
  <c r="E37"/>
  <c r="C239"/>
  <c r="E220"/>
  <c r="C262"/>
  <c r="D239"/>
  <c r="B222"/>
  <c r="D229"/>
  <c r="B225"/>
  <c r="D273"/>
  <c r="E36"/>
  <c r="D271"/>
  <c r="E270"/>
  <c r="E35"/>
  <c r="B262"/>
  <c r="B34"/>
  <c r="E34"/>
  <c r="B37"/>
  <c r="B239"/>
  <c r="J535" i="33"/>
  <c r="X19" i="2" l="1"/>
  <c r="J537" i="33"/>
  <c r="B240" i="23"/>
  <c r="E38"/>
  <c r="E39" s="1"/>
  <c r="E111" s="1"/>
  <c r="E112" s="1"/>
  <c r="J544" i="33" s="1"/>
  <c r="B38" i="23"/>
  <c r="B39" s="1"/>
  <c r="B111" s="1"/>
  <c r="B112" s="1"/>
  <c r="B263"/>
  <c r="E231"/>
  <c r="E232" s="1"/>
  <c r="Q542" i="33"/>
  <c r="Q12"/>
  <c r="B226" i="23"/>
  <c r="B227" s="1"/>
  <c r="B228" s="1"/>
  <c r="B230" s="1"/>
  <c r="B3" i="33" s="1"/>
  <c r="B5"/>
  <c r="B6" s="1"/>
  <c r="B6" i="34"/>
  <c r="D240" i="23"/>
  <c r="C263"/>
  <c r="E536" i="33"/>
  <c r="C240" i="23"/>
  <c r="F737" i="33"/>
  <c r="F1020"/>
  <c r="F867"/>
  <c r="F627"/>
  <c r="F915"/>
  <c r="F664"/>
  <c r="F865"/>
  <c r="F1037"/>
  <c r="F566"/>
  <c r="F943"/>
  <c r="F833"/>
  <c r="F847"/>
  <c r="F942"/>
  <c r="F760"/>
  <c r="F910"/>
  <c r="F713"/>
  <c r="F820"/>
  <c r="F677"/>
  <c r="F688"/>
  <c r="F807"/>
  <c r="F797"/>
  <c r="F885"/>
  <c r="F597"/>
  <c r="F711"/>
  <c r="F1052"/>
  <c r="F648"/>
  <c r="F1021"/>
  <c r="F574"/>
  <c r="F1023"/>
  <c r="F1001"/>
  <c r="F918"/>
  <c r="F930"/>
  <c r="F773"/>
  <c r="F692"/>
  <c r="F666"/>
  <c r="F836"/>
  <c r="F1027"/>
  <c r="F570"/>
  <c r="F640"/>
  <c r="F563"/>
  <c r="F866"/>
  <c r="F788"/>
  <c r="F682"/>
  <c r="F1025"/>
  <c r="F580"/>
  <c r="F1016"/>
  <c r="F975"/>
  <c r="F758"/>
  <c r="F753"/>
  <c r="F742"/>
  <c r="F645"/>
  <c r="F889"/>
  <c r="F1032"/>
  <c r="F659"/>
  <c r="F576"/>
  <c r="F952"/>
  <c r="F718"/>
  <c r="F1026"/>
  <c r="F884"/>
  <c r="F765"/>
  <c r="F986"/>
  <c r="F614"/>
  <c r="F845"/>
  <c r="F990"/>
  <c r="F804"/>
  <c r="F1000"/>
  <c r="F928"/>
  <c r="F641"/>
  <c r="F908"/>
  <c r="F1056"/>
  <c r="F612"/>
  <c r="F1008"/>
  <c r="F610"/>
  <c r="F589"/>
  <c r="F726"/>
  <c r="F793"/>
  <c r="F719"/>
  <c r="F1054"/>
  <c r="F858"/>
  <c r="F690"/>
  <c r="F1022"/>
  <c r="F634"/>
  <c r="F800"/>
  <c r="F617"/>
  <c r="F665"/>
  <c r="F736"/>
  <c r="F899"/>
  <c r="F1043"/>
  <c r="F729"/>
  <c r="F999"/>
  <c r="F747"/>
  <c r="F929"/>
  <c r="F593"/>
  <c r="F810"/>
  <c r="F1003"/>
  <c r="F806"/>
  <c r="F706"/>
  <c r="F1017"/>
  <c r="F825"/>
  <c r="F603"/>
  <c r="F854"/>
  <c r="F1018"/>
  <c r="F728"/>
  <c r="F972"/>
  <c r="F696"/>
  <c r="F741"/>
  <c r="F823"/>
  <c r="F989"/>
  <c r="F849"/>
  <c r="F946"/>
  <c r="F775"/>
  <c r="F559"/>
  <c r="F678"/>
  <c r="F923"/>
  <c r="F931"/>
  <c r="F704"/>
  <c r="F856"/>
  <c r="F714"/>
  <c r="F637"/>
  <c r="F551"/>
  <c r="F689"/>
  <c r="F577"/>
  <c r="F883"/>
  <c r="F914"/>
  <c r="F1006"/>
  <c r="F991"/>
  <c r="F676"/>
  <c r="F893"/>
  <c r="F691"/>
  <c r="F984"/>
  <c r="F695"/>
  <c r="F647"/>
  <c r="F672"/>
  <c r="F772"/>
  <c r="F708"/>
  <c r="F1024"/>
  <c r="F622"/>
  <c r="F900"/>
  <c r="F660"/>
  <c r="F740"/>
  <c r="F904"/>
  <c r="F650"/>
  <c r="F979"/>
  <c r="F826"/>
  <c r="F1029"/>
  <c r="F892"/>
  <c r="F703"/>
  <c r="F933"/>
  <c r="F783"/>
  <c r="F683"/>
  <c r="F1046"/>
  <c r="F715"/>
  <c r="F837"/>
  <c r="F863"/>
  <c r="F798"/>
  <c r="F601"/>
  <c r="F562"/>
  <c r="F888"/>
  <c r="F945"/>
  <c r="F1028"/>
  <c r="F667"/>
  <c r="F1061"/>
  <c r="F699"/>
  <c r="F808"/>
  <c r="F751"/>
  <c r="F557"/>
  <c r="F817"/>
  <c r="F1040"/>
  <c r="F567"/>
  <c r="F759"/>
  <c r="F1038"/>
  <c r="F909"/>
  <c r="F985"/>
  <c r="F939"/>
  <c r="F625"/>
  <c r="F879"/>
  <c r="F565"/>
  <c r="F977"/>
  <c r="F702"/>
  <c r="F813"/>
  <c r="F723"/>
  <c r="F619"/>
  <c r="F907"/>
  <c r="F712"/>
  <c r="F980"/>
  <c r="F887"/>
  <c r="F956"/>
  <c r="F568"/>
  <c r="F868"/>
  <c r="F554"/>
  <c r="F932"/>
  <c r="F606"/>
  <c r="F949"/>
  <c r="F1062"/>
  <c r="E538"/>
  <c r="F592"/>
  <c r="F638"/>
  <c r="F822"/>
  <c r="F750"/>
  <c r="F624"/>
  <c r="F944"/>
  <c r="F787"/>
  <c r="F733"/>
  <c r="F1057"/>
  <c r="F905"/>
  <c r="F967"/>
  <c r="F852"/>
  <c r="F862"/>
  <c r="F864"/>
  <c r="F613"/>
  <c r="F1055"/>
  <c r="F896"/>
  <c r="F961"/>
  <c r="F953"/>
  <c r="F1030"/>
  <c r="F792"/>
  <c r="F1015"/>
  <c r="F870"/>
  <c r="F596"/>
  <c r="F656"/>
  <c r="F623"/>
  <c r="F744"/>
  <c r="F1048"/>
  <c r="F584"/>
  <c r="F578"/>
  <c r="F700"/>
  <c r="F886"/>
  <c r="F790"/>
  <c r="F669"/>
  <c r="F1012"/>
  <c r="F571"/>
  <c r="F590"/>
  <c r="F707"/>
  <c r="F815"/>
  <c r="F959"/>
  <c r="F995"/>
  <c r="F685"/>
  <c r="F1035"/>
  <c r="F981"/>
  <c r="F756"/>
  <c r="F710"/>
  <c r="F795"/>
  <c r="F1059"/>
  <c r="F725"/>
  <c r="F649"/>
  <c r="F974"/>
  <c r="F951"/>
  <c r="F802"/>
  <c r="F881"/>
  <c r="F556"/>
  <c r="F618"/>
  <c r="F811"/>
  <c r="F1050"/>
  <c r="F818"/>
  <c r="F620"/>
  <c r="F636"/>
  <c r="F1042"/>
  <c r="F978"/>
  <c r="F745"/>
  <c r="F743"/>
  <c r="F780"/>
  <c r="F947"/>
  <c r="F1051"/>
  <c r="F681"/>
  <c r="F766"/>
  <c r="F604"/>
  <c r="F754"/>
  <c r="F851"/>
  <c r="F919"/>
  <c r="F971"/>
  <c r="F954"/>
  <c r="F777"/>
  <c r="F629"/>
  <c r="F621"/>
  <c r="F828"/>
  <c r="F749"/>
  <c r="F1041"/>
  <c r="F653"/>
  <c r="F987"/>
  <c r="F1047"/>
  <c r="F976"/>
  <c r="F936"/>
  <c r="F1044"/>
  <c r="F611"/>
  <c r="F1039"/>
  <c r="F654"/>
  <c r="F709"/>
  <c r="F598"/>
  <c r="F799"/>
  <c r="F796"/>
  <c r="F631"/>
  <c r="F998"/>
  <c r="F668"/>
  <c r="F693"/>
  <c r="F1031"/>
  <c r="F940"/>
  <c r="F639"/>
  <c r="F770"/>
  <c r="F755"/>
  <c r="F607"/>
  <c r="F746"/>
  <c r="F642"/>
  <c r="F739"/>
  <c r="F911"/>
  <c r="F890"/>
  <c r="F583"/>
  <c r="F670"/>
  <c r="F982"/>
  <c r="F927"/>
  <c r="F602"/>
  <c r="F673"/>
  <c r="F1014"/>
  <c r="F970"/>
  <c r="F599"/>
  <c r="F626"/>
  <c r="F812"/>
  <c r="F912"/>
  <c r="F628"/>
  <c r="F752"/>
  <c r="F661"/>
  <c r="F901"/>
  <c r="F635"/>
  <c r="F937"/>
  <c r="F1007"/>
  <c r="F784"/>
  <c r="F880"/>
  <c r="F898"/>
  <c r="F857"/>
  <c r="F587"/>
  <c r="F558"/>
  <c r="F608"/>
  <c r="F734"/>
  <c r="F763"/>
  <c r="F859"/>
  <c r="F573"/>
  <c r="F925"/>
  <c r="F786"/>
  <c r="F882"/>
  <c r="F605"/>
  <c r="F564"/>
  <c r="F877"/>
  <c r="F850"/>
  <c r="F872"/>
  <c r="F891"/>
  <c r="F698"/>
  <c r="F632"/>
  <c r="F572"/>
  <c r="F1049"/>
  <c r="F615"/>
  <c r="F835"/>
  <c r="F861"/>
  <c r="F832"/>
  <c r="F934"/>
  <c r="F732"/>
  <c r="F843"/>
  <c r="F874"/>
  <c r="F803"/>
  <c r="F950"/>
  <c r="F869"/>
  <c r="F809"/>
  <c r="F840"/>
  <c r="F964"/>
  <c r="F679"/>
  <c r="F633"/>
  <c r="F846"/>
  <c r="F992"/>
  <c r="F735"/>
  <c r="F701"/>
  <c r="F906"/>
  <c r="F764"/>
  <c r="F630"/>
  <c r="F616"/>
  <c r="F581"/>
  <c r="F938"/>
  <c r="F903"/>
  <c r="F769"/>
  <c r="F687"/>
  <c r="F824"/>
  <c r="F969"/>
  <c r="F1002"/>
  <c r="F684"/>
  <c r="F716"/>
  <c r="F966"/>
  <c r="F1036"/>
  <c r="F860"/>
  <c r="F834"/>
  <c r="F968"/>
  <c r="F920"/>
  <c r="F941"/>
  <c r="F782"/>
  <c r="F917"/>
  <c r="F552"/>
  <c r="F651"/>
  <c r="F595"/>
  <c r="F652"/>
  <c r="F924"/>
  <c r="F785"/>
  <c r="F902"/>
  <c r="F1045"/>
  <c r="F686"/>
  <c r="F585"/>
  <c r="F958"/>
  <c r="F731"/>
  <c r="F994"/>
  <c r="F761"/>
  <c r="F922"/>
  <c r="F727"/>
  <c r="F897"/>
  <c r="F876"/>
  <c r="F553"/>
  <c r="F839"/>
  <c r="F997"/>
  <c r="F774"/>
  <c r="F853"/>
  <c r="F957"/>
  <c r="F988"/>
  <c r="F838"/>
  <c r="F844"/>
  <c r="F779"/>
  <c r="F993"/>
  <c r="F963"/>
  <c r="F805"/>
  <c r="F873"/>
  <c r="F1034"/>
  <c r="F762"/>
  <c r="F724"/>
  <c r="F569"/>
  <c r="F878"/>
  <c r="F555"/>
  <c r="F1011"/>
  <c r="F722"/>
  <c r="F962"/>
  <c r="F588"/>
  <c r="F1058"/>
  <c r="F983"/>
  <c r="F848"/>
  <c r="F586"/>
  <c r="F831"/>
  <c r="F680"/>
  <c r="F768"/>
  <c r="F791"/>
  <c r="F827"/>
  <c r="F1033"/>
  <c r="F591"/>
  <c r="F671"/>
  <c r="F646"/>
  <c r="F1019"/>
  <c r="F789"/>
  <c r="F662"/>
  <c r="F721"/>
  <c r="F674"/>
  <c r="F582"/>
  <c r="F801"/>
  <c r="F579"/>
  <c r="F560"/>
  <c r="F561"/>
  <c r="F657"/>
  <c r="F948"/>
  <c r="F841"/>
  <c r="F913"/>
  <c r="F771"/>
  <c r="F1009"/>
  <c r="F821"/>
  <c r="F1010"/>
  <c r="F694"/>
  <c r="F675"/>
  <c r="F738"/>
  <c r="F1013"/>
  <c r="F781"/>
  <c r="F717"/>
  <c r="F921"/>
  <c r="F895"/>
  <c r="F926"/>
  <c r="F814"/>
  <c r="F965"/>
  <c r="F1005"/>
  <c r="F697"/>
  <c r="F996"/>
  <c r="F816"/>
  <c r="F894"/>
  <c r="F778"/>
  <c r="F842"/>
  <c r="F935"/>
  <c r="F720"/>
  <c r="F575"/>
  <c r="F973"/>
  <c r="F855"/>
  <c r="F1004"/>
  <c r="F875"/>
  <c r="F705"/>
  <c r="F830"/>
  <c r="F658"/>
  <c r="F748"/>
  <c r="F643"/>
  <c r="F655"/>
  <c r="F767"/>
  <c r="F609"/>
  <c r="F1053"/>
  <c r="F1060"/>
  <c r="F757"/>
  <c r="F730"/>
  <c r="F794"/>
  <c r="F819"/>
  <c r="F663"/>
  <c r="F644"/>
  <c r="F955"/>
  <c r="F916"/>
  <c r="F776"/>
  <c r="F829"/>
  <c r="F594"/>
  <c r="F871"/>
  <c r="F600"/>
  <c r="F960"/>
  <c r="B231" i="23"/>
  <c r="B232" s="1"/>
  <c r="C210"/>
  <c r="C211" s="1"/>
  <c r="C215" s="1"/>
  <c r="C231"/>
  <c r="C232" s="1"/>
  <c r="D38"/>
  <c r="D39" s="1"/>
  <c r="D172" s="1"/>
  <c r="D173" s="1"/>
  <c r="J13" i="33" s="1"/>
  <c r="E240" i="23"/>
  <c r="B4" i="34"/>
  <c r="B56" i="23"/>
  <c r="B55"/>
  <c r="B116"/>
  <c r="B117"/>
  <c r="B210"/>
  <c r="B211" s="1"/>
  <c r="B215" s="1"/>
  <c r="E537" i="33"/>
  <c r="E4"/>
  <c r="C226" i="23"/>
  <c r="B538" i="33"/>
  <c r="B539" s="1"/>
  <c r="D226" i="23"/>
  <c r="D227" s="1"/>
  <c r="D228" s="1"/>
  <c r="D230" s="1"/>
  <c r="B4" i="33" s="1"/>
  <c r="Q9"/>
  <c r="B5" i="34"/>
  <c r="E6" s="1"/>
  <c r="F429" i="33"/>
  <c r="F188"/>
  <c r="F476"/>
  <c r="F389"/>
  <c r="F443"/>
  <c r="F29"/>
  <c r="F323"/>
  <c r="F264"/>
  <c r="F42"/>
  <c r="F75"/>
  <c r="F277"/>
  <c r="F161"/>
  <c r="F477"/>
  <c r="F468"/>
  <c r="F162"/>
  <c r="F159"/>
  <c r="F202"/>
  <c r="F226"/>
  <c r="F436"/>
  <c r="F516"/>
  <c r="F243"/>
  <c r="F241"/>
  <c r="F488"/>
  <c r="F356"/>
  <c r="F337"/>
  <c r="F403"/>
  <c r="F432"/>
  <c r="F493"/>
  <c r="F32"/>
  <c r="F210"/>
  <c r="F390"/>
  <c r="F304"/>
  <c r="F328"/>
  <c r="F514"/>
  <c r="F79"/>
  <c r="F128"/>
  <c r="F254"/>
  <c r="F61"/>
  <c r="F230"/>
  <c r="F122"/>
  <c r="F519"/>
  <c r="F184"/>
  <c r="F126"/>
  <c r="F378"/>
  <c r="F151"/>
  <c r="F212"/>
  <c r="F44"/>
  <c r="F423"/>
  <c r="F462"/>
  <c r="F170"/>
  <c r="F306"/>
  <c r="F168"/>
  <c r="F380"/>
  <c r="F80"/>
  <c r="F286"/>
  <c r="F345"/>
  <c r="F305"/>
  <c r="F223"/>
  <c r="F421"/>
  <c r="F58"/>
  <c r="F363"/>
  <c r="F100"/>
  <c r="F72"/>
  <c r="F262"/>
  <c r="F235"/>
  <c r="F402"/>
  <c r="F120"/>
  <c r="F327"/>
  <c r="F233"/>
  <c r="F482"/>
  <c r="F109"/>
  <c r="F404"/>
  <c r="F23"/>
  <c r="F81"/>
  <c r="F461"/>
  <c r="F437"/>
  <c r="F30"/>
  <c r="F33"/>
  <c r="F455"/>
  <c r="F135"/>
  <c r="F481"/>
  <c r="F60"/>
  <c r="F53"/>
  <c r="F295"/>
  <c r="F489"/>
  <c r="F420"/>
  <c r="F496"/>
  <c r="F246"/>
  <c r="F252"/>
  <c r="F324"/>
  <c r="F108"/>
  <c r="F152"/>
  <c r="F459"/>
  <c r="F348"/>
  <c r="F216"/>
  <c r="F440"/>
  <c r="F415"/>
  <c r="F395"/>
  <c r="F59"/>
  <c r="F426"/>
  <c r="F191"/>
  <c r="F90"/>
  <c r="F297"/>
  <c r="F332"/>
  <c r="F503"/>
  <c r="F464"/>
  <c r="F140"/>
  <c r="F498"/>
  <c r="F446"/>
  <c r="F25"/>
  <c r="F369"/>
  <c r="F91"/>
  <c r="F350"/>
  <c r="F148"/>
  <c r="F48"/>
  <c r="F163"/>
  <c r="F171"/>
  <c r="F256"/>
  <c r="F293"/>
  <c r="F195"/>
  <c r="F500"/>
  <c r="F492"/>
  <c r="F47"/>
  <c r="F300"/>
  <c r="F484"/>
  <c r="F408"/>
  <c r="F509"/>
  <c r="F287"/>
  <c r="F197"/>
  <c r="F475"/>
  <c r="F289"/>
  <c r="F427"/>
  <c r="F31"/>
  <c r="F283"/>
  <c r="F483"/>
  <c r="F375"/>
  <c r="F339"/>
  <c r="F359"/>
  <c r="F439"/>
  <c r="F518"/>
  <c r="F383"/>
  <c r="F166"/>
  <c r="E5"/>
  <c r="F285"/>
  <c r="F248"/>
  <c r="F198"/>
  <c r="F425"/>
  <c r="F265"/>
  <c r="F251"/>
  <c r="F485"/>
  <c r="F250"/>
  <c r="F99"/>
  <c r="F259"/>
  <c r="F512"/>
  <c r="F54"/>
  <c r="F528"/>
  <c r="F386"/>
  <c r="F88"/>
  <c r="F38"/>
  <c r="F320"/>
  <c r="F194"/>
  <c r="F310"/>
  <c r="F228"/>
  <c r="F355"/>
  <c r="F82"/>
  <c r="F137"/>
  <c r="F269"/>
  <c r="F428"/>
  <c r="F204"/>
  <c r="F525"/>
  <c r="F376"/>
  <c r="F517"/>
  <c r="F331"/>
  <c r="F329"/>
  <c r="F180"/>
  <c r="F116"/>
  <c r="F346"/>
  <c r="F391"/>
  <c r="F392"/>
  <c r="F458"/>
  <c r="F362"/>
  <c r="F358"/>
  <c r="F98"/>
  <c r="F153"/>
  <c r="F222"/>
  <c r="F401"/>
  <c r="F28"/>
  <c r="F308"/>
  <c r="F225"/>
  <c r="F77"/>
  <c r="F57"/>
  <c r="F280"/>
  <c r="F157"/>
  <c r="F523"/>
  <c r="F134"/>
  <c r="F449"/>
  <c r="F467"/>
  <c r="F220"/>
  <c r="F34"/>
  <c r="F247"/>
  <c r="F373"/>
  <c r="F193"/>
  <c r="F112"/>
  <c r="F189"/>
  <c r="F154"/>
  <c r="F353"/>
  <c r="F387"/>
  <c r="F396"/>
  <c r="F255"/>
  <c r="F494"/>
  <c r="F367"/>
  <c r="F370"/>
  <c r="F173"/>
  <c r="F499"/>
  <c r="F442"/>
  <c r="F490"/>
  <c r="F357"/>
  <c r="F480"/>
  <c r="F149"/>
  <c r="F338"/>
  <c r="F344"/>
  <c r="F486"/>
  <c r="F322"/>
  <c r="F299"/>
  <c r="F205"/>
  <c r="F55"/>
  <c r="F278"/>
  <c r="F471"/>
  <c r="F281"/>
  <c r="F130"/>
  <c r="F457"/>
  <c r="F307"/>
  <c r="F257"/>
  <c r="F70"/>
  <c r="F456"/>
  <c r="F447"/>
  <c r="F260"/>
  <c r="F275"/>
  <c r="F469"/>
  <c r="F508"/>
  <c r="F84"/>
  <c r="F501"/>
  <c r="F267"/>
  <c r="F22"/>
  <c r="F520"/>
  <c r="F377"/>
  <c r="F107"/>
  <c r="F374"/>
  <c r="F199"/>
  <c r="F242"/>
  <c r="F418"/>
  <c r="F176"/>
  <c r="F342"/>
  <c r="F218"/>
  <c r="F325"/>
  <c r="F27"/>
  <c r="F513"/>
  <c r="F372"/>
  <c r="F158"/>
  <c r="F132"/>
  <c r="F186"/>
  <c r="F411"/>
  <c r="F290"/>
  <c r="F412"/>
  <c r="F236"/>
  <c r="F451"/>
  <c r="F89"/>
  <c r="F111"/>
  <c r="F472"/>
  <c r="F164"/>
  <c r="F139"/>
  <c r="F414"/>
  <c r="F343"/>
  <c r="F165"/>
  <c r="F371"/>
  <c r="F56"/>
  <c r="F206"/>
  <c r="F452"/>
  <c r="F178"/>
  <c r="F37"/>
  <c r="F245"/>
  <c r="F190"/>
  <c r="F284"/>
  <c r="F93"/>
  <c r="F394"/>
  <c r="F505"/>
  <c r="F352"/>
  <c r="F110"/>
  <c r="F133"/>
  <c r="F406"/>
  <c r="F317"/>
  <c r="F87"/>
  <c r="F146"/>
  <c r="F215"/>
  <c r="F311"/>
  <c r="F316"/>
  <c r="F385"/>
  <c r="F119"/>
  <c r="F296"/>
  <c r="F63"/>
  <c r="F231"/>
  <c r="F333"/>
  <c r="F303"/>
  <c r="F434"/>
  <c r="F409"/>
  <c r="F156"/>
  <c r="F177"/>
  <c r="F131"/>
  <c r="F507"/>
  <c r="F448"/>
  <c r="F76"/>
  <c r="F145"/>
  <c r="F78"/>
  <c r="F40"/>
  <c r="F26"/>
  <c r="F143"/>
  <c r="F123"/>
  <c r="F301"/>
  <c r="F506"/>
  <c r="F68"/>
  <c r="F368"/>
  <c r="F73"/>
  <c r="F85"/>
  <c r="F240"/>
  <c r="F463"/>
  <c r="F67"/>
  <c r="F239"/>
  <c r="F398"/>
  <c r="F238"/>
  <c r="F435"/>
  <c r="F35"/>
  <c r="F381"/>
  <c r="F470"/>
  <c r="F487"/>
  <c r="F294"/>
  <c r="F526"/>
  <c r="F410"/>
  <c r="F183"/>
  <c r="F416"/>
  <c r="F46"/>
  <c r="F224"/>
  <c r="F114"/>
  <c r="F253"/>
  <c r="F36"/>
  <c r="F454"/>
  <c r="F19"/>
  <c r="F121"/>
  <c r="F497"/>
  <c r="F347"/>
  <c r="F276"/>
  <c r="F441"/>
  <c r="F321"/>
  <c r="F39"/>
  <c r="F182"/>
  <c r="F208"/>
  <c r="F144"/>
  <c r="F43"/>
  <c r="F478"/>
  <c r="F160"/>
  <c r="F125"/>
  <c r="F181"/>
  <c r="F24"/>
  <c r="F502"/>
  <c r="F515"/>
  <c r="F211"/>
  <c r="F249"/>
  <c r="F200"/>
  <c r="F318"/>
  <c r="F438"/>
  <c r="F334"/>
  <c r="F175"/>
  <c r="F397"/>
  <c r="F312"/>
  <c r="F340"/>
  <c r="F104"/>
  <c r="F147"/>
  <c r="F424"/>
  <c r="F341"/>
  <c r="F203"/>
  <c r="F196"/>
  <c r="F103"/>
  <c r="F524"/>
  <c r="F366"/>
  <c r="F399"/>
  <c r="F74"/>
  <c r="F101"/>
  <c r="F354"/>
  <c r="F292"/>
  <c r="F244"/>
  <c r="F473"/>
  <c r="F504"/>
  <c r="F105"/>
  <c r="F302"/>
  <c r="F495"/>
  <c r="F430"/>
  <c r="F407"/>
  <c r="F315"/>
  <c r="F92"/>
  <c r="F179"/>
  <c r="F127"/>
  <c r="F66"/>
  <c r="F510"/>
  <c r="F172"/>
  <c r="F138"/>
  <c r="F360"/>
  <c r="F258"/>
  <c r="F167"/>
  <c r="F142"/>
  <c r="F479"/>
  <c r="F49"/>
  <c r="F335"/>
  <c r="F319"/>
  <c r="F95"/>
  <c r="F62"/>
  <c r="F169"/>
  <c r="F117"/>
  <c r="F384"/>
  <c r="F113"/>
  <c r="F361"/>
  <c r="F466"/>
  <c r="F270"/>
  <c r="F491"/>
  <c r="F268"/>
  <c r="F96"/>
  <c r="F288"/>
  <c r="F209"/>
  <c r="F271"/>
  <c r="F274"/>
  <c r="F266"/>
  <c r="F314"/>
  <c r="F527"/>
  <c r="F232"/>
  <c r="F511"/>
  <c r="F291"/>
  <c r="F51"/>
  <c r="F351"/>
  <c r="F279"/>
  <c r="F326"/>
  <c r="F97"/>
  <c r="F529"/>
  <c r="F221"/>
  <c r="F365"/>
  <c r="F234"/>
  <c r="F453"/>
  <c r="F50"/>
  <c r="F227"/>
  <c r="F433"/>
  <c r="F460"/>
  <c r="F71"/>
  <c r="F174"/>
  <c r="F273"/>
  <c r="F237"/>
  <c r="F217"/>
  <c r="F379"/>
  <c r="F422"/>
  <c r="F20"/>
  <c r="F521"/>
  <c r="F64"/>
  <c r="F155"/>
  <c r="F21"/>
  <c r="F86"/>
  <c r="F185"/>
  <c r="F450"/>
  <c r="F83"/>
  <c r="F364"/>
  <c r="F522"/>
  <c r="F444"/>
  <c r="F474"/>
  <c r="F213"/>
  <c r="F214"/>
  <c r="F106"/>
  <c r="F65"/>
  <c r="F272"/>
  <c r="F313"/>
  <c r="F336"/>
  <c r="F388"/>
  <c r="F18"/>
  <c r="F94"/>
  <c r="F465"/>
  <c r="F445"/>
  <c r="F405"/>
  <c r="F413"/>
  <c r="F129"/>
  <c r="F229"/>
  <c r="F192"/>
  <c r="F136"/>
  <c r="F261"/>
  <c r="F400"/>
  <c r="F141"/>
  <c r="F45"/>
  <c r="F187"/>
  <c r="F263"/>
  <c r="F330"/>
  <c r="F309"/>
  <c r="F201"/>
  <c r="F419"/>
  <c r="F393"/>
  <c r="F102"/>
  <c r="F150"/>
  <c r="F298"/>
  <c r="F115"/>
  <c r="F207"/>
  <c r="F69"/>
  <c r="F219"/>
  <c r="F52"/>
  <c r="F124"/>
  <c r="F349"/>
  <c r="F382"/>
  <c r="F118"/>
  <c r="F282"/>
  <c r="F41"/>
  <c r="F417"/>
  <c r="F431"/>
  <c r="C209" i="23"/>
  <c r="C116"/>
  <c r="C117"/>
  <c r="C56"/>
  <c r="C55"/>
  <c r="E116"/>
  <c r="E117"/>
  <c r="E56"/>
  <c r="E55"/>
  <c r="J539" i="33"/>
  <c r="L539"/>
  <c r="K539"/>
  <c r="E3"/>
  <c r="B47" i="34"/>
  <c r="E226" i="23"/>
  <c r="E227" s="1"/>
  <c r="E228" s="1"/>
  <c r="E230" s="1"/>
  <c r="B537" i="33" s="1"/>
  <c r="D231" i="23"/>
  <c r="D232" s="1"/>
  <c r="K6" i="33"/>
  <c r="L6"/>
  <c r="J6"/>
  <c r="B46" i="34"/>
  <c r="Q545" i="33"/>
  <c r="B45" i="34"/>
  <c r="C38" i="23"/>
  <c r="D55"/>
  <c r="D56"/>
  <c r="D116"/>
  <c r="D117"/>
  <c r="B177"/>
  <c r="B178"/>
  <c r="C177"/>
  <c r="C178"/>
  <c r="B209"/>
  <c r="X43" i="2"/>
  <c r="E172" i="23"/>
  <c r="E173" s="1"/>
  <c r="J546" i="33" s="1"/>
  <c r="J543"/>
  <c r="E27" i="34"/>
  <c r="L1054" i="33"/>
  <c r="E30" i="34"/>
  <c r="L1029" i="33"/>
  <c r="L684"/>
  <c r="E28" i="34"/>
  <c r="L783" i="33"/>
  <c r="L786"/>
  <c r="M543"/>
  <c r="M544"/>
  <c r="B60" i="23"/>
  <c r="C60"/>
  <c r="E60"/>
  <c r="D59"/>
  <c r="B182"/>
  <c r="B121"/>
  <c r="C121"/>
  <c r="E121"/>
  <c r="D121"/>
  <c r="C183"/>
  <c r="B234"/>
  <c r="J2" i="33"/>
  <c r="B120" i="23"/>
  <c r="C120"/>
  <c r="E120"/>
  <c r="D120"/>
  <c r="C182"/>
  <c r="D234"/>
  <c r="B235"/>
  <c r="B59"/>
  <c r="C59"/>
  <c r="E59"/>
  <c r="D60"/>
  <c r="B183"/>
  <c r="D235"/>
  <c r="L1027" i="33" l="1"/>
  <c r="L808"/>
  <c r="L883"/>
  <c r="L576"/>
  <c r="E69" i="34"/>
  <c r="L1043" i="33"/>
  <c r="E70" i="34"/>
  <c r="L659" i="33"/>
  <c r="L855"/>
  <c r="L811"/>
  <c r="L620"/>
  <c r="L656"/>
  <c r="L1031"/>
  <c r="L864"/>
  <c r="L1062"/>
  <c r="L634"/>
  <c r="L871"/>
  <c r="L1004"/>
  <c r="L820"/>
  <c r="L737"/>
  <c r="L627"/>
  <c r="L853"/>
  <c r="L898"/>
  <c r="L653"/>
  <c r="L750"/>
  <c r="L643"/>
  <c r="L943"/>
  <c r="L672"/>
  <c r="L1001"/>
  <c r="L927"/>
  <c r="L918"/>
  <c r="L764"/>
  <c r="L769"/>
  <c r="L794"/>
  <c r="L573"/>
  <c r="L921"/>
  <c r="L822"/>
  <c r="L849"/>
  <c r="L838"/>
  <c r="L1006"/>
  <c r="L579"/>
  <c r="L735"/>
  <c r="L640"/>
  <c r="L561"/>
  <c r="L1037"/>
  <c r="L698"/>
  <c r="L577"/>
  <c r="L651"/>
  <c r="L593"/>
  <c r="L728"/>
  <c r="L821"/>
  <c r="L761"/>
  <c r="L714"/>
  <c r="L959"/>
  <c r="L758"/>
  <c r="L879"/>
  <c r="L1058"/>
  <c r="L1033"/>
  <c r="L801"/>
  <c r="L924"/>
  <c r="L700"/>
  <c r="L1011"/>
  <c r="L852"/>
  <c r="L939"/>
  <c r="L678"/>
  <c r="L605"/>
  <c r="L712"/>
  <c r="L575"/>
  <c r="L961"/>
  <c r="L894"/>
  <c r="L699"/>
  <c r="L711"/>
  <c r="L903"/>
  <c r="L612"/>
  <c r="L962"/>
  <c r="L929"/>
  <c r="L935"/>
  <c r="L972"/>
  <c r="L799"/>
  <c r="L608"/>
  <c r="L625"/>
  <c r="L814"/>
  <c r="L942"/>
  <c r="L843"/>
  <c r="L691"/>
  <c r="L893"/>
  <c r="L856"/>
  <c r="L597"/>
  <c r="L1018"/>
  <c r="L889"/>
  <c r="L1014"/>
  <c r="L877"/>
  <c r="L681"/>
  <c r="L891"/>
  <c r="L638"/>
  <c r="L907"/>
  <c r="L948"/>
  <c r="L713"/>
  <c r="L1039"/>
  <c r="L848"/>
  <c r="L1041"/>
  <c r="L1055"/>
  <c r="L957"/>
  <c r="L369"/>
  <c r="L720"/>
  <c r="E49" i="34"/>
  <c r="L817" i="33"/>
  <c r="E52" i="34"/>
  <c r="L73" i="33"/>
  <c r="L394"/>
  <c r="L131"/>
  <c r="L293"/>
  <c r="L183"/>
  <c r="L513"/>
  <c r="L140"/>
  <c r="L295"/>
  <c r="L481"/>
  <c r="L59"/>
  <c r="L23"/>
  <c r="L234"/>
  <c r="L75"/>
  <c r="L506"/>
  <c r="L383"/>
  <c r="L118"/>
  <c r="L32"/>
  <c r="L780"/>
  <c r="L617"/>
  <c r="L739"/>
  <c r="L762"/>
  <c r="L636"/>
  <c r="L768"/>
  <c r="L905"/>
  <c r="L940"/>
  <c r="L595"/>
  <c r="L953"/>
  <c r="L586"/>
  <c r="L861"/>
  <c r="L743"/>
  <c r="L707"/>
  <c r="L858"/>
  <c r="L610"/>
  <c r="L980"/>
  <c r="L1060"/>
  <c r="L725"/>
  <c r="E12" i="34"/>
  <c r="L956" i="33"/>
  <c r="L818"/>
  <c r="L926"/>
  <c r="L679"/>
  <c r="L965"/>
  <c r="L726"/>
  <c r="L998"/>
  <c r="L701"/>
  <c r="L626"/>
  <c r="L749"/>
  <c r="L729"/>
  <c r="L693"/>
  <c r="L881"/>
  <c r="L847"/>
  <c r="L680"/>
  <c r="L975"/>
  <c r="L578"/>
  <c r="L857"/>
  <c r="L773"/>
  <c r="L841"/>
  <c r="L646"/>
  <c r="L831"/>
  <c r="L570"/>
  <c r="L614"/>
  <c r="L676"/>
  <c r="L823"/>
  <c r="L564"/>
  <c r="L896"/>
  <c r="L892"/>
  <c r="L955"/>
  <c r="L1013"/>
  <c r="L652"/>
  <c r="L635"/>
  <c r="L696"/>
  <c r="L805"/>
  <c r="L628"/>
  <c r="L583"/>
  <c r="L788"/>
  <c r="L689"/>
  <c r="L674"/>
  <c r="L968"/>
  <c r="L571"/>
  <c r="L977"/>
  <c r="L721"/>
  <c r="L669"/>
  <c r="L789"/>
  <c r="L757"/>
  <c r="L702"/>
  <c r="L630"/>
  <c r="L834"/>
  <c r="L844"/>
  <c r="L873"/>
  <c r="L868"/>
  <c r="L654"/>
  <c r="L754"/>
  <c r="L885"/>
  <c r="L958"/>
  <c r="L1012"/>
  <c r="L859"/>
  <c r="L983"/>
  <c r="L753"/>
  <c r="L796"/>
  <c r="L790"/>
  <c r="L866"/>
  <c r="L1036"/>
  <c r="L763"/>
  <c r="L745"/>
  <c r="L899"/>
  <c r="L863"/>
  <c r="L752"/>
  <c r="L785"/>
  <c r="L875"/>
  <c r="L685"/>
  <c r="L569"/>
  <c r="L982"/>
  <c r="L649"/>
  <c r="L584"/>
  <c r="L695"/>
  <c r="L886"/>
  <c r="L594"/>
  <c r="L1017"/>
  <c r="L1024"/>
  <c r="L644"/>
  <c r="L1045"/>
  <c r="L911"/>
  <c r="L1009"/>
  <c r="L791"/>
  <c r="L908"/>
  <c r="L655"/>
  <c r="L897"/>
  <c r="L835"/>
  <c r="L580"/>
  <c r="L969"/>
  <c r="L946"/>
  <c r="L1035"/>
  <c r="L815"/>
  <c r="E24" i="34"/>
  <c r="L876" i="33"/>
  <c r="L632"/>
  <c r="L909"/>
  <c r="L854"/>
  <c r="L997"/>
  <c r="L928"/>
  <c r="L1020"/>
  <c r="L914"/>
  <c r="L986"/>
  <c r="L648"/>
  <c r="L1047"/>
  <c r="L589"/>
  <c r="L562"/>
  <c r="L736"/>
  <c r="L642"/>
  <c r="L645"/>
  <c r="L667"/>
  <c r="L574"/>
  <c r="L688"/>
  <c r="L703"/>
  <c r="E10" i="34"/>
  <c r="L572" i="33"/>
  <c r="L784"/>
  <c r="L560"/>
  <c r="L566"/>
  <c r="L1023"/>
  <c r="L809"/>
  <c r="L1051"/>
  <c r="L742"/>
  <c r="L925"/>
  <c r="L765"/>
  <c r="L613"/>
  <c r="E7" i="34"/>
  <c r="L800" i="33"/>
  <c r="L747"/>
  <c r="L599"/>
  <c r="L947"/>
  <c r="L604"/>
  <c r="L682"/>
  <c r="L694"/>
  <c r="L619"/>
  <c r="L759"/>
  <c r="L913"/>
  <c r="L987"/>
  <c r="L778"/>
  <c r="L964"/>
  <c r="L1059"/>
  <c r="L663"/>
  <c r="L945"/>
  <c r="L837"/>
  <c r="L724"/>
  <c r="L722"/>
  <c r="L916"/>
  <c r="L1038"/>
  <c r="L661"/>
  <c r="L901"/>
  <c r="L1030"/>
  <c r="L880"/>
  <c r="L865"/>
  <c r="L719"/>
  <c r="L709"/>
  <c r="L671"/>
  <c r="L934"/>
  <c r="L890"/>
  <c r="L979"/>
  <c r="L563"/>
  <c r="E8" i="34"/>
  <c r="L810" i="33"/>
  <c r="L1034"/>
  <c r="L732"/>
  <c r="L677"/>
  <c r="L936"/>
  <c r="L920"/>
  <c r="L1046"/>
  <c r="L1052"/>
  <c r="L845"/>
  <c r="L587"/>
  <c r="L639"/>
  <c r="L621"/>
  <c r="L673"/>
  <c r="L990"/>
  <c r="L950"/>
  <c r="L812"/>
  <c r="L554"/>
  <c r="L664"/>
  <c r="L804"/>
  <c r="L836"/>
  <c r="L824"/>
  <c r="L731"/>
  <c r="L1019"/>
  <c r="L884"/>
  <c r="L978"/>
  <c r="L704"/>
  <c r="L976"/>
  <c r="L985"/>
  <c r="L949"/>
  <c r="L596"/>
  <c r="L795"/>
  <c r="L792"/>
  <c r="E25" i="34"/>
  <c r="L807" i="33"/>
  <c r="L588"/>
  <c r="L970"/>
  <c r="L992"/>
  <c r="L740"/>
  <c r="L603"/>
  <c r="L692"/>
  <c r="L826"/>
  <c r="L860"/>
  <c r="L771"/>
  <c r="L609"/>
  <c r="L1022"/>
  <c r="L793"/>
  <c r="L1010"/>
  <c r="L585"/>
  <c r="L991"/>
  <c r="L631"/>
  <c r="L746"/>
  <c r="L938"/>
  <c r="L556"/>
  <c r="L675"/>
  <c r="L658"/>
  <c r="L802"/>
  <c r="L716"/>
  <c r="L960"/>
  <c r="L963"/>
  <c r="L622"/>
  <c r="L668"/>
  <c r="L755"/>
  <c r="L954"/>
  <c r="L565"/>
  <c r="L830"/>
  <c r="L618"/>
  <c r="L782"/>
  <c r="L862"/>
  <c r="L662"/>
  <c r="L887"/>
  <c r="L878"/>
  <c r="L710"/>
  <c r="L816"/>
  <c r="L803"/>
  <c r="L1000"/>
  <c r="L650"/>
  <c r="L1049"/>
  <c r="L641"/>
  <c r="L781"/>
  <c r="L1007"/>
  <c r="L559"/>
  <c r="L915"/>
  <c r="L974"/>
  <c r="L872"/>
  <c r="L611"/>
  <c r="E29" i="34"/>
  <c r="L1032" i="33"/>
  <c r="L869"/>
  <c r="L629"/>
  <c r="L904"/>
  <c r="L1044"/>
  <c r="L1008"/>
  <c r="L851"/>
  <c r="L730"/>
  <c r="L647"/>
  <c r="L616"/>
  <c r="L727"/>
  <c r="L657"/>
  <c r="L601"/>
  <c r="L971"/>
  <c r="L900"/>
  <c r="L733"/>
  <c r="L637"/>
  <c r="L687"/>
  <c r="L839"/>
  <c r="L770"/>
  <c r="L555"/>
  <c r="L1028"/>
  <c r="L1061"/>
  <c r="L606"/>
  <c r="L1021"/>
  <c r="L686"/>
  <c r="L553"/>
  <c r="L705"/>
  <c r="L683"/>
  <c r="L912"/>
  <c r="L567"/>
  <c r="L1016"/>
  <c r="E11" i="34"/>
  <c r="L748" i="33"/>
  <c r="L951"/>
  <c r="L988"/>
  <c r="L902"/>
  <c r="L665"/>
  <c r="L846"/>
  <c r="L718"/>
  <c r="L787"/>
  <c r="L867"/>
  <c r="L973"/>
  <c r="L996"/>
  <c r="L734"/>
  <c r="L715"/>
  <c r="L741"/>
  <c r="L797"/>
  <c r="L772"/>
  <c r="L591"/>
  <c r="L600"/>
  <c r="L923"/>
  <c r="L995"/>
  <c r="L833"/>
  <c r="L607"/>
  <c r="L952"/>
  <c r="L819"/>
  <c r="L842"/>
  <c r="L1015"/>
  <c r="L1048"/>
  <c r="L944"/>
  <c r="L906"/>
  <c r="L850"/>
  <c r="L666"/>
  <c r="L981"/>
  <c r="E13" i="34"/>
  <c r="L919" i="33"/>
  <c r="L557"/>
  <c r="L1026"/>
  <c r="L551"/>
  <c r="L1005"/>
  <c r="L779"/>
  <c r="L922"/>
  <c r="L590"/>
  <c r="L738"/>
  <c r="L670"/>
  <c r="E9" i="34"/>
  <c r="L994" i="33"/>
  <c r="L1002"/>
  <c r="L984"/>
  <c r="L623"/>
  <c r="L751"/>
  <c r="L1042"/>
  <c r="L917"/>
  <c r="L1056"/>
  <c r="L888"/>
  <c r="L723"/>
  <c r="L633"/>
  <c r="L766"/>
  <c r="E23" i="34"/>
  <c r="L933" i="33"/>
  <c r="E72" i="34"/>
  <c r="L708" i="33"/>
  <c r="L910"/>
  <c r="L1053"/>
  <c r="L840"/>
  <c r="L602"/>
  <c r="E65" i="34"/>
  <c r="E48"/>
  <c r="E54"/>
  <c r="E50"/>
  <c r="L690" i="33"/>
  <c r="E67" i="34"/>
  <c r="E71"/>
  <c r="E53"/>
  <c r="L874" i="33"/>
  <c r="L813"/>
  <c r="E66" i="34"/>
  <c r="L430" i="33"/>
  <c r="L273"/>
  <c r="L472"/>
  <c r="L387"/>
  <c r="L405"/>
  <c r="L77"/>
  <c r="L63"/>
  <c r="L197"/>
  <c r="L49"/>
  <c r="L411"/>
  <c r="L354"/>
  <c r="L278"/>
  <c r="L453"/>
  <c r="L448"/>
  <c r="L450"/>
  <c r="L138"/>
  <c r="L335"/>
  <c r="L402"/>
  <c r="L296"/>
  <c r="L67"/>
  <c r="L203"/>
  <c r="L58"/>
  <c r="L37"/>
  <c r="L104"/>
  <c r="L134"/>
  <c r="L142"/>
  <c r="L514"/>
  <c r="L341"/>
  <c r="L280"/>
  <c r="L379"/>
  <c r="L464"/>
  <c r="L338"/>
  <c r="L217"/>
  <c r="L320"/>
  <c r="L245"/>
  <c r="L520"/>
  <c r="L384"/>
  <c r="L420"/>
  <c r="L357"/>
  <c r="L305"/>
  <c r="L42"/>
  <c r="L460"/>
  <c r="L398"/>
  <c r="L94"/>
  <c r="L153"/>
  <c r="L191"/>
  <c r="L301"/>
  <c r="L444"/>
  <c r="E47" i="34"/>
  <c r="E51"/>
  <c r="L169" i="33"/>
  <c r="L150"/>
  <c r="L441"/>
  <c r="L144"/>
  <c r="L454"/>
  <c r="L39"/>
  <c r="L66"/>
  <c r="L414"/>
  <c r="L313"/>
  <c r="L251"/>
  <c r="L366"/>
  <c r="L186"/>
  <c r="L115"/>
  <c r="L133"/>
  <c r="L437"/>
  <c r="L528"/>
  <c r="L180"/>
  <c r="L155"/>
  <c r="L431"/>
  <c r="L92"/>
  <c r="L340"/>
  <c r="L112"/>
  <c r="L243"/>
  <c r="L154"/>
  <c r="L46"/>
  <c r="L117"/>
  <c r="L109"/>
  <c r="L277"/>
  <c r="L213"/>
  <c r="L327"/>
  <c r="L344"/>
  <c r="L44"/>
  <c r="L47"/>
  <c r="L281"/>
  <c r="L358"/>
  <c r="L400"/>
  <c r="L395"/>
  <c r="L236"/>
  <c r="L158"/>
  <c r="L70"/>
  <c r="L418"/>
  <c r="L406"/>
  <c r="L403"/>
  <c r="L504"/>
  <c r="L363"/>
  <c r="L146"/>
  <c r="L445"/>
  <c r="L396"/>
  <c r="L359"/>
  <c r="L326"/>
  <c r="L36"/>
  <c r="L218"/>
  <c r="L317"/>
  <c r="L274"/>
  <c r="L390"/>
  <c r="L113"/>
  <c r="L102"/>
  <c r="L85"/>
  <c r="L175"/>
  <c r="L511"/>
  <c r="L483"/>
  <c r="L106"/>
  <c r="L478"/>
  <c r="L255"/>
  <c r="L828"/>
  <c r="L127"/>
  <c r="L40"/>
  <c r="L50"/>
  <c r="L266"/>
  <c r="L371"/>
  <c r="L360"/>
  <c r="L247"/>
  <c r="L188"/>
  <c r="L322"/>
  <c r="L352"/>
  <c r="L101"/>
  <c r="L45"/>
  <c r="L88"/>
  <c r="L193"/>
  <c r="L310"/>
  <c r="L122"/>
  <c r="L222"/>
  <c r="L53"/>
  <c r="L285"/>
  <c r="L160"/>
  <c r="L419"/>
  <c r="L74"/>
  <c r="L522"/>
  <c r="L97"/>
  <c r="L68"/>
  <c r="L143"/>
  <c r="L521"/>
  <c r="L526"/>
  <c r="L208"/>
  <c r="L334"/>
  <c r="L254"/>
  <c r="L139"/>
  <c r="L492"/>
  <c r="L499"/>
  <c r="L253"/>
  <c r="L178"/>
  <c r="L239"/>
  <c r="L426"/>
  <c r="L367"/>
  <c r="L479"/>
  <c r="L382"/>
  <c r="L348"/>
  <c r="L468"/>
  <c r="L168"/>
  <c r="L306"/>
  <c r="L475"/>
  <c r="L182"/>
  <c r="L297"/>
  <c r="L376"/>
  <c r="L103"/>
  <c r="L25"/>
  <c r="L18"/>
  <c r="L393"/>
  <c r="L185"/>
  <c r="L151"/>
  <c r="L80"/>
  <c r="L417"/>
  <c r="L246"/>
  <c r="L381"/>
  <c r="L57"/>
  <c r="L265"/>
  <c r="L205"/>
  <c r="L329"/>
  <c r="L356"/>
  <c r="D111" i="23"/>
  <c r="D112" s="1"/>
  <c r="L470" i="33"/>
  <c r="L177"/>
  <c r="L71"/>
  <c r="L435"/>
  <c r="L436"/>
  <c r="L78"/>
  <c r="L374"/>
  <c r="L231"/>
  <c r="L174"/>
  <c r="L35"/>
  <c r="L100"/>
  <c r="L48"/>
  <c r="L375"/>
  <c r="L409"/>
  <c r="L263"/>
  <c r="L33"/>
  <c r="L309"/>
  <c r="L238"/>
  <c r="L495"/>
  <c r="L269"/>
  <c r="L465"/>
  <c r="L199"/>
  <c r="L336"/>
  <c r="L61"/>
  <c r="L458"/>
  <c r="L192"/>
  <c r="L497"/>
  <c r="L194"/>
  <c r="L30"/>
  <c r="L226"/>
  <c r="L427"/>
  <c r="L321"/>
  <c r="L181"/>
  <c r="L496"/>
  <c r="L148"/>
  <c r="L276"/>
  <c r="L209"/>
  <c r="L184"/>
  <c r="L508"/>
  <c r="L303"/>
  <c r="L28"/>
  <c r="L316"/>
  <c r="L443"/>
  <c r="L523"/>
  <c r="L126"/>
  <c r="L29"/>
  <c r="L480"/>
  <c r="L490"/>
  <c r="L225"/>
  <c r="L515"/>
  <c r="L270"/>
  <c r="L373"/>
  <c r="L488"/>
  <c r="L232"/>
  <c r="L279"/>
  <c r="L391"/>
  <c r="L52"/>
  <c r="L502"/>
  <c r="L235"/>
  <c r="L261"/>
  <c r="L456"/>
  <c r="L20"/>
  <c r="L423"/>
  <c r="L96"/>
  <c r="L212"/>
  <c r="L210"/>
  <c r="E68" i="34"/>
  <c r="L882" i="33"/>
  <c r="L937"/>
  <c r="L717"/>
  <c r="L774"/>
  <c r="L660"/>
  <c r="L829"/>
  <c r="L1057"/>
  <c r="L895"/>
  <c r="L775"/>
  <c r="L931"/>
  <c r="L744"/>
  <c r="L615"/>
  <c r="L993"/>
  <c r="L806"/>
  <c r="L870"/>
  <c r="B185" i="23"/>
  <c r="B197" s="1"/>
  <c r="B200" s="1"/>
  <c r="B201" s="1"/>
  <c r="D62"/>
  <c r="D73" s="1"/>
  <c r="D107" s="1"/>
  <c r="D108" s="1"/>
  <c r="E64"/>
  <c r="E63"/>
  <c r="E61"/>
  <c r="E68"/>
  <c r="C64"/>
  <c r="C61"/>
  <c r="C63"/>
  <c r="C68"/>
  <c r="B63"/>
  <c r="B68"/>
  <c r="B61"/>
  <c r="B64"/>
  <c r="C189"/>
  <c r="C192"/>
  <c r="C188"/>
  <c r="C184"/>
  <c r="D129"/>
  <c r="D125"/>
  <c r="D124"/>
  <c r="D122"/>
  <c r="E124"/>
  <c r="E122"/>
  <c r="E129"/>
  <c r="E125"/>
  <c r="C124"/>
  <c r="C129"/>
  <c r="C125"/>
  <c r="C122"/>
  <c r="B125"/>
  <c r="B122"/>
  <c r="B124"/>
  <c r="B129"/>
  <c r="J4" i="33"/>
  <c r="C185" i="23"/>
  <c r="C197" s="1"/>
  <c r="C200" s="1"/>
  <c r="C201" s="1"/>
  <c r="D123"/>
  <c r="D134" s="1"/>
  <c r="D168" s="1"/>
  <c r="D169" s="1"/>
  <c r="E123"/>
  <c r="E134" s="1"/>
  <c r="E168" s="1"/>
  <c r="E169" s="1"/>
  <c r="C123"/>
  <c r="C134" s="1"/>
  <c r="C168" s="1"/>
  <c r="C169" s="1"/>
  <c r="AH24" i="2" s="1"/>
  <c r="B123" i="23"/>
  <c r="B134" s="1"/>
  <c r="B168" s="1"/>
  <c r="B169" s="1"/>
  <c r="B184"/>
  <c r="B188"/>
  <c r="B189"/>
  <c r="B192"/>
  <c r="D63"/>
  <c r="D61"/>
  <c r="D68"/>
  <c r="D64"/>
  <c r="E62"/>
  <c r="E73" s="1"/>
  <c r="E107" s="1"/>
  <c r="E108" s="1"/>
  <c r="J709" i="33" s="1"/>
  <c r="K709" s="1"/>
  <c r="C62" i="23"/>
  <c r="C73" s="1"/>
  <c r="C107" s="1"/>
  <c r="C108" s="1"/>
  <c r="B62"/>
  <c r="B73" s="1"/>
  <c r="B107" s="1"/>
  <c r="B108" s="1"/>
  <c r="J23" i="2" s="1"/>
  <c r="L1050" i="33"/>
  <c r="L697"/>
  <c r="L756"/>
  <c r="L552"/>
  <c r="L582"/>
  <c r="L760"/>
  <c r="L706"/>
  <c r="L592"/>
  <c r="L798"/>
  <c r="L777"/>
  <c r="L767"/>
  <c r="L999"/>
  <c r="L966"/>
  <c r="L568"/>
  <c r="L989"/>
  <c r="B264" i="23"/>
  <c r="B266" s="1"/>
  <c r="D274" s="1"/>
  <c r="L219" i="33"/>
  <c r="L434"/>
  <c r="L257"/>
  <c r="L233"/>
  <c r="M233" s="1"/>
  <c r="N233" s="1"/>
  <c r="L121"/>
  <c r="L195"/>
  <c r="L86"/>
  <c r="L461"/>
  <c r="M461" s="1"/>
  <c r="N461" s="1"/>
  <c r="L204"/>
  <c r="L388"/>
  <c r="L312"/>
  <c r="L179"/>
  <c r="M179" s="1"/>
  <c r="N179" s="1"/>
  <c r="L505"/>
  <c r="L164"/>
  <c r="L79"/>
  <c r="L347"/>
  <c r="M347" s="1"/>
  <c r="N347" s="1"/>
  <c r="L509"/>
  <c r="L81"/>
  <c r="L98"/>
  <c r="L510"/>
  <c r="M510" s="1"/>
  <c r="N510" s="1"/>
  <c r="L271"/>
  <c r="L99"/>
  <c r="L429"/>
  <c r="L171"/>
  <c r="M171" s="1"/>
  <c r="N171" s="1"/>
  <c r="L529"/>
  <c r="L123"/>
  <c r="L486"/>
  <c r="L250"/>
  <c r="M250" s="1"/>
  <c r="N250" s="1"/>
  <c r="L455"/>
  <c r="L22"/>
  <c r="L304"/>
  <c r="L190"/>
  <c r="M190" s="1"/>
  <c r="N190" s="1"/>
  <c r="L220"/>
  <c r="L485"/>
  <c r="L60"/>
  <c r="L125"/>
  <c r="M125" s="1"/>
  <c r="N125" s="1"/>
  <c r="L525"/>
  <c r="L416"/>
  <c r="L343"/>
  <c r="L498"/>
  <c r="M498" s="1"/>
  <c r="N498" s="1"/>
  <c r="L425"/>
  <c r="L196"/>
  <c r="L469"/>
  <c r="L170"/>
  <c r="M170" s="1"/>
  <c r="N170" s="1"/>
  <c r="L410"/>
  <c r="L452"/>
  <c r="L389"/>
  <c r="L149"/>
  <c r="M149" s="1"/>
  <c r="N149" s="1"/>
  <c r="L129"/>
  <c r="L330"/>
  <c r="L41"/>
  <c r="L275"/>
  <c r="M275" s="1"/>
  <c r="N275" s="1"/>
  <c r="L318"/>
  <c r="L21"/>
  <c r="L342"/>
  <c r="L440"/>
  <c r="M440" s="1"/>
  <c r="N440" s="1"/>
  <c r="L165"/>
  <c r="L467"/>
  <c r="L386"/>
  <c r="L38"/>
  <c r="M38" s="1"/>
  <c r="N38" s="1"/>
  <c r="L372"/>
  <c r="L207"/>
  <c r="L449"/>
  <c r="L202"/>
  <c r="M202" s="1"/>
  <c r="N202" s="1"/>
  <c r="L95"/>
  <c r="L353"/>
  <c r="L442"/>
  <c r="L211"/>
  <c r="M211" s="1"/>
  <c r="N211" s="1"/>
  <c r="L83"/>
  <c r="L215"/>
  <c r="L325"/>
  <c r="L474"/>
  <c r="M474" s="1"/>
  <c r="N474" s="1"/>
  <c r="L476"/>
  <c r="L291"/>
  <c r="L289"/>
  <c r="L507"/>
  <c r="M507" s="1"/>
  <c r="N507" s="1"/>
  <c r="L252"/>
  <c r="L421"/>
  <c r="L339"/>
  <c r="L365"/>
  <c r="M365" s="1"/>
  <c r="N365" s="1"/>
  <c r="L82"/>
  <c r="L31"/>
  <c r="L84"/>
  <c r="L132"/>
  <c r="M132" s="1"/>
  <c r="N132" s="1"/>
  <c r="L128"/>
  <c r="L248"/>
  <c r="L299"/>
  <c r="L494"/>
  <c r="M494" s="1"/>
  <c r="N494" s="1"/>
  <c r="L364"/>
  <c r="L328"/>
  <c r="L260"/>
  <c r="L201"/>
  <c r="M201" s="1"/>
  <c r="N201" s="1"/>
  <c r="L224"/>
  <c r="L116"/>
  <c r="L130"/>
  <c r="L147"/>
  <c r="M147" s="1"/>
  <c r="N147" s="1"/>
  <c r="L473"/>
  <c r="L43"/>
  <c r="L176"/>
  <c r="L413"/>
  <c r="M413" s="1"/>
  <c r="N413" s="1"/>
  <c r="L412"/>
  <c r="L380"/>
  <c r="L337"/>
  <c r="L189"/>
  <c r="M189" s="1"/>
  <c r="N189" s="1"/>
  <c r="L120"/>
  <c r="L350"/>
  <c r="L385"/>
  <c r="L272"/>
  <c r="M272" s="1"/>
  <c r="N272" s="1"/>
  <c r="L424"/>
  <c r="L466"/>
  <c r="L370"/>
  <c r="L300"/>
  <c r="M300" s="1"/>
  <c r="N300" s="1"/>
  <c r="L34"/>
  <c r="L451"/>
  <c r="L346"/>
  <c r="L172"/>
  <c r="M172" s="1"/>
  <c r="N172" s="1"/>
  <c r="L287"/>
  <c r="L214"/>
  <c r="L361"/>
  <c r="L110"/>
  <c r="M110" s="1"/>
  <c r="N110" s="1"/>
  <c r="L136"/>
  <c r="L512"/>
  <c r="L264"/>
  <c r="L65"/>
  <c r="M65" s="1"/>
  <c r="N65" s="1"/>
  <c r="L163"/>
  <c r="L500"/>
  <c r="L463"/>
  <c r="L401"/>
  <c r="M401" s="1"/>
  <c r="N401" s="1"/>
  <c r="L489"/>
  <c r="L307"/>
  <c r="L198"/>
  <c r="L268"/>
  <c r="M268" s="1"/>
  <c r="N268" s="1"/>
  <c r="L259"/>
  <c r="L237"/>
  <c r="L462"/>
  <c r="L241"/>
  <c r="M241" s="1"/>
  <c r="N241" s="1"/>
  <c r="L93"/>
  <c r="L221"/>
  <c r="L308"/>
  <c r="L166"/>
  <c r="M166" s="1"/>
  <c r="N166" s="1"/>
  <c r="L161"/>
  <c r="L187"/>
  <c r="L324"/>
  <c r="L319"/>
  <c r="M319" s="1"/>
  <c r="N319" s="1"/>
  <c r="L256"/>
  <c r="L298"/>
  <c r="L141"/>
  <c r="L54"/>
  <c r="M54" s="1"/>
  <c r="N54" s="1"/>
  <c r="L439"/>
  <c r="L415"/>
  <c r="L397"/>
  <c r="L124"/>
  <c r="M124" s="1"/>
  <c r="N124" s="1"/>
  <c r="L459"/>
  <c r="L87"/>
  <c r="L216"/>
  <c r="L249"/>
  <c r="M249" s="1"/>
  <c r="N249" s="1"/>
  <c r="L349"/>
  <c r="L230"/>
  <c r="L223"/>
  <c r="L173"/>
  <c r="M173" s="1"/>
  <c r="N173" s="1"/>
  <c r="L135"/>
  <c r="L258"/>
  <c r="L491"/>
  <c r="L487"/>
  <c r="M487" s="1"/>
  <c r="N487" s="1"/>
  <c r="L282"/>
  <c r="L503"/>
  <c r="L89"/>
  <c r="L283"/>
  <c r="M283" s="1"/>
  <c r="N283" s="1"/>
  <c r="L399"/>
  <c r="L323"/>
  <c r="L242"/>
  <c r="L72"/>
  <c r="M72" s="1"/>
  <c r="N72" s="1"/>
  <c r="L362"/>
  <c r="L288"/>
  <c r="L76"/>
  <c r="L477"/>
  <c r="M477" s="1"/>
  <c r="N477" s="1"/>
  <c r="L262"/>
  <c r="L267"/>
  <c r="L206"/>
  <c r="L69"/>
  <c r="M69" s="1"/>
  <c r="N69" s="1"/>
  <c r="L55"/>
  <c r="L524"/>
  <c r="L284"/>
  <c r="L355"/>
  <c r="M355" s="1"/>
  <c r="N355" s="1"/>
  <c r="L62"/>
  <c r="L119"/>
  <c r="L162"/>
  <c r="L311"/>
  <c r="M311" s="1"/>
  <c r="N311" s="1"/>
  <c r="L152"/>
  <c r="L24"/>
  <c r="L114"/>
  <c r="L91"/>
  <c r="M91" s="1"/>
  <c r="N91" s="1"/>
  <c r="L244"/>
  <c r="L294"/>
  <c r="L392"/>
  <c r="L519"/>
  <c r="M519" s="1"/>
  <c r="N519" s="1"/>
  <c r="L200"/>
  <c r="L331"/>
  <c r="L517"/>
  <c r="L292"/>
  <c r="M292" s="1"/>
  <c r="N292" s="1"/>
  <c r="L351"/>
  <c r="L107"/>
  <c r="L368"/>
  <c r="L407"/>
  <c r="M407" s="1"/>
  <c r="N407" s="1"/>
  <c r="L56"/>
  <c r="L228"/>
  <c r="L111"/>
  <c r="L227"/>
  <c r="M227" s="1"/>
  <c r="N227" s="1"/>
  <c r="L518"/>
  <c r="L333"/>
  <c r="L408"/>
  <c r="L108"/>
  <c r="M108" s="1"/>
  <c r="N108" s="1"/>
  <c r="L432"/>
  <c r="L471"/>
  <c r="L159"/>
  <c r="L26"/>
  <c r="M26" s="1"/>
  <c r="N26" s="1"/>
  <c r="L501"/>
  <c r="L428"/>
  <c r="L51"/>
  <c r="L446"/>
  <c r="M446" s="1"/>
  <c r="N446" s="1"/>
  <c r="L378"/>
  <c r="L433"/>
  <c r="L493"/>
  <c r="L314"/>
  <c r="M314" s="1"/>
  <c r="N314" s="1"/>
  <c r="L145"/>
  <c r="L157"/>
  <c r="L156"/>
  <c r="L332"/>
  <c r="M332" s="1"/>
  <c r="N332" s="1"/>
  <c r="L457"/>
  <c r="L302"/>
  <c r="L527"/>
  <c r="L137"/>
  <c r="M137" s="1"/>
  <c r="N137" s="1"/>
  <c r="L516"/>
  <c r="L19"/>
  <c r="L290"/>
  <c r="L404"/>
  <c r="M404" s="1"/>
  <c r="N404" s="1"/>
  <c r="L64"/>
  <c r="L90"/>
  <c r="L484"/>
  <c r="L240"/>
  <c r="M240" s="1"/>
  <c r="N240" s="1"/>
  <c r="L229"/>
  <c r="L345"/>
  <c r="L167"/>
  <c r="L422"/>
  <c r="M422" s="1"/>
  <c r="N422" s="1"/>
  <c r="L447"/>
  <c r="L286"/>
  <c r="L438"/>
  <c r="L315"/>
  <c r="M315" s="1"/>
  <c r="N315" s="1"/>
  <c r="L377"/>
  <c r="L482"/>
  <c r="L105"/>
  <c r="L27"/>
  <c r="M27" s="1"/>
  <c r="N27" s="1"/>
  <c r="L932"/>
  <c r="L967"/>
  <c r="L1040"/>
  <c r="L1003"/>
  <c r="L930"/>
  <c r="L941"/>
  <c r="L1025"/>
  <c r="L581"/>
  <c r="L624"/>
  <c r="L776"/>
  <c r="L832"/>
  <c r="L598"/>
  <c r="C39" i="23"/>
  <c r="C204" s="1"/>
  <c r="C205" s="1"/>
  <c r="C227"/>
  <c r="C228" s="1"/>
  <c r="C230" s="1"/>
  <c r="B536" i="33" s="1"/>
  <c r="C264" i="23"/>
  <c r="C266" s="1"/>
  <c r="E274" s="1"/>
  <c r="M660" i="33" s="1"/>
  <c r="M915"/>
  <c r="E26" i="34"/>
  <c r="L827" i="33"/>
  <c r="L558"/>
  <c r="L825"/>
  <c r="M10"/>
  <c r="M11"/>
  <c r="J559"/>
  <c r="K559" s="1"/>
  <c r="J823"/>
  <c r="K823" s="1"/>
  <c r="J713"/>
  <c r="K713" s="1"/>
  <c r="J923"/>
  <c r="K923" s="1"/>
  <c r="J722"/>
  <c r="K722" s="1"/>
  <c r="J867"/>
  <c r="K867" s="1"/>
  <c r="J600"/>
  <c r="K600" s="1"/>
  <c r="J920"/>
  <c r="K920" s="1"/>
  <c r="J1048"/>
  <c r="K1048" s="1"/>
  <c r="J849"/>
  <c r="K849" s="1"/>
  <c r="J885"/>
  <c r="K885" s="1"/>
  <c r="J592"/>
  <c r="K592" s="1"/>
  <c r="J886"/>
  <c r="K886" s="1"/>
  <c r="J839"/>
  <c r="K839" s="1"/>
  <c r="J584"/>
  <c r="K584" s="1"/>
  <c r="J803"/>
  <c r="K803" s="1"/>
  <c r="J1030"/>
  <c r="K1030" s="1"/>
  <c r="J762"/>
  <c r="K762" s="1"/>
  <c r="J975"/>
  <c r="K975" s="1"/>
  <c r="J682"/>
  <c r="K682" s="1"/>
  <c r="J675"/>
  <c r="K675" s="1"/>
  <c r="J949"/>
  <c r="K949" s="1"/>
  <c r="J890"/>
  <c r="K890" s="1"/>
  <c r="J931"/>
  <c r="K931" s="1"/>
  <c r="J663"/>
  <c r="K663" s="1"/>
  <c r="J1053"/>
  <c r="K1053" s="1"/>
  <c r="J589"/>
  <c r="K589" s="1"/>
  <c r="J786"/>
  <c r="K786" s="1"/>
  <c r="J995"/>
  <c r="K995" s="1"/>
  <c r="J622"/>
  <c r="K622" s="1"/>
  <c r="J553"/>
  <c r="K553" s="1"/>
  <c r="J973"/>
  <c r="K973" s="1"/>
  <c r="J1000"/>
  <c r="K1000" s="1"/>
  <c r="J894"/>
  <c r="K894" s="1"/>
  <c r="J807"/>
  <c r="K807" s="1"/>
  <c r="J806"/>
  <c r="K806" s="1"/>
  <c r="J903"/>
  <c r="K903" s="1"/>
  <c r="J678"/>
  <c r="K678" s="1"/>
  <c r="J900"/>
  <c r="K900" s="1"/>
  <c r="J891"/>
  <c r="K891" s="1"/>
  <c r="J988"/>
  <c r="K988" s="1"/>
  <c r="J633"/>
  <c r="K633" s="1"/>
  <c r="J1019"/>
  <c r="K1019" s="1"/>
  <c r="J892"/>
  <c r="K892" s="1"/>
  <c r="J893"/>
  <c r="K893" s="1"/>
  <c r="J922"/>
  <c r="K922" s="1"/>
  <c r="J758"/>
  <c r="K758" s="1"/>
  <c r="J1041"/>
  <c r="K1041" s="1"/>
  <c r="J753"/>
  <c r="K753" s="1"/>
  <c r="J668"/>
  <c r="K668" s="1"/>
  <c r="J757"/>
  <c r="K757" s="1"/>
  <c r="J664"/>
  <c r="K664" s="1"/>
  <c r="J587"/>
  <c r="K587" s="1"/>
  <c r="J258"/>
  <c r="K258" s="1"/>
  <c r="J297"/>
  <c r="K297" s="1"/>
  <c r="J272"/>
  <c r="K272" s="1"/>
  <c r="J377"/>
  <c r="K377" s="1"/>
  <c r="J36"/>
  <c r="K36" s="1"/>
  <c r="J256"/>
  <c r="K256" s="1"/>
  <c r="J477"/>
  <c r="K477" s="1"/>
  <c r="J139"/>
  <c r="K139" s="1"/>
  <c r="J415"/>
  <c r="K415" s="1"/>
  <c r="J122"/>
  <c r="K122" s="1"/>
  <c r="J492"/>
  <c r="K492" s="1"/>
  <c r="J513"/>
  <c r="K513" s="1"/>
  <c r="J237"/>
  <c r="K237" s="1"/>
  <c r="J282"/>
  <c r="K282" s="1"/>
  <c r="J435"/>
  <c r="K435" s="1"/>
  <c r="J104"/>
  <c r="K104" s="1"/>
  <c r="J76"/>
  <c r="K76" s="1"/>
  <c r="J329"/>
  <c r="K329" s="1"/>
  <c r="J27"/>
  <c r="K27" s="1"/>
  <c r="J121"/>
  <c r="K121" s="1"/>
  <c r="J134"/>
  <c r="K134" s="1"/>
  <c r="J453"/>
  <c r="K453" s="1"/>
  <c r="J216"/>
  <c r="K216" s="1"/>
  <c r="J498"/>
  <c r="K498" s="1"/>
  <c r="J64"/>
  <c r="K64" s="1"/>
  <c r="J96"/>
  <c r="K96" s="1"/>
  <c r="J360"/>
  <c r="K360" s="1"/>
  <c r="J214"/>
  <c r="K214" s="1"/>
  <c r="J71"/>
  <c r="K71" s="1"/>
  <c r="J331"/>
  <c r="K331" s="1"/>
  <c r="J372"/>
  <c r="K372" s="1"/>
  <c r="J504"/>
  <c r="K504" s="1"/>
  <c r="J70"/>
  <c r="K70" s="1"/>
  <c r="J307"/>
  <c r="K307" s="1"/>
  <c r="J348"/>
  <c r="K348" s="1"/>
  <c r="J438"/>
  <c r="K438" s="1"/>
  <c r="J300"/>
  <c r="K300" s="1"/>
  <c r="J519"/>
  <c r="K519" s="1"/>
  <c r="J444"/>
  <c r="K444" s="1"/>
  <c r="J448"/>
  <c r="K448" s="1"/>
  <c r="J469"/>
  <c r="K469" s="1"/>
  <c r="J117"/>
  <c r="K117" s="1"/>
  <c r="J413"/>
  <c r="K413" s="1"/>
  <c r="J478"/>
  <c r="K478" s="1"/>
  <c r="J321"/>
  <c r="K321" s="1"/>
  <c r="J365"/>
  <c r="K365" s="1"/>
  <c r="J47"/>
  <c r="K47" s="1"/>
  <c r="J497"/>
  <c r="K497" s="1"/>
  <c r="J323"/>
  <c r="K323" s="1"/>
  <c r="J46"/>
  <c r="K46" s="1"/>
  <c r="J215"/>
  <c r="K215" s="1"/>
  <c r="J255"/>
  <c r="K255" s="1"/>
  <c r="J128"/>
  <c r="K128" s="1"/>
  <c r="J208"/>
  <c r="K208" s="1"/>
  <c r="J520"/>
  <c r="K520" s="1"/>
  <c r="J517"/>
  <c r="K517" s="1"/>
  <c r="J468"/>
  <c r="K468" s="1"/>
  <c r="J107"/>
  <c r="K107" s="1"/>
  <c r="J195"/>
  <c r="K195" s="1"/>
  <c r="J153"/>
  <c r="K153" s="1"/>
  <c r="J385"/>
  <c r="K385" s="1"/>
  <c r="J486"/>
  <c r="K486" s="1"/>
  <c r="J447"/>
  <c r="K447" s="1"/>
  <c r="J386"/>
  <c r="K386" s="1"/>
  <c r="J145"/>
  <c r="K145" s="1"/>
  <c r="J426"/>
  <c r="K426" s="1"/>
  <c r="J252"/>
  <c r="K252" s="1"/>
  <c r="J409"/>
  <c r="K409" s="1"/>
  <c r="J441"/>
  <c r="K441" s="1"/>
  <c r="J465"/>
  <c r="K465" s="1"/>
  <c r="J228"/>
  <c r="K228" s="1"/>
  <c r="J440"/>
  <c r="K440" s="1"/>
  <c r="J78"/>
  <c r="K78" s="1"/>
  <c r="J21"/>
  <c r="K21" s="1"/>
  <c r="J289"/>
  <c r="K289" s="1"/>
  <c r="J317"/>
  <c r="K317" s="1"/>
  <c r="J191"/>
  <c r="K191" s="1"/>
  <c r="J364"/>
  <c r="K364" s="1"/>
  <c r="J373"/>
  <c r="K373" s="1"/>
  <c r="J340"/>
  <c r="K340" s="1"/>
  <c r="J85"/>
  <c r="K85" s="1"/>
  <c r="J66"/>
  <c r="K66" s="1"/>
  <c r="J458"/>
  <c r="K458" s="1"/>
  <c r="J481"/>
  <c r="K481" s="1"/>
  <c r="J199"/>
  <c r="K199" s="1"/>
  <c r="J146"/>
  <c r="K146" s="1"/>
  <c r="J342"/>
  <c r="K342" s="1"/>
  <c r="J205"/>
  <c r="K205" s="1"/>
  <c r="J149"/>
  <c r="K149" s="1"/>
  <c r="J310"/>
  <c r="K310" s="1"/>
  <c r="J93"/>
  <c r="K93" s="1"/>
  <c r="J160"/>
  <c r="K160" s="1"/>
  <c r="J427"/>
  <c r="K427" s="1"/>
  <c r="J206"/>
  <c r="K206" s="1"/>
  <c r="J312"/>
  <c r="K312" s="1"/>
  <c r="J461"/>
  <c r="K461" s="1"/>
  <c r="J152"/>
  <c r="K152" s="1"/>
  <c r="J261"/>
  <c r="K261" s="1"/>
  <c r="J428"/>
  <c r="K428" s="1"/>
  <c r="J346"/>
  <c r="K346" s="1"/>
  <c r="J190"/>
  <c r="K190" s="1"/>
  <c r="J293"/>
  <c r="K293" s="1"/>
  <c r="J25"/>
  <c r="K25" s="1"/>
  <c r="J460"/>
  <c r="K460" s="1"/>
  <c r="J187"/>
  <c r="K187" s="1"/>
  <c r="J232"/>
  <c r="K232" s="1"/>
  <c r="J108"/>
  <c r="K108" s="1"/>
  <c r="J53"/>
  <c r="K53" s="1"/>
  <c r="B7"/>
  <c r="J238"/>
  <c r="K238" s="1"/>
  <c r="J189"/>
  <c r="K189" s="1"/>
  <c r="J393"/>
  <c r="K393" s="1"/>
  <c r="J434"/>
  <c r="K434" s="1"/>
  <c r="J529"/>
  <c r="K529" s="1"/>
  <c r="J424"/>
  <c r="K424" s="1"/>
  <c r="J83"/>
  <c r="K83" s="1"/>
  <c r="J337"/>
  <c r="K337" s="1"/>
  <c r="J280"/>
  <c r="K280" s="1"/>
  <c r="J19"/>
  <c r="K19" s="1"/>
  <c r="J375"/>
  <c r="K375" s="1"/>
  <c r="J322"/>
  <c r="K322" s="1"/>
  <c r="J430"/>
  <c r="K430" s="1"/>
  <c r="J455"/>
  <c r="K455" s="1"/>
  <c r="J401"/>
  <c r="K401" s="1"/>
  <c r="J43"/>
  <c r="K43" s="1"/>
  <c r="J326"/>
  <c r="K326" s="1"/>
  <c r="J172"/>
  <c r="K172" s="1"/>
  <c r="J371"/>
  <c r="K371" s="1"/>
  <c r="J267"/>
  <c r="K267" s="1"/>
  <c r="J222"/>
  <c r="K222" s="1"/>
  <c r="J69"/>
  <c r="K69" s="1"/>
  <c r="J391"/>
  <c r="K391" s="1"/>
  <c r="J442"/>
  <c r="K442" s="1"/>
  <c r="J352"/>
  <c r="K352" s="1"/>
  <c r="J26"/>
  <c r="K26" s="1"/>
  <c r="J51"/>
  <c r="K51" s="1"/>
  <c r="J304"/>
  <c r="K304" s="1"/>
  <c r="J358"/>
  <c r="K358" s="1"/>
  <c r="J418"/>
  <c r="K418" s="1"/>
  <c r="J75"/>
  <c r="K75" s="1"/>
  <c r="J309"/>
  <c r="K309" s="1"/>
  <c r="J421"/>
  <c r="K421" s="1"/>
  <c r="J330"/>
  <c r="K330" s="1"/>
  <c r="J403"/>
  <c r="K403" s="1"/>
  <c r="J361"/>
  <c r="K361" s="1"/>
  <c r="J306"/>
  <c r="K306" s="1"/>
  <c r="J98"/>
  <c r="K98" s="1"/>
  <c r="J227"/>
  <c r="K227" s="1"/>
  <c r="J94"/>
  <c r="K94" s="1"/>
  <c r="J97"/>
  <c r="K97" s="1"/>
  <c r="J451"/>
  <c r="K451" s="1"/>
  <c r="J524"/>
  <c r="K524" s="1"/>
  <c r="J446"/>
  <c r="K446" s="1"/>
  <c r="J223"/>
  <c r="K223" s="1"/>
  <c r="J147"/>
  <c r="K147" s="1"/>
  <c r="J525"/>
  <c r="K525" s="1"/>
  <c r="J196"/>
  <c r="K196" s="1"/>
  <c r="J311"/>
  <c r="K311" s="1"/>
  <c r="J335"/>
  <c r="K335" s="1"/>
  <c r="J350"/>
  <c r="K350" s="1"/>
  <c r="J472"/>
  <c r="K472" s="1"/>
  <c r="J388"/>
  <c r="K388" s="1"/>
  <c r="J443"/>
  <c r="K443" s="1"/>
  <c r="J201"/>
  <c r="K201" s="1"/>
  <c r="J126"/>
  <c r="K126" s="1"/>
  <c r="J308"/>
  <c r="K308" s="1"/>
  <c r="J178"/>
  <c r="K178" s="1"/>
  <c r="J466"/>
  <c r="K466" s="1"/>
  <c r="J423"/>
  <c r="K423" s="1"/>
  <c r="J60"/>
  <c r="K60" s="1"/>
  <c r="J356"/>
  <c r="K356" s="1"/>
  <c r="J419"/>
  <c r="K419" s="1"/>
  <c r="J495"/>
  <c r="K495" s="1"/>
  <c r="J325"/>
  <c r="K325" s="1"/>
  <c r="J319"/>
  <c r="K319" s="1"/>
  <c r="J230"/>
  <c r="K230" s="1"/>
  <c r="J501"/>
  <c r="K501" s="1"/>
  <c r="J197"/>
  <c r="K197" s="1"/>
  <c r="J339"/>
  <c r="K339" s="1"/>
  <c r="J113"/>
  <c r="K113" s="1"/>
  <c r="J67"/>
  <c r="K67" s="1"/>
  <c r="J231"/>
  <c r="K231" s="1"/>
  <c r="J467"/>
  <c r="K467" s="1"/>
  <c r="J100"/>
  <c r="K100" s="1"/>
  <c r="J234"/>
  <c r="K234" s="1"/>
  <c r="J133"/>
  <c r="K133" s="1"/>
  <c r="J370"/>
  <c r="K370" s="1"/>
  <c r="J383"/>
  <c r="K383" s="1"/>
  <c r="J34"/>
  <c r="K34" s="1"/>
  <c r="J288"/>
  <c r="K288" s="1"/>
  <c r="J433"/>
  <c r="K433" s="1"/>
  <c r="J411"/>
  <c r="K411" s="1"/>
  <c r="J290"/>
  <c r="K290" s="1"/>
  <c r="J157"/>
  <c r="K157" s="1"/>
  <c r="J57"/>
  <c r="K57" s="1"/>
  <c r="J395"/>
  <c r="K395" s="1"/>
  <c r="J32"/>
  <c r="K32" s="1"/>
  <c r="J74"/>
  <c r="K74" s="1"/>
  <c r="J49"/>
  <c r="K49" s="1"/>
  <c r="J186"/>
  <c r="K186" s="1"/>
  <c r="J218"/>
  <c r="K218" s="1"/>
  <c r="J516"/>
  <c r="K516" s="1"/>
  <c r="J203"/>
  <c r="K203" s="1"/>
  <c r="J173"/>
  <c r="K173" s="1"/>
  <c r="J151"/>
  <c r="K151" s="1"/>
  <c r="J219"/>
  <c r="K219" s="1"/>
  <c r="J279"/>
  <c r="K279" s="1"/>
  <c r="J224"/>
  <c r="K224" s="1"/>
  <c r="J473"/>
  <c r="K473" s="1"/>
  <c r="J390"/>
  <c r="K390" s="1"/>
  <c r="J132"/>
  <c r="K132" s="1"/>
  <c r="J181"/>
  <c r="K181" s="1"/>
  <c r="J87"/>
  <c r="K87" s="1"/>
  <c r="J408"/>
  <c r="K408" s="1"/>
  <c r="J334"/>
  <c r="K334" s="1"/>
  <c r="J116"/>
  <c r="K116" s="1"/>
  <c r="J379"/>
  <c r="K379" s="1"/>
  <c r="J521"/>
  <c r="K521" s="1"/>
  <c r="J119"/>
  <c r="K119" s="1"/>
  <c r="J171"/>
  <c r="K171" s="1"/>
  <c r="J482"/>
  <c r="K482" s="1"/>
  <c r="J99"/>
  <c r="K99" s="1"/>
  <c r="J192"/>
  <c r="K192" s="1"/>
  <c r="J242"/>
  <c r="K242" s="1"/>
  <c r="J38"/>
  <c r="K38" s="1"/>
  <c r="J101"/>
  <c r="K101" s="1"/>
  <c r="J298"/>
  <c r="K298" s="1"/>
  <c r="J503"/>
  <c r="K503" s="1"/>
  <c r="J259"/>
  <c r="K259" s="1"/>
  <c r="J527"/>
  <c r="K527" s="1"/>
  <c r="J324"/>
  <c r="K324" s="1"/>
  <c r="J226"/>
  <c r="K226" s="1"/>
  <c r="J124"/>
  <c r="K124" s="1"/>
  <c r="J378"/>
  <c r="K378" s="1"/>
  <c r="J198"/>
  <c r="K198" s="1"/>
  <c r="J499"/>
  <c r="K499" s="1"/>
  <c r="J148"/>
  <c r="K148" s="1"/>
  <c r="J359"/>
  <c r="K359" s="1"/>
  <c r="J281"/>
  <c r="K281" s="1"/>
  <c r="J291"/>
  <c r="K291" s="1"/>
  <c r="J450"/>
  <c r="K450" s="1"/>
  <c r="J144"/>
  <c r="K144" s="1"/>
  <c r="J169"/>
  <c r="K169" s="1"/>
  <c r="J502"/>
  <c r="K502" s="1"/>
  <c r="J314"/>
  <c r="K314" s="1"/>
  <c r="J233"/>
  <c r="K233" s="1"/>
  <c r="J39"/>
  <c r="K39" s="1"/>
  <c r="J487"/>
  <c r="K487" s="1"/>
  <c r="J273"/>
  <c r="K273" s="1"/>
  <c r="J202"/>
  <c r="K202" s="1"/>
  <c r="J183"/>
  <c r="K183" s="1"/>
  <c r="J111"/>
  <c r="K111" s="1"/>
  <c r="J179"/>
  <c r="K179" s="1"/>
  <c r="J158"/>
  <c r="K158" s="1"/>
  <c r="J213"/>
  <c r="K213" s="1"/>
  <c r="J518"/>
  <c r="K518" s="1"/>
  <c r="J449"/>
  <c r="K449" s="1"/>
  <c r="J123"/>
  <c r="K123" s="1"/>
  <c r="J125"/>
  <c r="K125" s="1"/>
  <c r="J33"/>
  <c r="K33" s="1"/>
  <c r="J235"/>
  <c r="K235" s="1"/>
  <c r="J23"/>
  <c r="K23" s="1"/>
  <c r="J284"/>
  <c r="K284" s="1"/>
  <c r="J229"/>
  <c r="K229" s="1"/>
  <c r="J333"/>
  <c r="K333" s="1"/>
  <c r="J167"/>
  <c r="K167" s="1"/>
  <c r="J72"/>
  <c r="K72" s="1"/>
  <c r="J512"/>
  <c r="K512" s="1"/>
  <c r="J506"/>
  <c r="K506" s="1"/>
  <c r="J164"/>
  <c r="K164" s="1"/>
  <c r="J54"/>
  <c r="K54" s="1"/>
  <c r="J276"/>
  <c r="K276" s="1"/>
  <c r="J402"/>
  <c r="K402" s="1"/>
  <c r="J193"/>
  <c r="K193" s="1"/>
  <c r="J89"/>
  <c r="K89" s="1"/>
  <c r="J177"/>
  <c r="K177" s="1"/>
  <c r="J392"/>
  <c r="K392" s="1"/>
  <c r="J102"/>
  <c r="K102" s="1"/>
  <c r="J194"/>
  <c r="K194" s="1"/>
  <c r="J141"/>
  <c r="K141" s="1"/>
  <c r="J362"/>
  <c r="K362" s="1"/>
  <c r="J110"/>
  <c r="K110" s="1"/>
  <c r="J131"/>
  <c r="K131" s="1"/>
  <c r="J168"/>
  <c r="K168" s="1"/>
  <c r="J120"/>
  <c r="K120" s="1"/>
  <c r="J292"/>
  <c r="K292" s="1"/>
  <c r="J436"/>
  <c r="K436" s="1"/>
  <c r="J286"/>
  <c r="K286" s="1"/>
  <c r="J275"/>
  <c r="K275" s="1"/>
  <c r="J270"/>
  <c r="K270" s="1"/>
  <c r="J407"/>
  <c r="K407" s="1"/>
  <c r="J176"/>
  <c r="K176" s="1"/>
  <c r="J163"/>
  <c r="K163" s="1"/>
  <c r="J50"/>
  <c r="K50" s="1"/>
  <c r="J240"/>
  <c r="K240" s="1"/>
  <c r="J140"/>
  <c r="K140" s="1"/>
  <c r="J239"/>
  <c r="K239" s="1"/>
  <c r="J44"/>
  <c r="K44" s="1"/>
  <c r="J269"/>
  <c r="K269" s="1"/>
  <c r="J188"/>
  <c r="K188" s="1"/>
  <c r="J29"/>
  <c r="K29" s="1"/>
  <c r="J241"/>
  <c r="K241" s="1"/>
  <c r="J159"/>
  <c r="K159" s="1"/>
  <c r="J24"/>
  <c r="K24" s="1"/>
  <c r="J254"/>
  <c r="K254" s="1"/>
  <c r="J106"/>
  <c r="K106" s="1"/>
  <c r="J406"/>
  <c r="K406" s="1"/>
  <c r="J420"/>
  <c r="K420" s="1"/>
  <c r="J484"/>
  <c r="K484" s="1"/>
  <c r="J404"/>
  <c r="K404" s="1"/>
  <c r="J437"/>
  <c r="K437" s="1"/>
  <c r="J313"/>
  <c r="K313" s="1"/>
  <c r="J265"/>
  <c r="K265" s="1"/>
  <c r="J414"/>
  <c r="K414" s="1"/>
  <c r="J367"/>
  <c r="K367" s="1"/>
  <c r="J384"/>
  <c r="K384" s="1"/>
  <c r="J491"/>
  <c r="K491" s="1"/>
  <c r="J294"/>
  <c r="K294" s="1"/>
  <c r="J220"/>
  <c r="K220" s="1"/>
  <c r="J505"/>
  <c r="K505" s="1"/>
  <c r="J396"/>
  <c r="K396" s="1"/>
  <c r="J380"/>
  <c r="K380" s="1"/>
  <c r="J431"/>
  <c r="K431" s="1"/>
  <c r="J412"/>
  <c r="K412" s="1"/>
  <c r="J483"/>
  <c r="K483" s="1"/>
  <c r="J287"/>
  <c r="K287" s="1"/>
  <c r="J244"/>
  <c r="K244" s="1"/>
  <c r="J479"/>
  <c r="K479" s="1"/>
  <c r="J204"/>
  <c r="K204" s="1"/>
  <c r="J84"/>
  <c r="K84" s="1"/>
  <c r="J338"/>
  <c r="K338" s="1"/>
  <c r="J90"/>
  <c r="K90" s="1"/>
  <c r="J79"/>
  <c r="K79" s="1"/>
  <c r="J91"/>
  <c r="K91" s="1"/>
  <c r="J327"/>
  <c r="K327" s="1"/>
  <c r="J488"/>
  <c r="K488" s="1"/>
  <c r="J112"/>
  <c r="K112" s="1"/>
  <c r="J136"/>
  <c r="K136" s="1"/>
  <c r="J347"/>
  <c r="K347" s="1"/>
  <c r="J389"/>
  <c r="K389" s="1"/>
  <c r="J283"/>
  <c r="K283" s="1"/>
  <c r="J28"/>
  <c r="K28" s="1"/>
  <c r="J299"/>
  <c r="K299" s="1"/>
  <c r="J210"/>
  <c r="K210" s="1"/>
  <c r="J355"/>
  <c r="K355" s="1"/>
  <c r="J41"/>
  <c r="K41" s="1"/>
  <c r="J137"/>
  <c r="K137" s="1"/>
  <c r="J35"/>
  <c r="K35" s="1"/>
  <c r="J31"/>
  <c r="K31" s="1"/>
  <c r="J493"/>
  <c r="K493" s="1"/>
  <c r="J180"/>
  <c r="K180" s="1"/>
  <c r="J425"/>
  <c r="K425" s="1"/>
  <c r="J68"/>
  <c r="K68" s="1"/>
  <c r="J410"/>
  <c r="K410" s="1"/>
  <c r="J439"/>
  <c r="K439" s="1"/>
  <c r="J507"/>
  <c r="K507" s="1"/>
  <c r="J185"/>
  <c r="K185" s="1"/>
  <c r="J349"/>
  <c r="K349" s="1"/>
  <c r="J118"/>
  <c r="K118" s="1"/>
  <c r="J61"/>
  <c r="K61" s="1"/>
  <c r="J476"/>
  <c r="K476" s="1"/>
  <c r="J175"/>
  <c r="K175" s="1"/>
  <c r="J464"/>
  <c r="K464" s="1"/>
  <c r="J345"/>
  <c r="K345" s="1"/>
  <c r="J212"/>
  <c r="K212" s="1"/>
  <c r="J58"/>
  <c r="K58" s="1"/>
  <c r="J366"/>
  <c r="K366" s="1"/>
  <c r="J266"/>
  <c r="K266" s="1"/>
  <c r="J211"/>
  <c r="K211" s="1"/>
  <c r="J268"/>
  <c r="K268" s="1"/>
  <c r="J432"/>
  <c r="K432" s="1"/>
  <c r="J303"/>
  <c r="K303" s="1"/>
  <c r="J376"/>
  <c r="K376" s="1"/>
  <c r="J470"/>
  <c r="K470" s="1"/>
  <c r="J217"/>
  <c r="K217" s="1"/>
  <c r="J20"/>
  <c r="K20" s="1"/>
  <c r="J500"/>
  <c r="K500" s="1"/>
  <c r="J92"/>
  <c r="K92" s="1"/>
  <c r="J170"/>
  <c r="K170" s="1"/>
  <c r="J445"/>
  <c r="K445" s="1"/>
  <c r="J301"/>
  <c r="K301" s="1"/>
  <c r="J511"/>
  <c r="K511" s="1"/>
  <c r="J166"/>
  <c r="K166" s="1"/>
  <c r="J45"/>
  <c r="K45" s="1"/>
  <c r="J382"/>
  <c r="K382" s="1"/>
  <c r="J523"/>
  <c r="K523" s="1"/>
  <c r="J37"/>
  <c r="K37" s="1"/>
  <c r="J296"/>
  <c r="K296" s="1"/>
  <c r="J274"/>
  <c r="K274" s="1"/>
  <c r="J278"/>
  <c r="K278" s="1"/>
  <c r="J485"/>
  <c r="K485" s="1"/>
  <c r="J515"/>
  <c r="K515" s="1"/>
  <c r="J63"/>
  <c r="K63" s="1"/>
  <c r="J344"/>
  <c r="K344" s="1"/>
  <c r="J55"/>
  <c r="K55" s="1"/>
  <c r="J243"/>
  <c r="K243" s="1"/>
  <c r="E14" i="34"/>
  <c r="B238" i="23"/>
  <c r="B237"/>
  <c r="D237"/>
  <c r="D238"/>
  <c r="B204"/>
  <c r="B205" s="1"/>
  <c r="J897" i="33"/>
  <c r="K897" s="1"/>
  <c r="J555"/>
  <c r="K555" s="1"/>
  <c r="J737"/>
  <c r="K737" s="1"/>
  <c r="J1007"/>
  <c r="K1007" s="1"/>
  <c r="J945"/>
  <c r="K945" s="1"/>
  <c r="J599"/>
  <c r="K599" s="1"/>
  <c r="J883"/>
  <c r="K883" s="1"/>
  <c r="J721"/>
  <c r="K721" s="1"/>
  <c r="J847"/>
  <c r="K847" s="1"/>
  <c r="J889"/>
  <c r="K889" s="1"/>
  <c r="J838"/>
  <c r="K838" s="1"/>
  <c r="J683"/>
  <c r="K683" s="1"/>
  <c r="J1029"/>
  <c r="K1029" s="1"/>
  <c r="J982"/>
  <c r="K982" s="1"/>
  <c r="J805"/>
  <c r="K805" s="1"/>
  <c r="J872"/>
  <c r="K872" s="1"/>
  <c r="J752"/>
  <c r="K752" s="1"/>
  <c r="J826"/>
  <c r="K826" s="1"/>
  <c r="J820"/>
  <c r="K820" s="1"/>
  <c r="J666"/>
  <c r="K666" s="1"/>
  <c r="J698"/>
  <c r="K698" s="1"/>
  <c r="J1027"/>
  <c r="K1027" s="1"/>
  <c r="J681"/>
  <c r="K681" s="1"/>
  <c r="J914"/>
  <c r="K914" s="1"/>
  <c r="J960"/>
  <c r="K960" s="1"/>
  <c r="J818"/>
  <c r="K818" s="1"/>
  <c r="J605"/>
  <c r="K605" s="1"/>
  <c r="J1031"/>
  <c r="K1031" s="1"/>
  <c r="J1022"/>
  <c r="K1022" s="1"/>
  <c r="J693"/>
  <c r="K693" s="1"/>
  <c r="J562"/>
  <c r="K562" s="1"/>
  <c r="J573"/>
  <c r="K573" s="1"/>
  <c r="B172" i="23"/>
  <c r="B173" s="1"/>
  <c r="J11" i="33"/>
  <c r="J10"/>
  <c r="E234" i="23"/>
  <c r="C235"/>
  <c r="C234"/>
  <c r="E235"/>
  <c r="N660" i="33" l="1"/>
  <c r="M851"/>
  <c r="N851" s="1"/>
  <c r="J1024"/>
  <c r="K1024" s="1"/>
  <c r="J655"/>
  <c r="K655" s="1"/>
  <c r="J551"/>
  <c r="K551" s="1"/>
  <c r="J981"/>
  <c r="K981" s="1"/>
  <c r="J912"/>
  <c r="K912" s="1"/>
  <c r="J869"/>
  <c r="K869" s="1"/>
  <c r="J962"/>
  <c r="K962" s="1"/>
  <c r="J628"/>
  <c r="K628" s="1"/>
  <c r="J870"/>
  <c r="K870" s="1"/>
  <c r="J608"/>
  <c r="K608" s="1"/>
  <c r="J784"/>
  <c r="K784" s="1"/>
  <c r="J1011"/>
  <c r="K1011" s="1"/>
  <c r="J641"/>
  <c r="K641" s="1"/>
  <c r="J648"/>
  <c r="K648" s="1"/>
  <c r="J871"/>
  <c r="K871" s="1"/>
  <c r="J751"/>
  <c r="K751" s="1"/>
  <c r="J570"/>
  <c r="K570" s="1"/>
  <c r="J673"/>
  <c r="K673" s="1"/>
  <c r="J586"/>
  <c r="K586" s="1"/>
  <c r="J643"/>
  <c r="K643" s="1"/>
  <c r="J708"/>
  <c r="K708" s="1"/>
  <c r="J1002"/>
  <c r="K1002" s="1"/>
  <c r="J941"/>
  <c r="K941" s="1"/>
  <c r="J953"/>
  <c r="K953" s="1"/>
  <c r="J861"/>
  <c r="K861" s="1"/>
  <c r="J607"/>
  <c r="K607" s="1"/>
  <c r="J938"/>
  <c r="K938" s="1"/>
  <c r="J653"/>
  <c r="K653" s="1"/>
  <c r="J623"/>
  <c r="K623" s="1"/>
  <c r="J745"/>
  <c r="K745" s="1"/>
  <c r="J984"/>
  <c r="K984" s="1"/>
  <c r="J778"/>
  <c r="K778" s="1"/>
  <c r="J1010"/>
  <c r="K1010" s="1"/>
  <c r="J617"/>
  <c r="K617" s="1"/>
  <c r="J1039"/>
  <c r="K1039" s="1"/>
  <c r="J840"/>
  <c r="K840" s="1"/>
  <c r="J797"/>
  <c r="K797" s="1"/>
  <c r="J1050"/>
  <c r="K1050" s="1"/>
  <c r="J837"/>
  <c r="K837" s="1"/>
  <c r="J908"/>
  <c r="K908" s="1"/>
  <c r="J815"/>
  <c r="K815" s="1"/>
  <c r="J909"/>
  <c r="K909" s="1"/>
  <c r="J882"/>
  <c r="K882" s="1"/>
  <c r="J878"/>
  <c r="K878" s="1"/>
  <c r="J583"/>
  <c r="K583" s="1"/>
  <c r="J613"/>
  <c r="K613" s="1"/>
  <c r="J558"/>
  <c r="K558" s="1"/>
  <c r="J597"/>
  <c r="K597" s="1"/>
  <c r="J811"/>
  <c r="K811" s="1"/>
  <c r="J1042"/>
  <c r="K1042" s="1"/>
  <c r="J862"/>
  <c r="K862" s="1"/>
  <c r="J963"/>
  <c r="K963" s="1"/>
  <c r="J619"/>
  <c r="K619" s="1"/>
  <c r="J661"/>
  <c r="K661" s="1"/>
  <c r="J695"/>
  <c r="K695" s="1"/>
  <c r="J999"/>
  <c r="K999" s="1"/>
  <c r="J754"/>
  <c r="K754" s="1"/>
  <c r="J686"/>
  <c r="K686" s="1"/>
  <c r="J640"/>
  <c r="K640" s="1"/>
  <c r="J801"/>
  <c r="K801" s="1"/>
  <c r="J1003"/>
  <c r="K1003" s="1"/>
  <c r="J970"/>
  <c r="K970" s="1"/>
  <c r="J720"/>
  <c r="K720" s="1"/>
  <c r="J568"/>
  <c r="K568" s="1"/>
  <c r="J787"/>
  <c r="K787" s="1"/>
  <c r="J918"/>
  <c r="K918" s="1"/>
  <c r="J1046"/>
  <c r="K1046" s="1"/>
  <c r="J907"/>
  <c r="K907" s="1"/>
  <c r="J783"/>
  <c r="K783" s="1"/>
  <c r="J899"/>
  <c r="K899" s="1"/>
  <c r="J575"/>
  <c r="K575" s="1"/>
  <c r="J1026"/>
  <c r="K1026" s="1"/>
  <c r="J1052"/>
  <c r="K1052" s="1"/>
  <c r="J714"/>
  <c r="K714" s="1"/>
  <c r="J1054"/>
  <c r="K1054" s="1"/>
  <c r="J1032"/>
  <c r="K1032" s="1"/>
  <c r="J976"/>
  <c r="K976" s="1"/>
  <c r="J859"/>
  <c r="K859" s="1"/>
  <c r="J647"/>
  <c r="K647" s="1"/>
  <c r="J856"/>
  <c r="K856" s="1"/>
  <c r="J705"/>
  <c r="K705" s="1"/>
  <c r="J768"/>
  <c r="K768" s="1"/>
  <c r="J585"/>
  <c r="K585" s="1"/>
  <c r="J836"/>
  <c r="K836" s="1"/>
  <c r="J825"/>
  <c r="K825" s="1"/>
  <c r="J748"/>
  <c r="K748" s="1"/>
  <c r="J835"/>
  <c r="K835" s="1"/>
  <c r="J636"/>
  <c r="K636" s="1"/>
  <c r="J612"/>
  <c r="K612" s="1"/>
  <c r="J808"/>
  <c r="K808" s="1"/>
  <c r="J620"/>
  <c r="K620" s="1"/>
  <c r="J1005"/>
  <c r="K1005" s="1"/>
  <c r="J746"/>
  <c r="K746" s="1"/>
  <c r="J827"/>
  <c r="K827" s="1"/>
  <c r="J1017"/>
  <c r="K1017" s="1"/>
  <c r="J689"/>
  <c r="K689" s="1"/>
  <c r="J688"/>
  <c r="K688" s="1"/>
  <c r="J726"/>
  <c r="K726" s="1"/>
  <c r="J576"/>
  <c r="K576" s="1"/>
  <c r="J879"/>
  <c r="K879" s="1"/>
  <c r="J718"/>
  <c r="K718" s="1"/>
  <c r="J596"/>
  <c r="K596" s="1"/>
  <c r="J616"/>
  <c r="K616" s="1"/>
  <c r="J674"/>
  <c r="K674" s="1"/>
  <c r="J1014"/>
  <c r="K1014" s="1"/>
  <c r="J627"/>
  <c r="K627" s="1"/>
  <c r="J614"/>
  <c r="K614" s="1"/>
  <c r="J731"/>
  <c r="K731" s="1"/>
  <c r="J843"/>
  <c r="K843" s="1"/>
  <c r="J732"/>
  <c r="K732" s="1"/>
  <c r="J652"/>
  <c r="K652" s="1"/>
  <c r="J634"/>
  <c r="K634" s="1"/>
  <c r="J590"/>
  <c r="K590" s="1"/>
  <c r="J794"/>
  <c r="K794" s="1"/>
  <c r="J702"/>
  <c r="K702" s="1"/>
  <c r="J771"/>
  <c r="K771" s="1"/>
  <c r="J649"/>
  <c r="K649" s="1"/>
  <c r="J706"/>
  <c r="K706" s="1"/>
  <c r="J629"/>
  <c r="K629" s="1"/>
  <c r="J855"/>
  <c r="K855" s="1"/>
  <c r="J1033"/>
  <c r="K1033" s="1"/>
  <c r="J1034"/>
  <c r="K1034" s="1"/>
  <c r="J611"/>
  <c r="K611" s="1"/>
  <c r="J692"/>
  <c r="K692" s="1"/>
  <c r="J1025"/>
  <c r="K1025" s="1"/>
  <c r="J932"/>
  <c r="K932" s="1"/>
  <c r="J580"/>
  <c r="K580" s="1"/>
  <c r="J831"/>
  <c r="K831" s="1"/>
  <c r="J866"/>
  <c r="K866" s="1"/>
  <c r="AG47" i="2"/>
  <c r="J728" i="33"/>
  <c r="K728" s="1"/>
  <c r="J657"/>
  <c r="K657" s="1"/>
  <c r="J955"/>
  <c r="K955" s="1"/>
  <c r="J895"/>
  <c r="K895" s="1"/>
  <c r="J756"/>
  <c r="K756" s="1"/>
  <c r="J986"/>
  <c r="K986" s="1"/>
  <c r="J630"/>
  <c r="K630" s="1"/>
  <c r="J563"/>
  <c r="K563" s="1"/>
  <c r="J916"/>
  <c r="K916" s="1"/>
  <c r="J842"/>
  <c r="K842" s="1"/>
  <c r="J998"/>
  <c r="K998" s="1"/>
  <c r="J940"/>
  <c r="K940" s="1"/>
  <c r="J851"/>
  <c r="K851" s="1"/>
  <c r="J1006"/>
  <c r="K1006" s="1"/>
  <c r="J943"/>
  <c r="K943" s="1"/>
  <c r="J631"/>
  <c r="K631" s="1"/>
  <c r="J691"/>
  <c r="K691" s="1"/>
  <c r="J730"/>
  <c r="K730" s="1"/>
  <c r="J950"/>
  <c r="K950" s="1"/>
  <c r="J700"/>
  <c r="K700" s="1"/>
  <c r="J939"/>
  <c r="K939" s="1"/>
  <c r="J821"/>
  <c r="K821" s="1"/>
  <c r="J552"/>
  <c r="K552" s="1"/>
  <c r="J749"/>
  <c r="K749" s="1"/>
  <c r="J694"/>
  <c r="K694" s="1"/>
  <c r="J1037"/>
  <c r="K1037" s="1"/>
  <c r="J974"/>
  <c r="K974" s="1"/>
  <c r="J577"/>
  <c r="K577" s="1"/>
  <c r="J901"/>
  <c r="K901" s="1"/>
  <c r="J670"/>
  <c r="K670" s="1"/>
  <c r="J1047"/>
  <c r="K1047" s="1"/>
  <c r="J1021"/>
  <c r="K1021" s="1"/>
  <c r="J687"/>
  <c r="K687" s="1"/>
  <c r="J777"/>
  <c r="K777" s="1"/>
  <c r="J724"/>
  <c r="K724" s="1"/>
  <c r="J618"/>
  <c r="K618" s="1"/>
  <c r="J644"/>
  <c r="K644" s="1"/>
  <c r="J776"/>
  <c r="K776" s="1"/>
  <c r="J566"/>
  <c r="K566" s="1"/>
  <c r="J654"/>
  <c r="K654" s="1"/>
  <c r="J993"/>
  <c r="K993" s="1"/>
  <c r="J679"/>
  <c r="K679" s="1"/>
  <c r="J877"/>
  <c r="K877" s="1"/>
  <c r="J830"/>
  <c r="K830" s="1"/>
  <c r="J733"/>
  <c r="K733" s="1"/>
  <c r="J601"/>
  <c r="K601" s="1"/>
  <c r="J578"/>
  <c r="K578" s="1"/>
  <c r="J881"/>
  <c r="K881" s="1"/>
  <c r="J800"/>
  <c r="K800" s="1"/>
  <c r="J588"/>
  <c r="K588" s="1"/>
  <c r="J604"/>
  <c r="K604" s="1"/>
  <c r="J929"/>
  <c r="K929" s="1"/>
  <c r="J809"/>
  <c r="K809" s="1"/>
  <c r="J1013"/>
  <c r="K1013" s="1"/>
  <c r="J760"/>
  <c r="K760" s="1"/>
  <c r="J645"/>
  <c r="K645" s="1"/>
  <c r="J967"/>
  <c r="K967" s="1"/>
  <c r="J910"/>
  <c r="K910" s="1"/>
  <c r="J906"/>
  <c r="K906" s="1"/>
  <c r="J987"/>
  <c r="K987" s="1"/>
  <c r="J991"/>
  <c r="K991" s="1"/>
  <c r="J791"/>
  <c r="K791" s="1"/>
  <c r="J915"/>
  <c r="K915" s="1"/>
  <c r="J985"/>
  <c r="K985" s="1"/>
  <c r="J1044"/>
  <c r="K1044" s="1"/>
  <c r="J796"/>
  <c r="K796" s="1"/>
  <c r="J947"/>
  <c r="K947" s="1"/>
  <c r="J924"/>
  <c r="K924" s="1"/>
  <c r="J810"/>
  <c r="K810" s="1"/>
  <c r="J884"/>
  <c r="K884" s="1"/>
  <c r="J812"/>
  <c r="K812" s="1"/>
  <c r="J662"/>
  <c r="K662" s="1"/>
  <c r="J739"/>
  <c r="K739" s="1"/>
  <c r="J677"/>
  <c r="K677" s="1"/>
  <c r="J716"/>
  <c r="K716" s="1"/>
  <c r="J959"/>
  <c r="K959" s="1"/>
  <c r="J764"/>
  <c r="K764" s="1"/>
  <c r="J1015"/>
  <c r="K1015" s="1"/>
  <c r="J609"/>
  <c r="K609" s="1"/>
  <c r="J935"/>
  <c r="K935" s="1"/>
  <c r="J980"/>
  <c r="K980" s="1"/>
  <c r="J638"/>
  <c r="K638" s="1"/>
  <c r="J841"/>
  <c r="K841" s="1"/>
  <c r="J710"/>
  <c r="K710" s="1"/>
  <c r="J1018"/>
  <c r="K1018" s="1"/>
  <c r="J1062"/>
  <c r="K1062" s="1"/>
  <c r="J1057"/>
  <c r="K1057" s="1"/>
  <c r="J876"/>
  <c r="K876" s="1"/>
  <c r="J763"/>
  <c r="K763" s="1"/>
  <c r="J743"/>
  <c r="K743" s="1"/>
  <c r="J1045"/>
  <c r="K1045" s="1"/>
  <c r="J814"/>
  <c r="K814" s="1"/>
  <c r="J971"/>
  <c r="K971" s="1"/>
  <c r="J816"/>
  <c r="K816" s="1"/>
  <c r="J775"/>
  <c r="K775" s="1"/>
  <c r="J957"/>
  <c r="K957" s="1"/>
  <c r="J833"/>
  <c r="K833" s="1"/>
  <c r="J750"/>
  <c r="K750" s="1"/>
  <c r="J769"/>
  <c r="K769" s="1"/>
  <c r="J850"/>
  <c r="K850" s="1"/>
  <c r="J717"/>
  <c r="K717" s="1"/>
  <c r="J888"/>
  <c r="K888" s="1"/>
  <c r="J591"/>
  <c r="K591" s="1"/>
  <c r="J598"/>
  <c r="K598" s="1"/>
  <c r="J569"/>
  <c r="K569" s="1"/>
  <c r="J734"/>
  <c r="K734" s="1"/>
  <c r="J873"/>
  <c r="K873" s="1"/>
  <c r="J574"/>
  <c r="K574" s="1"/>
  <c r="J863"/>
  <c r="K863" s="1"/>
  <c r="J860"/>
  <c r="K860" s="1"/>
  <c r="J864"/>
  <c r="K864" s="1"/>
  <c r="J854"/>
  <c r="K854" s="1"/>
  <c r="J952"/>
  <c r="K952" s="1"/>
  <c r="J780"/>
  <c r="K780" s="1"/>
  <c r="J917"/>
  <c r="K917" s="1"/>
  <c r="J738"/>
  <c r="K738" s="1"/>
  <c r="J1004"/>
  <c r="K1004" s="1"/>
  <c r="J817"/>
  <c r="K817" s="1"/>
  <c r="J968"/>
  <c r="K968" s="1"/>
  <c r="J958"/>
  <c r="K958" s="1"/>
  <c r="J858"/>
  <c r="K858" s="1"/>
  <c r="J1040"/>
  <c r="K1040" s="1"/>
  <c r="J755"/>
  <c r="K755" s="1"/>
  <c r="J819"/>
  <c r="K819" s="1"/>
  <c r="J579"/>
  <c r="K579" s="1"/>
  <c r="J1058"/>
  <c r="K1058" s="1"/>
  <c r="E31" i="34"/>
  <c r="B196" i="23"/>
  <c r="B198" s="1"/>
  <c r="B199" s="1"/>
  <c r="M316" i="33"/>
  <c r="N316" s="1"/>
  <c r="M899"/>
  <c r="N899" s="1"/>
  <c r="M420"/>
  <c r="N420" s="1"/>
  <c r="M714"/>
  <c r="D72" i="23"/>
  <c r="B133"/>
  <c r="B135" s="1"/>
  <c r="B137" s="1"/>
  <c r="B72"/>
  <c r="B74" s="1"/>
  <c r="B92" s="1"/>
  <c r="C72"/>
  <c r="C74" s="1"/>
  <c r="C76" s="1"/>
  <c r="E72"/>
  <c r="M40" i="33"/>
  <c r="N40" s="1"/>
  <c r="M177"/>
  <c r="N177" s="1"/>
  <c r="M265"/>
  <c r="N265" s="1"/>
  <c r="M97"/>
  <c r="N97" s="1"/>
  <c r="B3" i="34"/>
  <c r="H10" s="1"/>
  <c r="B256" i="23"/>
  <c r="M213" i="33"/>
  <c r="N213" s="1"/>
  <c r="M703"/>
  <c r="N703" s="1"/>
  <c r="M511"/>
  <c r="N511" s="1"/>
  <c r="C133" i="23"/>
  <c r="C135" s="1"/>
  <c r="C153" s="1"/>
  <c r="N915" i="33"/>
  <c r="M232"/>
  <c r="N232" s="1"/>
  <c r="M521"/>
  <c r="N521" s="1"/>
  <c r="M371"/>
  <c r="N371" s="1"/>
  <c r="M239"/>
  <c r="N239" s="1"/>
  <c r="M144"/>
  <c r="N144" s="1"/>
  <c r="M496"/>
  <c r="N496" s="1"/>
  <c r="M101"/>
  <c r="N101" s="1"/>
  <c r="M382"/>
  <c r="N382" s="1"/>
  <c r="M186"/>
  <c r="N186" s="1"/>
  <c r="M184"/>
  <c r="N184" s="1"/>
  <c r="M122"/>
  <c r="N122" s="1"/>
  <c r="M306"/>
  <c r="N306" s="1"/>
  <c r="M340"/>
  <c r="N340" s="1"/>
  <c r="M558"/>
  <c r="N558" s="1"/>
  <c r="M840"/>
  <c r="N840" s="1"/>
  <c r="M981"/>
  <c r="N981" s="1"/>
  <c r="M652"/>
  <c r="N652" s="1"/>
  <c r="E73" i="34"/>
  <c r="M774" i="33"/>
  <c r="N774" s="1"/>
  <c r="M160"/>
  <c r="N160" s="1"/>
  <c r="M47"/>
  <c r="N47" s="1"/>
  <c r="M46"/>
  <c r="N46" s="1"/>
  <c r="M180"/>
  <c r="N180" s="1"/>
  <c r="J1059"/>
  <c r="K1059" s="1"/>
  <c r="J790"/>
  <c r="K790" s="1"/>
  <c r="J690"/>
  <c r="K690" s="1"/>
  <c r="J933"/>
  <c r="K933" s="1"/>
  <c r="J684"/>
  <c r="K684" s="1"/>
  <c r="J711"/>
  <c r="K711" s="1"/>
  <c r="J667"/>
  <c r="K667" s="1"/>
  <c r="J626"/>
  <c r="K626" s="1"/>
  <c r="J680"/>
  <c r="K680" s="1"/>
  <c r="J795"/>
  <c r="K795" s="1"/>
  <c r="J966"/>
  <c r="K966" s="1"/>
  <c r="J703"/>
  <c r="K703" s="1"/>
  <c r="J902"/>
  <c r="K902" s="1"/>
  <c r="J572"/>
  <c r="K572" s="1"/>
  <c r="J736"/>
  <c r="K736" s="1"/>
  <c r="J921"/>
  <c r="K921" s="1"/>
  <c r="J781"/>
  <c r="K781" s="1"/>
  <c r="J832"/>
  <c r="K832" s="1"/>
  <c r="J1055"/>
  <c r="K1055" s="1"/>
  <c r="J704"/>
  <c r="K704" s="1"/>
  <c r="J799"/>
  <c r="K799" s="1"/>
  <c r="J744"/>
  <c r="K744" s="1"/>
  <c r="J632"/>
  <c r="K632" s="1"/>
  <c r="J699"/>
  <c r="K699" s="1"/>
  <c r="J951"/>
  <c r="K951" s="1"/>
  <c r="J725"/>
  <c r="K725" s="1"/>
  <c r="J913"/>
  <c r="K913" s="1"/>
  <c r="J789"/>
  <c r="K789" s="1"/>
  <c r="J639"/>
  <c r="K639" s="1"/>
  <c r="J896"/>
  <c r="K896" s="1"/>
  <c r="J765"/>
  <c r="K765" s="1"/>
  <c r="J761"/>
  <c r="K761" s="1"/>
  <c r="J948"/>
  <c r="K948" s="1"/>
  <c r="J1056"/>
  <c r="K1056" s="1"/>
  <c r="J606"/>
  <c r="K606" s="1"/>
  <c r="J774"/>
  <c r="K774" s="1"/>
  <c r="J874"/>
  <c r="K874" s="1"/>
  <c r="J669"/>
  <c r="K669" s="1"/>
  <c r="J1028"/>
  <c r="K1028" s="1"/>
  <c r="J671"/>
  <c r="K671" s="1"/>
  <c r="J696"/>
  <c r="K696" s="1"/>
  <c r="J961"/>
  <c r="K961" s="1"/>
  <c r="J767"/>
  <c r="K767" s="1"/>
  <c r="J635"/>
  <c r="K635" s="1"/>
  <c r="J804"/>
  <c r="K804" s="1"/>
  <c r="J996"/>
  <c r="K996" s="1"/>
  <c r="J824"/>
  <c r="K824" s="1"/>
  <c r="J557"/>
  <c r="K557" s="1"/>
  <c r="J944"/>
  <c r="K944" s="1"/>
  <c r="J719"/>
  <c r="K719" s="1"/>
  <c r="J729"/>
  <c r="K729" s="1"/>
  <c r="J846"/>
  <c r="K846" s="1"/>
  <c r="J1008"/>
  <c r="K1008" s="1"/>
  <c r="J1036"/>
  <c r="K1036" s="1"/>
  <c r="J904"/>
  <c r="K904" s="1"/>
  <c r="J969"/>
  <c r="K969" s="1"/>
  <c r="J665"/>
  <c r="K665" s="1"/>
  <c r="J822"/>
  <c r="K822" s="1"/>
  <c r="M793"/>
  <c r="N793" s="1"/>
  <c r="M586"/>
  <c r="N586" s="1"/>
  <c r="M869"/>
  <c r="N869" s="1"/>
  <c r="M825"/>
  <c r="N825" s="1"/>
  <c r="M813"/>
  <c r="N813" s="1"/>
  <c r="M690"/>
  <c r="N690" s="1"/>
  <c r="M974"/>
  <c r="N974" s="1"/>
  <c r="M1007"/>
  <c r="N1007" s="1"/>
  <c r="M589"/>
  <c r="N589" s="1"/>
  <c r="M746"/>
  <c r="J759"/>
  <c r="K759" s="1"/>
  <c r="J556"/>
  <c r="K556" s="1"/>
  <c r="J621"/>
  <c r="K621" s="1"/>
  <c r="J772"/>
  <c r="K772" s="1"/>
  <c r="J1061"/>
  <c r="K1061" s="1"/>
  <c r="J1020"/>
  <c r="K1020" s="1"/>
  <c r="J650"/>
  <c r="K650" s="1"/>
  <c r="J554"/>
  <c r="K554" s="1"/>
  <c r="J979"/>
  <c r="K979" s="1"/>
  <c r="J788"/>
  <c r="K788" s="1"/>
  <c r="J964"/>
  <c r="K964" s="1"/>
  <c r="J978"/>
  <c r="K978" s="1"/>
  <c r="J565"/>
  <c r="K565" s="1"/>
  <c r="J741"/>
  <c r="K741" s="1"/>
  <c r="J857"/>
  <c r="K857" s="1"/>
  <c r="J1060"/>
  <c r="K1060" s="1"/>
  <c r="J615"/>
  <c r="K615" s="1"/>
  <c r="M713"/>
  <c r="N713" s="1"/>
  <c r="M1034"/>
  <c r="N1034" s="1"/>
  <c r="M768"/>
  <c r="N768" s="1"/>
  <c r="M882"/>
  <c r="N882" s="1"/>
  <c r="M933"/>
  <c r="N933" s="1"/>
  <c r="M739"/>
  <c r="N739" s="1"/>
  <c r="M608"/>
  <c r="M1039"/>
  <c r="N1039" s="1"/>
  <c r="M1028"/>
  <c r="N1028" s="1"/>
  <c r="M953"/>
  <c r="N953" s="1"/>
  <c r="M827"/>
  <c r="N827" s="1"/>
  <c r="M910"/>
  <c r="N910" s="1"/>
  <c r="M766"/>
  <c r="N766" s="1"/>
  <c r="M559"/>
  <c r="N559" s="1"/>
  <c r="M593"/>
  <c r="N593" s="1"/>
  <c r="M1027"/>
  <c r="N1027" s="1"/>
  <c r="K13" i="34"/>
  <c r="H29"/>
  <c r="L29"/>
  <c r="B249" i="23"/>
  <c r="F30" i="34"/>
  <c r="F10"/>
  <c r="E55"/>
  <c r="E133" i="23"/>
  <c r="E135" s="1"/>
  <c r="D133"/>
  <c r="D135" s="1"/>
  <c r="C196"/>
  <c r="C198" s="1"/>
  <c r="C199" s="1"/>
  <c r="M931" i="33"/>
  <c r="N931" s="1"/>
  <c r="M937"/>
  <c r="N937" s="1"/>
  <c r="M225"/>
  <c r="N225" s="1"/>
  <c r="M126"/>
  <c r="N126" s="1"/>
  <c r="M28"/>
  <c r="N28" s="1"/>
  <c r="M209"/>
  <c r="N209" s="1"/>
  <c r="M470"/>
  <c r="N470" s="1"/>
  <c r="M475"/>
  <c r="N475" s="1"/>
  <c r="M348"/>
  <c r="N348" s="1"/>
  <c r="M426"/>
  <c r="N426" s="1"/>
  <c r="M334"/>
  <c r="N334" s="1"/>
  <c r="M143"/>
  <c r="N143" s="1"/>
  <c r="M74"/>
  <c r="N74" s="1"/>
  <c r="M53"/>
  <c r="N53" s="1"/>
  <c r="M193"/>
  <c r="N193" s="1"/>
  <c r="M360"/>
  <c r="N360" s="1"/>
  <c r="M478"/>
  <c r="N478" s="1"/>
  <c r="M344"/>
  <c r="N344" s="1"/>
  <c r="M109"/>
  <c r="N109" s="1"/>
  <c r="M243"/>
  <c r="N243" s="1"/>
  <c r="M431"/>
  <c r="N431" s="1"/>
  <c r="M437"/>
  <c r="N437" s="1"/>
  <c r="M366"/>
  <c r="N366" s="1"/>
  <c r="M441"/>
  <c r="N441" s="1"/>
  <c r="I30" i="34"/>
  <c r="H26"/>
  <c r="F13"/>
  <c r="I25"/>
  <c r="J28"/>
  <c r="G24"/>
  <c r="M13"/>
  <c r="H28"/>
  <c r="J27"/>
  <c r="K30"/>
  <c r="M30"/>
  <c r="J9"/>
  <c r="F22"/>
  <c r="J26"/>
  <c r="F29"/>
  <c r="H7"/>
  <c r="I11"/>
  <c r="M32" i="33"/>
  <c r="N32" s="1"/>
  <c r="M329"/>
  <c r="N329" s="1"/>
  <c r="M279"/>
  <c r="N279" s="1"/>
  <c r="M480"/>
  <c r="N480" s="1"/>
  <c r="M443"/>
  <c r="N443" s="1"/>
  <c r="M508"/>
  <c r="N508" s="1"/>
  <c r="M148"/>
  <c r="N148" s="1"/>
  <c r="M208"/>
  <c r="N208" s="1"/>
  <c r="M68"/>
  <c r="N68" s="1"/>
  <c r="M419"/>
  <c r="N419" s="1"/>
  <c r="M222"/>
  <c r="N222" s="1"/>
  <c r="M88"/>
  <c r="N88" s="1"/>
  <c r="M106"/>
  <c r="N106" s="1"/>
  <c r="M281"/>
  <c r="N281" s="1"/>
  <c r="M327"/>
  <c r="N327" s="1"/>
  <c r="M117"/>
  <c r="N117" s="1"/>
  <c r="M112"/>
  <c r="N112" s="1"/>
  <c r="M155"/>
  <c r="N155" s="1"/>
  <c r="M115"/>
  <c r="N115" s="1"/>
  <c r="M454"/>
  <c r="N454" s="1"/>
  <c r="M169"/>
  <c r="N169" s="1"/>
  <c r="M377"/>
  <c r="N377" s="1"/>
  <c r="M447"/>
  <c r="N447" s="1"/>
  <c r="M229"/>
  <c r="N229" s="1"/>
  <c r="M64"/>
  <c r="N64" s="1"/>
  <c r="M516"/>
  <c r="N516" s="1"/>
  <c r="M457"/>
  <c r="N457" s="1"/>
  <c r="M145"/>
  <c r="N145" s="1"/>
  <c r="M378"/>
  <c r="N378" s="1"/>
  <c r="M501"/>
  <c r="N501" s="1"/>
  <c r="M432"/>
  <c r="N432" s="1"/>
  <c r="M518"/>
  <c r="N518" s="1"/>
  <c r="M56"/>
  <c r="N56" s="1"/>
  <c r="M351"/>
  <c r="N351" s="1"/>
  <c r="M200"/>
  <c r="N200" s="1"/>
  <c r="M244"/>
  <c r="N244" s="1"/>
  <c r="M152"/>
  <c r="N152" s="1"/>
  <c r="M62"/>
  <c r="N62" s="1"/>
  <c r="M55"/>
  <c r="N55" s="1"/>
  <c r="M262"/>
  <c r="N262" s="1"/>
  <c r="M362"/>
  <c r="N362" s="1"/>
  <c r="M399"/>
  <c r="N399" s="1"/>
  <c r="M282"/>
  <c r="N282" s="1"/>
  <c r="M135"/>
  <c r="N135" s="1"/>
  <c r="M349"/>
  <c r="N349" s="1"/>
  <c r="M459"/>
  <c r="N459" s="1"/>
  <c r="M439"/>
  <c r="N439" s="1"/>
  <c r="M256"/>
  <c r="N256" s="1"/>
  <c r="M161"/>
  <c r="N161" s="1"/>
  <c r="M93"/>
  <c r="N93" s="1"/>
  <c r="M259"/>
  <c r="N259" s="1"/>
  <c r="M489"/>
  <c r="N489" s="1"/>
  <c r="M163"/>
  <c r="N163" s="1"/>
  <c r="M136"/>
  <c r="N136" s="1"/>
  <c r="M287"/>
  <c r="N287" s="1"/>
  <c r="M34"/>
  <c r="N34" s="1"/>
  <c r="M424"/>
  <c r="N424" s="1"/>
  <c r="M120"/>
  <c r="N120" s="1"/>
  <c r="M412"/>
  <c r="N412" s="1"/>
  <c r="M473"/>
  <c r="N473" s="1"/>
  <c r="M224"/>
  <c r="N224" s="1"/>
  <c r="M364"/>
  <c r="N364" s="1"/>
  <c r="M128"/>
  <c r="N128" s="1"/>
  <c r="M82"/>
  <c r="N82" s="1"/>
  <c r="M252"/>
  <c r="N252" s="1"/>
  <c r="M476"/>
  <c r="N476" s="1"/>
  <c r="M83"/>
  <c r="N83" s="1"/>
  <c r="M95"/>
  <c r="N95" s="1"/>
  <c r="M372"/>
  <c r="N372" s="1"/>
  <c r="M165"/>
  <c r="N165" s="1"/>
  <c r="M318"/>
  <c r="N318" s="1"/>
  <c r="M129"/>
  <c r="N129" s="1"/>
  <c r="C257" i="23"/>
  <c r="M356" i="33"/>
  <c r="N356" s="1"/>
  <c r="M381"/>
  <c r="N381" s="1"/>
  <c r="M391"/>
  <c r="N391" s="1"/>
  <c r="M490"/>
  <c r="N490" s="1"/>
  <c r="M303"/>
  <c r="N303" s="1"/>
  <c r="M276"/>
  <c r="N276" s="1"/>
  <c r="M188"/>
  <c r="N188" s="1"/>
  <c r="M50"/>
  <c r="N50" s="1"/>
  <c r="M376"/>
  <c r="N376" s="1"/>
  <c r="M468"/>
  <c r="N468" s="1"/>
  <c r="M367"/>
  <c r="N367" s="1"/>
  <c r="M253"/>
  <c r="N253" s="1"/>
  <c r="M251"/>
  <c r="N251" s="1"/>
  <c r="M150"/>
  <c r="N150" s="1"/>
  <c r="M482"/>
  <c r="N482" s="1"/>
  <c r="M286"/>
  <c r="N286" s="1"/>
  <c r="M345"/>
  <c r="N345" s="1"/>
  <c r="M90"/>
  <c r="N90" s="1"/>
  <c r="M19"/>
  <c r="N19" s="1"/>
  <c r="M302"/>
  <c r="N302" s="1"/>
  <c r="M157"/>
  <c r="N157" s="1"/>
  <c r="M433"/>
  <c r="N433" s="1"/>
  <c r="M428"/>
  <c r="N428" s="1"/>
  <c r="M471"/>
  <c r="N471" s="1"/>
  <c r="M333"/>
  <c r="N333" s="1"/>
  <c r="M228"/>
  <c r="N228" s="1"/>
  <c r="M107"/>
  <c r="N107" s="1"/>
  <c r="M331"/>
  <c r="N331" s="1"/>
  <c r="M294"/>
  <c r="N294" s="1"/>
  <c r="M24"/>
  <c r="N24" s="1"/>
  <c r="M119"/>
  <c r="N119" s="1"/>
  <c r="M524"/>
  <c r="N524" s="1"/>
  <c r="M267"/>
  <c r="N267" s="1"/>
  <c r="M288"/>
  <c r="N288" s="1"/>
  <c r="M323"/>
  <c r="N323" s="1"/>
  <c r="M503"/>
  <c r="N503" s="1"/>
  <c r="M258"/>
  <c r="N258" s="1"/>
  <c r="M230"/>
  <c r="N230" s="1"/>
  <c r="M87"/>
  <c r="N87" s="1"/>
  <c r="M415"/>
  <c r="N415" s="1"/>
  <c r="M298"/>
  <c r="N298" s="1"/>
  <c r="M187"/>
  <c r="N187" s="1"/>
  <c r="M221"/>
  <c r="N221" s="1"/>
  <c r="M237"/>
  <c r="N237" s="1"/>
  <c r="M307"/>
  <c r="N307" s="1"/>
  <c r="M500"/>
  <c r="N500" s="1"/>
  <c r="M512"/>
  <c r="N512" s="1"/>
  <c r="M214"/>
  <c r="N214" s="1"/>
  <c r="M451"/>
  <c r="N451" s="1"/>
  <c r="M466"/>
  <c r="N466" s="1"/>
  <c r="M350"/>
  <c r="N350" s="1"/>
  <c r="M380"/>
  <c r="N380" s="1"/>
  <c r="M43"/>
  <c r="N43" s="1"/>
  <c r="M116"/>
  <c r="N116" s="1"/>
  <c r="M328"/>
  <c r="N328" s="1"/>
  <c r="M248"/>
  <c r="N248" s="1"/>
  <c r="M31"/>
  <c r="N31" s="1"/>
  <c r="M421"/>
  <c r="N421" s="1"/>
  <c r="M291"/>
  <c r="N291" s="1"/>
  <c r="M215"/>
  <c r="N215" s="1"/>
  <c r="M353"/>
  <c r="N353" s="1"/>
  <c r="M207"/>
  <c r="N207" s="1"/>
  <c r="M467"/>
  <c r="N467" s="1"/>
  <c r="M21"/>
  <c r="N21" s="1"/>
  <c r="M57"/>
  <c r="N57" s="1"/>
  <c r="M235"/>
  <c r="N235" s="1"/>
  <c r="M29"/>
  <c r="N29" s="1"/>
  <c r="M522"/>
  <c r="N522" s="1"/>
  <c r="M285"/>
  <c r="N285" s="1"/>
  <c r="M310"/>
  <c r="N310" s="1"/>
  <c r="M322"/>
  <c r="N322" s="1"/>
  <c r="M266"/>
  <c r="N266" s="1"/>
  <c r="M765"/>
  <c r="N765" s="1"/>
  <c r="M127"/>
  <c r="N127" s="1"/>
  <c r="M255"/>
  <c r="N255" s="1"/>
  <c r="M393"/>
  <c r="N393" s="1"/>
  <c r="M168"/>
  <c r="N168" s="1"/>
  <c r="M479"/>
  <c r="N479" s="1"/>
  <c r="M178"/>
  <c r="N178" s="1"/>
  <c r="M44"/>
  <c r="N44" s="1"/>
  <c r="M277"/>
  <c r="N277" s="1"/>
  <c r="M154"/>
  <c r="N154" s="1"/>
  <c r="M92"/>
  <c r="N92" s="1"/>
  <c r="M528"/>
  <c r="N528" s="1"/>
  <c r="M105"/>
  <c r="N105" s="1"/>
  <c r="M438"/>
  <c r="N438" s="1"/>
  <c r="M167"/>
  <c r="N167" s="1"/>
  <c r="M484"/>
  <c r="N484" s="1"/>
  <c r="M290"/>
  <c r="N290" s="1"/>
  <c r="M527"/>
  <c r="N527" s="1"/>
  <c r="M156"/>
  <c r="N156" s="1"/>
  <c r="M493"/>
  <c r="N493" s="1"/>
  <c r="M51"/>
  <c r="N51" s="1"/>
  <c r="M159"/>
  <c r="N159" s="1"/>
  <c r="M408"/>
  <c r="N408" s="1"/>
  <c r="M111"/>
  <c r="N111" s="1"/>
  <c r="M368"/>
  <c r="N368" s="1"/>
  <c r="M517"/>
  <c r="N517" s="1"/>
  <c r="M392"/>
  <c r="N392" s="1"/>
  <c r="M114"/>
  <c r="N114" s="1"/>
  <c r="M162"/>
  <c r="N162" s="1"/>
  <c r="M284"/>
  <c r="N284" s="1"/>
  <c r="M206"/>
  <c r="N206" s="1"/>
  <c r="M76"/>
  <c r="N76" s="1"/>
  <c r="M242"/>
  <c r="N242" s="1"/>
  <c r="M89"/>
  <c r="N89" s="1"/>
  <c r="M491"/>
  <c r="N491" s="1"/>
  <c r="M223"/>
  <c r="N223" s="1"/>
  <c r="M216"/>
  <c r="N216" s="1"/>
  <c r="M397"/>
  <c r="N397" s="1"/>
  <c r="M141"/>
  <c r="N141" s="1"/>
  <c r="M324"/>
  <c r="N324" s="1"/>
  <c r="M308"/>
  <c r="N308" s="1"/>
  <c r="M462"/>
  <c r="N462" s="1"/>
  <c r="M198"/>
  <c r="N198" s="1"/>
  <c r="M463"/>
  <c r="N463" s="1"/>
  <c r="M264"/>
  <c r="N264" s="1"/>
  <c r="M361"/>
  <c r="N361" s="1"/>
  <c r="M346"/>
  <c r="N346" s="1"/>
  <c r="M370"/>
  <c r="N370" s="1"/>
  <c r="M385"/>
  <c r="N385" s="1"/>
  <c r="M337"/>
  <c r="N337" s="1"/>
  <c r="M176"/>
  <c r="N176" s="1"/>
  <c r="M130"/>
  <c r="N130" s="1"/>
  <c r="M260"/>
  <c r="N260" s="1"/>
  <c r="M299"/>
  <c r="N299" s="1"/>
  <c r="M84"/>
  <c r="N84" s="1"/>
  <c r="M339"/>
  <c r="N339" s="1"/>
  <c r="M289"/>
  <c r="N289" s="1"/>
  <c r="M325"/>
  <c r="N325" s="1"/>
  <c r="M442"/>
  <c r="N442" s="1"/>
  <c r="M449"/>
  <c r="N449" s="1"/>
  <c r="M386"/>
  <c r="N386" s="1"/>
  <c r="M410"/>
  <c r="N410" s="1"/>
  <c r="M783"/>
  <c r="N783" s="1"/>
  <c r="M425"/>
  <c r="N425" s="1"/>
  <c r="M525"/>
  <c r="N525" s="1"/>
  <c r="M220"/>
  <c r="N220" s="1"/>
  <c r="M455"/>
  <c r="N455" s="1"/>
  <c r="M529"/>
  <c r="N529" s="1"/>
  <c r="M271"/>
  <c r="N271" s="1"/>
  <c r="M509"/>
  <c r="N509" s="1"/>
  <c r="M562"/>
  <c r="N562" s="1"/>
  <c r="M935"/>
  <c r="N935" s="1"/>
  <c r="M658"/>
  <c r="N658" s="1"/>
  <c r="M635"/>
  <c r="N635" s="1"/>
  <c r="M647"/>
  <c r="N647" s="1"/>
  <c r="M672"/>
  <c r="N672" s="1"/>
  <c r="M814"/>
  <c r="N814" s="1"/>
  <c r="M871"/>
  <c r="N871" s="1"/>
  <c r="M972"/>
  <c r="N972" s="1"/>
  <c r="M936"/>
  <c r="N936" s="1"/>
  <c r="M613"/>
  <c r="N613" s="1"/>
  <c r="M820"/>
  <c r="N820" s="1"/>
  <c r="M1004"/>
  <c r="N1004" s="1"/>
  <c r="M625"/>
  <c r="N625" s="1"/>
  <c r="M994"/>
  <c r="N994" s="1"/>
  <c r="M821"/>
  <c r="M551"/>
  <c r="N551" s="1"/>
  <c r="M631"/>
  <c r="N631" s="1"/>
  <c r="M1013"/>
  <c r="N1013" s="1"/>
  <c r="M925"/>
  <c r="M879"/>
  <c r="N879" s="1"/>
  <c r="M959"/>
  <c r="N959" s="1"/>
  <c r="M786"/>
  <c r="N786" s="1"/>
  <c r="M505"/>
  <c r="N505" s="1"/>
  <c r="M342"/>
  <c r="N342" s="1"/>
  <c r="M204"/>
  <c r="N204" s="1"/>
  <c r="M330"/>
  <c r="N330" s="1"/>
  <c r="M41"/>
  <c r="N41" s="1"/>
  <c r="M389"/>
  <c r="N389" s="1"/>
  <c r="M469"/>
  <c r="N469" s="1"/>
  <c r="M343"/>
  <c r="N343" s="1"/>
  <c r="M60"/>
  <c r="N60" s="1"/>
  <c r="M304"/>
  <c r="N304" s="1"/>
  <c r="M486"/>
  <c r="N486" s="1"/>
  <c r="M429"/>
  <c r="N429" s="1"/>
  <c r="M98"/>
  <c r="N98" s="1"/>
  <c r="M121"/>
  <c r="N121" s="1"/>
  <c r="N746"/>
  <c r="M452"/>
  <c r="N452" s="1"/>
  <c r="M196"/>
  <c r="N196" s="1"/>
  <c r="M416"/>
  <c r="N416" s="1"/>
  <c r="M485"/>
  <c r="N485" s="1"/>
  <c r="M22"/>
  <c r="N22" s="1"/>
  <c r="M123"/>
  <c r="N123" s="1"/>
  <c r="M99"/>
  <c r="N99" s="1"/>
  <c r="M81"/>
  <c r="N81" s="1"/>
  <c r="M164"/>
  <c r="N164" s="1"/>
  <c r="M832"/>
  <c r="N832" s="1"/>
  <c r="M776"/>
  <c r="M219"/>
  <c r="N219" s="1"/>
  <c r="M1025"/>
  <c r="N1025" s="1"/>
  <c r="M1040"/>
  <c r="N1040" s="1"/>
  <c r="E238" i="23"/>
  <c r="C237"/>
  <c r="C238"/>
  <c r="E237"/>
  <c r="J548" i="33"/>
  <c r="M699"/>
  <c r="N699" s="1"/>
  <c r="M819"/>
  <c r="N819" s="1"/>
  <c r="M556"/>
  <c r="N556" s="1"/>
  <c r="M948"/>
  <c r="N948" s="1"/>
  <c r="M876"/>
  <c r="N876" s="1"/>
  <c r="M1058"/>
  <c r="N1058" s="1"/>
  <c r="M569"/>
  <c r="N569" s="1"/>
  <c r="M1054"/>
  <c r="N1054" s="1"/>
  <c r="M576"/>
  <c r="N576" s="1"/>
  <c r="M951"/>
  <c r="N951" s="1"/>
  <c r="M922"/>
  <c r="N922" s="1"/>
  <c r="M579"/>
  <c r="N579" s="1"/>
  <c r="M1031"/>
  <c r="N1031" s="1"/>
  <c r="M1014"/>
  <c r="N1014" s="1"/>
  <c r="M812"/>
  <c r="N812" s="1"/>
  <c r="M990"/>
  <c r="N990" s="1"/>
  <c r="M1047"/>
  <c r="N1047" s="1"/>
  <c r="M995"/>
  <c r="N995" s="1"/>
  <c r="M744"/>
  <c r="N744" s="1"/>
  <c r="M886"/>
  <c r="N886" s="1"/>
  <c r="M940"/>
  <c r="N940" s="1"/>
  <c r="M738"/>
  <c r="N738" s="1"/>
  <c r="M1020"/>
  <c r="N1020" s="1"/>
  <c r="M602"/>
  <c r="N602" s="1"/>
  <c r="M649"/>
  <c r="N649" s="1"/>
  <c r="M1048"/>
  <c r="N1048" s="1"/>
  <c r="M595"/>
  <c r="N595" s="1"/>
  <c r="M729"/>
  <c r="N729" s="1"/>
  <c r="M904"/>
  <c r="N904" s="1"/>
  <c r="M567"/>
  <c r="N567" s="1"/>
  <c r="M985"/>
  <c r="N985" s="1"/>
  <c r="M686"/>
  <c r="N686" s="1"/>
  <c r="M575"/>
  <c r="N575" s="1"/>
  <c r="M928"/>
  <c r="N928" s="1"/>
  <c r="M983"/>
  <c r="N983" s="1"/>
  <c r="M587"/>
  <c r="N587" s="1"/>
  <c r="M651"/>
  <c r="N651" s="1"/>
  <c r="M849"/>
  <c r="N849" s="1"/>
  <c r="M1008"/>
  <c r="N1008" s="1"/>
  <c r="M918"/>
  <c r="N918" s="1"/>
  <c r="M640"/>
  <c r="N640" s="1"/>
  <c r="M676"/>
  <c r="N676" s="1"/>
  <c r="M1057"/>
  <c r="N1057" s="1"/>
  <c r="M630"/>
  <c r="N630" s="1"/>
  <c r="M747"/>
  <c r="N747" s="1"/>
  <c r="M1026"/>
  <c r="N1026" s="1"/>
  <c r="M846"/>
  <c r="N846" s="1"/>
  <c r="M987"/>
  <c r="N987" s="1"/>
  <c r="M1062"/>
  <c r="N1062" s="1"/>
  <c r="M557"/>
  <c r="N557" s="1"/>
  <c r="M555"/>
  <c r="N555" s="1"/>
  <c r="M1049"/>
  <c r="N1049" s="1"/>
  <c r="M606"/>
  <c r="N606" s="1"/>
  <c r="M809"/>
  <c r="N809" s="1"/>
  <c r="M929"/>
  <c r="N929" s="1"/>
  <c r="M923"/>
  <c r="N923" s="1"/>
  <c r="M698"/>
  <c r="N698" s="1"/>
  <c r="M888"/>
  <c r="N888" s="1"/>
  <c r="M1016"/>
  <c r="N1016" s="1"/>
  <c r="M824"/>
  <c r="N824" s="1"/>
  <c r="M702"/>
  <c r="N702" s="1"/>
  <c r="M852"/>
  <c r="N852" s="1"/>
  <c r="M1018"/>
  <c r="N1018" s="1"/>
  <c r="M620"/>
  <c r="N620" s="1"/>
  <c r="M943"/>
  <c r="N943" s="1"/>
  <c r="M1051"/>
  <c r="N1051" s="1"/>
  <c r="M1017"/>
  <c r="N1017" s="1"/>
  <c r="M1044"/>
  <c r="N1044" s="1"/>
  <c r="M806"/>
  <c r="N806" s="1"/>
  <c r="M641"/>
  <c r="N641" s="1"/>
  <c r="M617"/>
  <c r="N617" s="1"/>
  <c r="M723"/>
  <c r="N723" s="1"/>
  <c r="M560"/>
  <c r="N560" s="1"/>
  <c r="M906"/>
  <c r="N906" s="1"/>
  <c r="M1043"/>
  <c r="N1043" s="1"/>
  <c r="M1015"/>
  <c r="N1015" s="1"/>
  <c r="M894"/>
  <c r="N894" s="1"/>
  <c r="M683"/>
  <c r="N683" s="1"/>
  <c r="M704"/>
  <c r="N704" s="1"/>
  <c r="M588"/>
  <c r="N588" s="1"/>
  <c r="M561"/>
  <c r="N561" s="1"/>
  <c r="M753"/>
  <c r="N753" s="1"/>
  <c r="M590"/>
  <c r="N590" s="1"/>
  <c r="M942"/>
  <c r="N942" s="1"/>
  <c r="M946"/>
  <c r="N946" s="1"/>
  <c r="M580"/>
  <c r="N580" s="1"/>
  <c r="M897"/>
  <c r="N897" s="1"/>
  <c r="M748"/>
  <c r="N748" s="1"/>
  <c r="M621"/>
  <c r="N621" s="1"/>
  <c r="M958"/>
  <c r="N958" s="1"/>
  <c r="M892"/>
  <c r="N892" s="1"/>
  <c r="M743"/>
  <c r="N743" s="1"/>
  <c r="M709"/>
  <c r="N709" s="1"/>
  <c r="M600"/>
  <c r="N600" s="1"/>
  <c r="M728"/>
  <c r="N728" s="1"/>
  <c r="M993"/>
  <c r="N993" s="1"/>
  <c r="M986"/>
  <c r="N986" s="1"/>
  <c r="M688"/>
  <c r="N688" s="1"/>
  <c r="M687"/>
  <c r="N687" s="1"/>
  <c r="M842"/>
  <c r="N842" s="1"/>
  <c r="M692"/>
  <c r="N692" s="1"/>
  <c r="M700"/>
  <c r="N700" s="1"/>
  <c r="M720"/>
  <c r="N720" s="1"/>
  <c r="M727"/>
  <c r="N727" s="1"/>
  <c r="M988"/>
  <c r="N988" s="1"/>
  <c r="M642"/>
  <c r="N642" s="1"/>
  <c r="M665"/>
  <c r="N665" s="1"/>
  <c r="M650"/>
  <c r="N650" s="1"/>
  <c r="M627"/>
  <c r="N627" s="1"/>
  <c r="M752"/>
  <c r="N752" s="1"/>
  <c r="M775"/>
  <c r="N775" s="1"/>
  <c r="M860"/>
  <c r="N860" s="1"/>
  <c r="M784"/>
  <c r="N784" s="1"/>
  <c r="M645"/>
  <c r="N645" s="1"/>
  <c r="M838"/>
  <c r="N838" s="1"/>
  <c r="M1061"/>
  <c r="N1061" s="1"/>
  <c r="M751"/>
  <c r="N751" s="1"/>
  <c r="M1010"/>
  <c r="N1010" s="1"/>
  <c r="M815"/>
  <c r="N815" s="1"/>
  <c r="M770"/>
  <c r="N770" s="1"/>
  <c r="M810"/>
  <c r="N810" s="1"/>
  <c r="M607"/>
  <c r="N607" s="1"/>
  <c r="M847"/>
  <c r="N847" s="1"/>
  <c r="M866"/>
  <c r="N866" s="1"/>
  <c r="M898"/>
  <c r="N898" s="1"/>
  <c r="M939"/>
  <c r="N939" s="1"/>
  <c r="M950"/>
  <c r="N950" s="1"/>
  <c r="M673"/>
  <c r="N673" s="1"/>
  <c r="M799"/>
  <c r="N799" s="1"/>
  <c r="M577"/>
  <c r="N577" s="1"/>
  <c r="M839"/>
  <c r="N839" s="1"/>
  <c r="M594"/>
  <c r="N594" s="1"/>
  <c r="M695"/>
  <c r="N695" s="1"/>
  <c r="M855"/>
  <c r="N855" s="1"/>
  <c r="M872"/>
  <c r="N872" s="1"/>
  <c r="M633"/>
  <c r="N633" s="1"/>
  <c r="M817"/>
  <c r="N817" s="1"/>
  <c r="M710"/>
  <c r="N710" s="1"/>
  <c r="M634"/>
  <c r="N634" s="1"/>
  <c r="M666"/>
  <c r="N666" s="1"/>
  <c r="M907"/>
  <c r="N907" s="1"/>
  <c r="M944"/>
  <c r="N944" s="1"/>
  <c r="M1032"/>
  <c r="N1032" s="1"/>
  <c r="M912"/>
  <c r="N912" s="1"/>
  <c r="M553"/>
  <c r="N553" s="1"/>
  <c r="M684"/>
  <c r="N684" s="1"/>
  <c r="M1056"/>
  <c r="N1056" s="1"/>
  <c r="M796"/>
  <c r="N796" s="1"/>
  <c r="M1012"/>
  <c r="N1012" s="1"/>
  <c r="M614"/>
  <c r="N614" s="1"/>
  <c r="M962"/>
  <c r="N962" s="1"/>
  <c r="M848"/>
  <c r="N848" s="1"/>
  <c r="M612"/>
  <c r="N612" s="1"/>
  <c r="M807"/>
  <c r="N807" s="1"/>
  <c r="M1011"/>
  <c r="N1011" s="1"/>
  <c r="M979"/>
  <c r="N979" s="1"/>
  <c r="M934"/>
  <c r="N934" s="1"/>
  <c r="M823"/>
  <c r="N823" s="1"/>
  <c r="M711"/>
  <c r="N711" s="1"/>
  <c r="M889"/>
  <c r="N889" s="1"/>
  <c r="M611"/>
  <c r="N611" s="1"/>
  <c r="M623"/>
  <c r="N623" s="1"/>
  <c r="M870"/>
  <c r="N870" s="1"/>
  <c r="M803"/>
  <c r="N803" s="1"/>
  <c r="M779"/>
  <c r="N779" s="1"/>
  <c r="M875"/>
  <c r="N875" s="1"/>
  <c r="M1046"/>
  <c r="N1046" s="1"/>
  <c r="M662"/>
  <c r="N662" s="1"/>
  <c r="M1021"/>
  <c r="N1021" s="1"/>
  <c r="M927"/>
  <c r="N927" s="1"/>
  <c r="M970"/>
  <c r="N970" s="1"/>
  <c r="M1006"/>
  <c r="N1006" s="1"/>
  <c r="M800"/>
  <c r="N800" s="1"/>
  <c r="M730"/>
  <c r="N730" s="1"/>
  <c r="M572"/>
  <c r="N572" s="1"/>
  <c r="M980"/>
  <c r="N980" s="1"/>
  <c r="M708"/>
  <c r="N708" s="1"/>
  <c r="M632"/>
  <c r="N632" s="1"/>
  <c r="M968"/>
  <c r="N968" s="1"/>
  <c r="M685"/>
  <c r="N685" s="1"/>
  <c r="M1052"/>
  <c r="N1052" s="1"/>
  <c r="M573"/>
  <c r="N573" s="1"/>
  <c r="M564"/>
  <c r="N564" s="1"/>
  <c r="M717"/>
  <c r="N717" s="1"/>
  <c r="M874"/>
  <c r="N874" s="1"/>
  <c r="M716"/>
  <c r="N716" s="1"/>
  <c r="M718"/>
  <c r="N718" s="1"/>
  <c r="M902"/>
  <c r="N902" s="1"/>
  <c r="M781"/>
  <c r="N781" s="1"/>
  <c r="M1042"/>
  <c r="N1042" s="1"/>
  <c r="M914"/>
  <c r="N914" s="1"/>
  <c r="M677"/>
  <c r="N677" s="1"/>
  <c r="M609"/>
  <c r="N609" s="1"/>
  <c r="M919"/>
  <c r="N919" s="1"/>
  <c r="M802"/>
  <c r="N802" s="1"/>
  <c r="M822"/>
  <c r="N822" s="1"/>
  <c r="M585"/>
  <c r="N585" s="1"/>
  <c r="M1041"/>
  <c r="N1041" s="1"/>
  <c r="M903"/>
  <c r="N903" s="1"/>
  <c r="M584"/>
  <c r="N584" s="1"/>
  <c r="M742"/>
  <c r="N742" s="1"/>
  <c r="M991"/>
  <c r="N991" s="1"/>
  <c r="M780"/>
  <c r="N780" s="1"/>
  <c r="M997"/>
  <c r="N997" s="1"/>
  <c r="M678"/>
  <c r="N678" s="1"/>
  <c r="M764"/>
  <c r="N764" s="1"/>
  <c r="M656"/>
  <c r="N656" s="1"/>
  <c r="M853"/>
  <c r="N853" s="1"/>
  <c r="M828"/>
  <c r="N828" s="1"/>
  <c r="M938"/>
  <c r="N938" s="1"/>
  <c r="M1023"/>
  <c r="N1023" s="1"/>
  <c r="M566"/>
  <c r="N566" s="1"/>
  <c r="M1022"/>
  <c r="N1022" s="1"/>
  <c r="M648"/>
  <c r="N648" s="1"/>
  <c r="M816"/>
  <c r="N816" s="1"/>
  <c r="M957"/>
  <c r="N957" s="1"/>
  <c r="M574"/>
  <c r="N574" s="1"/>
  <c r="M984"/>
  <c r="N984" s="1"/>
  <c r="M1002"/>
  <c r="N1002" s="1"/>
  <c r="M615"/>
  <c r="N615" s="1"/>
  <c r="M900"/>
  <c r="N900" s="1"/>
  <c r="M850"/>
  <c r="N850" s="1"/>
  <c r="M1053"/>
  <c r="N1053" s="1"/>
  <c r="M982"/>
  <c r="N982" s="1"/>
  <c r="M596"/>
  <c r="N596" s="1"/>
  <c r="M705"/>
  <c r="N705" s="1"/>
  <c r="M921"/>
  <c r="N921" s="1"/>
  <c r="M790"/>
  <c r="N790" s="1"/>
  <c r="M859"/>
  <c r="N859" s="1"/>
  <c r="M1035"/>
  <c r="N1035" s="1"/>
  <c r="M969"/>
  <c r="N969" s="1"/>
  <c r="M835"/>
  <c r="N835" s="1"/>
  <c r="M771"/>
  <c r="N771" s="1"/>
  <c r="M639"/>
  <c r="N639" s="1"/>
  <c r="M955"/>
  <c r="N955" s="1"/>
  <c r="M896"/>
  <c r="N896" s="1"/>
  <c r="M671"/>
  <c r="N671" s="1"/>
  <c r="M719"/>
  <c r="N719" s="1"/>
  <c r="M554"/>
  <c r="N554" s="1"/>
  <c r="M1000"/>
  <c r="N1000" s="1"/>
  <c r="M762"/>
  <c r="N762" s="1"/>
  <c r="M829"/>
  <c r="N829" s="1"/>
  <c r="M895"/>
  <c r="N895" s="1"/>
  <c r="M787"/>
  <c r="N787" s="1"/>
  <c r="M629"/>
  <c r="N629" s="1"/>
  <c r="M785"/>
  <c r="N785" s="1"/>
  <c r="M909"/>
  <c r="N909" s="1"/>
  <c r="M992"/>
  <c r="N992" s="1"/>
  <c r="M761"/>
  <c r="N761" s="1"/>
  <c r="M1055"/>
  <c r="N1055" s="1"/>
  <c r="M740"/>
  <c r="N740" s="1"/>
  <c r="M856"/>
  <c r="N856" s="1"/>
  <c r="M917"/>
  <c r="N917" s="1"/>
  <c r="M845"/>
  <c r="N845" s="1"/>
  <c r="M867"/>
  <c r="N867" s="1"/>
  <c r="M826"/>
  <c r="N826" s="1"/>
  <c r="M890"/>
  <c r="N890" s="1"/>
  <c r="M905"/>
  <c r="N905" s="1"/>
  <c r="M670"/>
  <c r="N670" s="1"/>
  <c r="M736"/>
  <c r="N736" s="1"/>
  <c r="M854"/>
  <c r="N854" s="1"/>
  <c r="M863"/>
  <c r="N863" s="1"/>
  <c r="M818"/>
  <c r="N818" s="1"/>
  <c r="M920"/>
  <c r="N920" s="1"/>
  <c r="M636"/>
  <c r="N636" s="1"/>
  <c r="M597"/>
  <c r="N597" s="1"/>
  <c r="J603"/>
  <c r="K603" s="1"/>
  <c r="J1012"/>
  <c r="K1012" s="1"/>
  <c r="J845"/>
  <c r="K845" s="1"/>
  <c r="J868"/>
  <c r="K868" s="1"/>
  <c r="J925"/>
  <c r="K925" s="1"/>
  <c r="J581"/>
  <c r="K581" s="1"/>
  <c r="J946"/>
  <c r="K946" s="1"/>
  <c r="B540"/>
  <c r="J712"/>
  <c r="K712" s="1"/>
  <c r="J828"/>
  <c r="K828" s="1"/>
  <c r="J865"/>
  <c r="K865" s="1"/>
  <c r="J934"/>
  <c r="K934" s="1"/>
  <c r="J766"/>
  <c r="K766" s="1"/>
  <c r="J782"/>
  <c r="K782" s="1"/>
  <c r="J927"/>
  <c r="K927" s="1"/>
  <c r="J792"/>
  <c r="K792" s="1"/>
  <c r="J1038"/>
  <c r="K1038" s="1"/>
  <c r="J848"/>
  <c r="K848" s="1"/>
  <c r="J1001"/>
  <c r="K1001" s="1"/>
  <c r="J659"/>
  <c r="K659" s="1"/>
  <c r="J834"/>
  <c r="K834" s="1"/>
  <c r="J956"/>
  <c r="K956" s="1"/>
  <c r="J773"/>
  <c r="K773" s="1"/>
  <c r="J582"/>
  <c r="K582" s="1"/>
  <c r="J880"/>
  <c r="K880" s="1"/>
  <c r="J954"/>
  <c r="K954" s="1"/>
  <c r="J646"/>
  <c r="K646" s="1"/>
  <c r="J798"/>
  <c r="K798" s="1"/>
  <c r="J594"/>
  <c r="K594" s="1"/>
  <c r="J637"/>
  <c r="K637" s="1"/>
  <c r="J983"/>
  <c r="K983" s="1"/>
  <c r="J992"/>
  <c r="K992" s="1"/>
  <c r="J735"/>
  <c r="K735" s="1"/>
  <c r="J571"/>
  <c r="K571" s="1"/>
  <c r="J701"/>
  <c r="K701" s="1"/>
  <c r="J779"/>
  <c r="K779" s="1"/>
  <c r="J567"/>
  <c r="K567" s="1"/>
  <c r="J1009"/>
  <c r="K1009" s="1"/>
  <c r="J740"/>
  <c r="K740" s="1"/>
  <c r="J926"/>
  <c r="K926" s="1"/>
  <c r="J990"/>
  <c r="K990" s="1"/>
  <c r="J936"/>
  <c r="K936" s="1"/>
  <c r="J977"/>
  <c r="K977" s="1"/>
  <c r="J994"/>
  <c r="K994" s="1"/>
  <c r="J1043"/>
  <c r="K1043" s="1"/>
  <c r="J911"/>
  <c r="K911" s="1"/>
  <c r="J813"/>
  <c r="K813" s="1"/>
  <c r="J844"/>
  <c r="K844" s="1"/>
  <c r="J715"/>
  <c r="K715" s="1"/>
  <c r="J785"/>
  <c r="K785" s="1"/>
  <c r="J672"/>
  <c r="K672" s="1"/>
  <c r="J1049"/>
  <c r="K1049" s="1"/>
  <c r="J624"/>
  <c r="K624" s="1"/>
  <c r="J965"/>
  <c r="K965" s="1"/>
  <c r="J660"/>
  <c r="K660" s="1"/>
  <c r="J875"/>
  <c r="K875" s="1"/>
  <c r="J972"/>
  <c r="K972" s="1"/>
  <c r="J898"/>
  <c r="K898" s="1"/>
  <c r="J742"/>
  <c r="K742" s="1"/>
  <c r="J997"/>
  <c r="K997" s="1"/>
  <c r="J723"/>
  <c r="K723" s="1"/>
  <c r="J853"/>
  <c r="K853" s="1"/>
  <c r="J560"/>
  <c r="K560" s="1"/>
  <c r="J919"/>
  <c r="K919" s="1"/>
  <c r="J905"/>
  <c r="K905" s="1"/>
  <c r="J1023"/>
  <c r="K1023" s="1"/>
  <c r="J593"/>
  <c r="K593" s="1"/>
  <c r="J802"/>
  <c r="K802" s="1"/>
  <c r="J642"/>
  <c r="K642" s="1"/>
  <c r="J1016"/>
  <c r="K1016" s="1"/>
  <c r="J707"/>
  <c r="K707" s="1"/>
  <c r="J937"/>
  <c r="K937" s="1"/>
  <c r="J656"/>
  <c r="K656" s="1"/>
  <c r="J651"/>
  <c r="K651" s="1"/>
  <c r="J829"/>
  <c r="K829" s="1"/>
  <c r="J1035"/>
  <c r="K1035" s="1"/>
  <c r="J625"/>
  <c r="K625" s="1"/>
  <c r="J930"/>
  <c r="K930" s="1"/>
  <c r="J602"/>
  <c r="K602" s="1"/>
  <c r="J942"/>
  <c r="K942" s="1"/>
  <c r="J676"/>
  <c r="K676" s="1"/>
  <c r="J727"/>
  <c r="K727" s="1"/>
  <c r="J564"/>
  <c r="K564" s="1"/>
  <c r="J928"/>
  <c r="K928" s="1"/>
  <c r="J1051"/>
  <c r="K1051" s="1"/>
  <c r="J595"/>
  <c r="K595" s="1"/>
  <c r="J685"/>
  <c r="K685" s="1"/>
  <c r="J852"/>
  <c r="K852" s="1"/>
  <c r="J747"/>
  <c r="K747" s="1"/>
  <c r="J561"/>
  <c r="K561" s="1"/>
  <c r="J610"/>
  <c r="K610" s="1"/>
  <c r="J658"/>
  <c r="K658" s="1"/>
  <c r="J793"/>
  <c r="K793" s="1"/>
  <c r="J697"/>
  <c r="K697" s="1"/>
  <c r="J989"/>
  <c r="K989" s="1"/>
  <c r="J887"/>
  <c r="K887" s="1"/>
  <c r="J770"/>
  <c r="K770" s="1"/>
  <c r="B252" i="23"/>
  <c r="B28" i="34"/>
  <c r="N925" i="33"/>
  <c r="N608"/>
  <c r="M598"/>
  <c r="N598" s="1"/>
  <c r="M581"/>
  <c r="N581" s="1"/>
  <c r="M1003"/>
  <c r="N1003" s="1"/>
  <c r="M667"/>
  <c r="N667" s="1"/>
  <c r="M862"/>
  <c r="N862" s="1"/>
  <c r="M565"/>
  <c r="N565" s="1"/>
  <c r="M622"/>
  <c r="N622" s="1"/>
  <c r="M908"/>
  <c r="N908" s="1"/>
  <c r="M1045"/>
  <c r="N1045" s="1"/>
  <c r="M772"/>
  <c r="N772" s="1"/>
  <c r="M734"/>
  <c r="N734" s="1"/>
  <c r="M638"/>
  <c r="N638" s="1"/>
  <c r="M891"/>
  <c r="N891" s="1"/>
  <c r="M1036"/>
  <c r="N1036" s="1"/>
  <c r="M681"/>
  <c r="N681" s="1"/>
  <c r="M877"/>
  <c r="N877" s="1"/>
  <c r="M836"/>
  <c r="N836" s="1"/>
  <c r="M789"/>
  <c r="N789" s="1"/>
  <c r="M571"/>
  <c r="N571" s="1"/>
  <c r="M583"/>
  <c r="N583" s="1"/>
  <c r="M616"/>
  <c r="N616" s="1"/>
  <c r="M1001"/>
  <c r="N1001" s="1"/>
  <c r="M811"/>
  <c r="N811" s="1"/>
  <c r="M901"/>
  <c r="N901" s="1"/>
  <c r="M722"/>
  <c r="N722" s="1"/>
  <c r="M663"/>
  <c r="N663" s="1"/>
  <c r="M913"/>
  <c r="N913" s="1"/>
  <c r="M682"/>
  <c r="N682" s="1"/>
  <c r="M388"/>
  <c r="N388" s="1"/>
  <c r="M195"/>
  <c r="N195" s="1"/>
  <c r="M434"/>
  <c r="N434" s="1"/>
  <c r="M568"/>
  <c r="N568" s="1"/>
  <c r="M777"/>
  <c r="N777" s="1"/>
  <c r="M760"/>
  <c r="N760" s="1"/>
  <c r="M697"/>
  <c r="N697" s="1"/>
  <c r="M77"/>
  <c r="N77" s="1"/>
  <c r="M833"/>
  <c r="N833" s="1"/>
  <c r="M949"/>
  <c r="N949" s="1"/>
  <c r="M754"/>
  <c r="N754" s="1"/>
  <c r="M844"/>
  <c r="N844" s="1"/>
  <c r="M947"/>
  <c r="N947" s="1"/>
  <c r="M599"/>
  <c r="N599" s="1"/>
  <c r="M924"/>
  <c r="N924" s="1"/>
  <c r="M570"/>
  <c r="N570" s="1"/>
  <c r="M773"/>
  <c r="N773" s="1"/>
  <c r="M680"/>
  <c r="N680" s="1"/>
  <c r="M626"/>
  <c r="N626" s="1"/>
  <c r="M965"/>
  <c r="N965" s="1"/>
  <c r="M140"/>
  <c r="N140" s="1"/>
  <c r="C111" i="23"/>
  <c r="C112" s="1"/>
  <c r="C172"/>
  <c r="C173" s="1"/>
  <c r="B44" i="34"/>
  <c r="AH23" i="2"/>
  <c r="C256" i="23"/>
  <c r="J374" i="33"/>
  <c r="K374" s="1"/>
  <c r="J225"/>
  <c r="K225" s="1"/>
  <c r="J155"/>
  <c r="K155" s="1"/>
  <c r="J456"/>
  <c r="K456" s="1"/>
  <c r="J336"/>
  <c r="K336" s="1"/>
  <c r="J462"/>
  <c r="K462" s="1"/>
  <c r="J80"/>
  <c r="K80" s="1"/>
  <c r="J103"/>
  <c r="K103" s="1"/>
  <c r="J394"/>
  <c r="K394" s="1"/>
  <c r="I47" i="2"/>
  <c r="J528" i="33"/>
  <c r="K528" s="1"/>
  <c r="J305"/>
  <c r="K305" s="1"/>
  <c r="J489"/>
  <c r="K489" s="1"/>
  <c r="J127"/>
  <c r="K127" s="1"/>
  <c r="J135"/>
  <c r="K135" s="1"/>
  <c r="J250"/>
  <c r="K250" s="1"/>
  <c r="J454"/>
  <c r="K454" s="1"/>
  <c r="J405"/>
  <c r="K405" s="1"/>
  <c r="J115"/>
  <c r="K115" s="1"/>
  <c r="J316"/>
  <c r="K316" s="1"/>
  <c r="J150"/>
  <c r="K150" s="1"/>
  <c r="J387"/>
  <c r="K387" s="1"/>
  <c r="J251"/>
  <c r="K251" s="1"/>
  <c r="J260"/>
  <c r="K260" s="1"/>
  <c r="J522"/>
  <c r="K522" s="1"/>
  <c r="J368"/>
  <c r="K368" s="1"/>
  <c r="J88"/>
  <c r="K88" s="1"/>
  <c r="J398"/>
  <c r="K398" s="1"/>
  <c r="J77"/>
  <c r="K77" s="1"/>
  <c r="J22"/>
  <c r="K22" s="1"/>
  <c r="J452"/>
  <c r="K452" s="1"/>
  <c r="J48"/>
  <c r="K48" s="1"/>
  <c r="J285"/>
  <c r="K285" s="1"/>
  <c r="J399"/>
  <c r="K399" s="1"/>
  <c r="J328"/>
  <c r="K328" s="1"/>
  <c r="J209"/>
  <c r="K209" s="1"/>
  <c r="J459"/>
  <c r="K459" s="1"/>
  <c r="J496"/>
  <c r="K496" s="1"/>
  <c r="J129"/>
  <c r="K129" s="1"/>
  <c r="J247"/>
  <c r="K247" s="1"/>
  <c r="J105"/>
  <c r="K105" s="1"/>
  <c r="J248"/>
  <c r="K248" s="1"/>
  <c r="J262"/>
  <c r="K262" s="1"/>
  <c r="J271"/>
  <c r="K271" s="1"/>
  <c r="J320"/>
  <c r="K320" s="1"/>
  <c r="J480"/>
  <c r="K480" s="1"/>
  <c r="J52"/>
  <c r="K52" s="1"/>
  <c r="J471"/>
  <c r="K471" s="1"/>
  <c r="J417"/>
  <c r="K417" s="1"/>
  <c r="J182"/>
  <c r="K182" s="1"/>
  <c r="J343"/>
  <c r="K343" s="1"/>
  <c r="J381"/>
  <c r="K381" s="1"/>
  <c r="J457"/>
  <c r="K457" s="1"/>
  <c r="J30"/>
  <c r="K30" s="1"/>
  <c r="J475"/>
  <c r="K475" s="1"/>
  <c r="J526"/>
  <c r="K526" s="1"/>
  <c r="J138"/>
  <c r="K138" s="1"/>
  <c r="J474"/>
  <c r="K474" s="1"/>
  <c r="J357"/>
  <c r="K357" s="1"/>
  <c r="J463"/>
  <c r="K463" s="1"/>
  <c r="J315"/>
  <c r="K315" s="1"/>
  <c r="J318"/>
  <c r="K318" s="1"/>
  <c r="J82"/>
  <c r="K82" s="1"/>
  <c r="J221"/>
  <c r="K221" s="1"/>
  <c r="J416"/>
  <c r="K416" s="1"/>
  <c r="J73"/>
  <c r="K73" s="1"/>
  <c r="J154"/>
  <c r="K154" s="1"/>
  <c r="J162"/>
  <c r="K162" s="1"/>
  <c r="J353"/>
  <c r="K353" s="1"/>
  <c r="J253"/>
  <c r="K253" s="1"/>
  <c r="J332"/>
  <c r="K332" s="1"/>
  <c r="J156"/>
  <c r="K156" s="1"/>
  <c r="J42"/>
  <c r="K42" s="1"/>
  <c r="J109"/>
  <c r="K109" s="1"/>
  <c r="J161"/>
  <c r="K161" s="1"/>
  <c r="J143"/>
  <c r="K143" s="1"/>
  <c r="J363"/>
  <c r="K363" s="1"/>
  <c r="J246"/>
  <c r="K246" s="1"/>
  <c r="J263"/>
  <c r="K263" s="1"/>
  <c r="J245"/>
  <c r="K245" s="1"/>
  <c r="J257"/>
  <c r="K257" s="1"/>
  <c r="J86"/>
  <c r="K86" s="1"/>
  <c r="J130"/>
  <c r="K130" s="1"/>
  <c r="J295"/>
  <c r="K295" s="1"/>
  <c r="J277"/>
  <c r="K277" s="1"/>
  <c r="J81"/>
  <c r="K81" s="1"/>
  <c r="J114"/>
  <c r="K114" s="1"/>
  <c r="J509"/>
  <c r="K509" s="1"/>
  <c r="J341"/>
  <c r="K341" s="1"/>
  <c r="J510"/>
  <c r="K510" s="1"/>
  <c r="J18"/>
  <c r="K18" s="1"/>
  <c r="J494"/>
  <c r="K494" s="1"/>
  <c r="J422"/>
  <c r="K422" s="1"/>
  <c r="J184"/>
  <c r="K184" s="1"/>
  <c r="J174"/>
  <c r="K174" s="1"/>
  <c r="J142"/>
  <c r="K142" s="1"/>
  <c r="J514"/>
  <c r="K514" s="1"/>
  <c r="J95"/>
  <c r="K95" s="1"/>
  <c r="J249"/>
  <c r="K249" s="1"/>
  <c r="J429"/>
  <c r="K429" s="1"/>
  <c r="J56"/>
  <c r="K56" s="1"/>
  <c r="J264"/>
  <c r="K264" s="1"/>
  <c r="J165"/>
  <c r="K165" s="1"/>
  <c r="J369"/>
  <c r="K369" s="1"/>
  <c r="J65"/>
  <c r="K65" s="1"/>
  <c r="J351"/>
  <c r="K351" s="1"/>
  <c r="J508"/>
  <c r="K508" s="1"/>
  <c r="J236"/>
  <c r="K236" s="1"/>
  <c r="J400"/>
  <c r="K400" s="1"/>
  <c r="J59"/>
  <c r="K59" s="1"/>
  <c r="J302"/>
  <c r="K302" s="1"/>
  <c r="J62"/>
  <c r="K62" s="1"/>
  <c r="J354"/>
  <c r="K354" s="1"/>
  <c r="J490"/>
  <c r="K490" s="1"/>
  <c r="J207"/>
  <c r="K207" s="1"/>
  <c r="J397"/>
  <c r="K397" s="1"/>
  <c r="J40"/>
  <c r="K40" s="1"/>
  <c r="J200"/>
  <c r="K200" s="1"/>
  <c r="N821"/>
  <c r="M1005"/>
  <c r="N1005" s="1"/>
  <c r="M675"/>
  <c r="N675" s="1"/>
  <c r="M732"/>
  <c r="N732" s="1"/>
  <c r="M707"/>
  <c r="N707" s="1"/>
  <c r="M861"/>
  <c r="N861" s="1"/>
  <c r="M843"/>
  <c r="N843" s="1"/>
  <c r="M758"/>
  <c r="N758" s="1"/>
  <c r="M659"/>
  <c r="N659" s="1"/>
  <c r="M643"/>
  <c r="N643" s="1"/>
  <c r="M624"/>
  <c r="N624" s="1"/>
  <c r="M930"/>
  <c r="N930" s="1"/>
  <c r="M932"/>
  <c r="N932" s="1"/>
  <c r="M887"/>
  <c r="N887" s="1"/>
  <c r="M830"/>
  <c r="N830" s="1"/>
  <c r="M668"/>
  <c r="N668" s="1"/>
  <c r="M655"/>
  <c r="N655" s="1"/>
  <c r="M911"/>
  <c r="N911" s="1"/>
  <c r="M591"/>
  <c r="N591" s="1"/>
  <c r="M715"/>
  <c r="N715" s="1"/>
  <c r="M735"/>
  <c r="N735" s="1"/>
  <c r="M1037"/>
  <c r="N1037" s="1"/>
  <c r="M763"/>
  <c r="N763" s="1"/>
  <c r="M653"/>
  <c r="N653" s="1"/>
  <c r="M1029"/>
  <c r="N1029" s="1"/>
  <c r="M731"/>
  <c r="N731" s="1"/>
  <c r="M757"/>
  <c r="N757" s="1"/>
  <c r="M977"/>
  <c r="N977" s="1"/>
  <c r="M788"/>
  <c r="N788" s="1"/>
  <c r="M696"/>
  <c r="N696" s="1"/>
  <c r="M801"/>
  <c r="N801" s="1"/>
  <c r="M1033"/>
  <c r="N1033" s="1"/>
  <c r="M1030"/>
  <c r="N1030" s="1"/>
  <c r="M916"/>
  <c r="N916" s="1"/>
  <c r="M945"/>
  <c r="N945" s="1"/>
  <c r="M778"/>
  <c r="N778" s="1"/>
  <c r="M694"/>
  <c r="N694" s="1"/>
  <c r="M79"/>
  <c r="N79" s="1"/>
  <c r="M312"/>
  <c r="N312" s="1"/>
  <c r="M86"/>
  <c r="N86" s="1"/>
  <c r="M257"/>
  <c r="N257" s="1"/>
  <c r="M989"/>
  <c r="N989" s="1"/>
  <c r="M767"/>
  <c r="N767" s="1"/>
  <c r="M706"/>
  <c r="N706" s="1"/>
  <c r="M756"/>
  <c r="N756" s="1"/>
  <c r="M952"/>
  <c r="N952" s="1"/>
  <c r="M795"/>
  <c r="N795" s="1"/>
  <c r="M885"/>
  <c r="N885" s="1"/>
  <c r="M873"/>
  <c r="N873" s="1"/>
  <c r="M733"/>
  <c r="N733" s="1"/>
  <c r="M601"/>
  <c r="N601" s="1"/>
  <c r="M610"/>
  <c r="N610" s="1"/>
  <c r="M865"/>
  <c r="N865" s="1"/>
  <c r="M841"/>
  <c r="N841" s="1"/>
  <c r="M975"/>
  <c r="N975" s="1"/>
  <c r="M749"/>
  <c r="N749" s="1"/>
  <c r="M726"/>
  <c r="N726" s="1"/>
  <c r="M956"/>
  <c r="N956" s="1"/>
  <c r="M192"/>
  <c r="N192" s="1"/>
  <c r="M411"/>
  <c r="N411" s="1"/>
  <c r="M205"/>
  <c r="N205" s="1"/>
  <c r="M199"/>
  <c r="N199" s="1"/>
  <c r="M403"/>
  <c r="N403" s="1"/>
  <c r="M73"/>
  <c r="N73" s="1"/>
  <c r="M131"/>
  <c r="N131" s="1"/>
  <c r="M398"/>
  <c r="N398" s="1"/>
  <c r="M37"/>
  <c r="N37" s="1"/>
  <c r="M357"/>
  <c r="N357" s="1"/>
  <c r="M458"/>
  <c r="N458" s="1"/>
  <c r="M406"/>
  <c r="N406" s="1"/>
  <c r="M30"/>
  <c r="N30" s="1"/>
  <c r="M465"/>
  <c r="N465" s="1"/>
  <c r="M293"/>
  <c r="N293" s="1"/>
  <c r="M254"/>
  <c r="N254" s="1"/>
  <c r="M118"/>
  <c r="N118" s="1"/>
  <c r="M338"/>
  <c r="N338" s="1"/>
  <c r="M513"/>
  <c r="N513" s="1"/>
  <c r="M359"/>
  <c r="N359" s="1"/>
  <c r="M35"/>
  <c r="N35" s="1"/>
  <c r="M400"/>
  <c r="N400" s="1"/>
  <c r="M246"/>
  <c r="N246" s="1"/>
  <c r="M417"/>
  <c r="N417" s="1"/>
  <c r="M453"/>
  <c r="N453" s="1"/>
  <c r="M153"/>
  <c r="N153" s="1"/>
  <c r="M218"/>
  <c r="N218" s="1"/>
  <c r="M36"/>
  <c r="N36" s="1"/>
  <c r="M326"/>
  <c r="N326" s="1"/>
  <c r="M445"/>
  <c r="N445" s="1"/>
  <c r="M133"/>
  <c r="N133" s="1"/>
  <c r="M48"/>
  <c r="N48" s="1"/>
  <c r="M313"/>
  <c r="N313" s="1"/>
  <c r="M231"/>
  <c r="N231" s="1"/>
  <c r="M374"/>
  <c r="N374" s="1"/>
  <c r="M234"/>
  <c r="N234" s="1"/>
  <c r="M375"/>
  <c r="N375" s="1"/>
  <c r="M78"/>
  <c r="N78" s="1"/>
  <c r="M492"/>
  <c r="N492" s="1"/>
  <c r="M309"/>
  <c r="N309" s="1"/>
  <c r="M58"/>
  <c r="N58" s="1"/>
  <c r="M134"/>
  <c r="N134" s="1"/>
  <c r="M336"/>
  <c r="N336" s="1"/>
  <c r="M497"/>
  <c r="N497" s="1"/>
  <c r="M63"/>
  <c r="N63" s="1"/>
  <c r="M520"/>
  <c r="N520" s="1"/>
  <c r="M427"/>
  <c r="N427" s="1"/>
  <c r="M495"/>
  <c r="N495" s="1"/>
  <c r="M321"/>
  <c r="N321" s="1"/>
  <c r="M183"/>
  <c r="N183" s="1"/>
  <c r="M158"/>
  <c r="N158" s="1"/>
  <c r="M94"/>
  <c r="N94" s="1"/>
  <c r="M387"/>
  <c r="N387" s="1"/>
  <c r="M269"/>
  <c r="N269" s="1"/>
  <c r="M384"/>
  <c r="N384" s="1"/>
  <c r="M238"/>
  <c r="N238" s="1"/>
  <c r="M139"/>
  <c r="N139" s="1"/>
  <c r="M146"/>
  <c r="N146" s="1"/>
  <c r="M210"/>
  <c r="N210" s="1"/>
  <c r="M96"/>
  <c r="N96" s="1"/>
  <c r="M390"/>
  <c r="N390" s="1"/>
  <c r="M352"/>
  <c r="N352" s="1"/>
  <c r="M450"/>
  <c r="N450" s="1"/>
  <c r="M499"/>
  <c r="N499" s="1"/>
  <c r="M464"/>
  <c r="N464" s="1"/>
  <c r="M85"/>
  <c r="N85" s="1"/>
  <c r="M102"/>
  <c r="N102" s="1"/>
  <c r="M80"/>
  <c r="N80" s="1"/>
  <c r="M185"/>
  <c r="N185" s="1"/>
  <c r="M23"/>
  <c r="N23" s="1"/>
  <c r="M278"/>
  <c r="N278" s="1"/>
  <c r="M341"/>
  <c r="N341" s="1"/>
  <c r="M354"/>
  <c r="N354" s="1"/>
  <c r="M394"/>
  <c r="N394" s="1"/>
  <c r="M45"/>
  <c r="N45" s="1"/>
  <c r="M295"/>
  <c r="N295" s="1"/>
  <c r="M414"/>
  <c r="N414" s="1"/>
  <c r="M247"/>
  <c r="N247" s="1"/>
  <c r="M261"/>
  <c r="N261" s="1"/>
  <c r="M39"/>
  <c r="N39" s="1"/>
  <c r="M297"/>
  <c r="N297" s="1"/>
  <c r="M70"/>
  <c r="N70" s="1"/>
  <c r="M49"/>
  <c r="N49" s="1"/>
  <c r="M61"/>
  <c r="N61" s="1"/>
  <c r="M383"/>
  <c r="N383" s="1"/>
  <c r="M194"/>
  <c r="N194" s="1"/>
  <c r="M236"/>
  <c r="N236" s="1"/>
  <c r="M104"/>
  <c r="N104" s="1"/>
  <c r="M226"/>
  <c r="N226" s="1"/>
  <c r="M481"/>
  <c r="N481" s="1"/>
  <c r="M460"/>
  <c r="N460" s="1"/>
  <c r="M197"/>
  <c r="N197" s="1"/>
  <c r="M301"/>
  <c r="N301" s="1"/>
  <c r="M418"/>
  <c r="N418" s="1"/>
  <c r="M444"/>
  <c r="N444" s="1"/>
  <c r="M379"/>
  <c r="N379" s="1"/>
  <c r="M263"/>
  <c r="N263" s="1"/>
  <c r="M436"/>
  <c r="N436" s="1"/>
  <c r="M358"/>
  <c r="N358" s="1"/>
  <c r="M448"/>
  <c r="N448" s="1"/>
  <c r="M191"/>
  <c r="N191" s="1"/>
  <c r="M113"/>
  <c r="N113" s="1"/>
  <c r="M280"/>
  <c r="N280" s="1"/>
  <c r="M488"/>
  <c r="N488" s="1"/>
  <c r="M373"/>
  <c r="N373" s="1"/>
  <c r="M270"/>
  <c r="N270" s="1"/>
  <c r="M515"/>
  <c r="N515" s="1"/>
  <c r="M514"/>
  <c r="N514" s="1"/>
  <c r="M472"/>
  <c r="N472" s="1"/>
  <c r="M100"/>
  <c r="N100" s="1"/>
  <c r="M138"/>
  <c r="N138" s="1"/>
  <c r="M66"/>
  <c r="N66" s="1"/>
  <c r="M175"/>
  <c r="N175" s="1"/>
  <c r="M142"/>
  <c r="N142" s="1"/>
  <c r="J15"/>
  <c r="M456"/>
  <c r="N456" s="1"/>
  <c r="M296"/>
  <c r="N296" s="1"/>
  <c r="M305"/>
  <c r="N305" s="1"/>
  <c r="M33"/>
  <c r="N33" s="1"/>
  <c r="M526"/>
  <c r="N526" s="1"/>
  <c r="M504"/>
  <c r="N504" s="1"/>
  <c r="M203"/>
  <c r="N203" s="1"/>
  <c r="M59"/>
  <c r="N59" s="1"/>
  <c r="M363"/>
  <c r="N363" s="1"/>
  <c r="M402"/>
  <c r="N402" s="1"/>
  <c r="M395"/>
  <c r="N395" s="1"/>
  <c r="M405"/>
  <c r="N405" s="1"/>
  <c r="M369"/>
  <c r="N369" s="1"/>
  <c r="M67"/>
  <c r="N67" s="1"/>
  <c r="M435"/>
  <c r="N435" s="1"/>
  <c r="M71"/>
  <c r="N71" s="1"/>
  <c r="M181"/>
  <c r="N181" s="1"/>
  <c r="M212"/>
  <c r="N212" s="1"/>
  <c r="M396"/>
  <c r="N396" s="1"/>
  <c r="M430"/>
  <c r="N430" s="1"/>
  <c r="M42"/>
  <c r="N42" s="1"/>
  <c r="M423"/>
  <c r="N423" s="1"/>
  <c r="M502"/>
  <c r="N502" s="1"/>
  <c r="M52"/>
  <c r="N52" s="1"/>
  <c r="M151"/>
  <c r="N151" s="1"/>
  <c r="M317"/>
  <c r="N317" s="1"/>
  <c r="M18"/>
  <c r="N18" s="1"/>
  <c r="M25"/>
  <c r="N25" s="1"/>
  <c r="M103"/>
  <c r="N103" s="1"/>
  <c r="M182"/>
  <c r="N182" s="1"/>
  <c r="M409"/>
  <c r="N409" s="1"/>
  <c r="M245"/>
  <c r="N245" s="1"/>
  <c r="M174"/>
  <c r="N174" s="1"/>
  <c r="M320"/>
  <c r="N320" s="1"/>
  <c r="M506"/>
  <c r="N506" s="1"/>
  <c r="M20"/>
  <c r="N20" s="1"/>
  <c r="M523"/>
  <c r="N523" s="1"/>
  <c r="M335"/>
  <c r="N335" s="1"/>
  <c r="M483"/>
  <c r="N483" s="1"/>
  <c r="N714"/>
  <c r="N776"/>
  <c r="M941"/>
  <c r="N941" s="1"/>
  <c r="M967"/>
  <c r="N967" s="1"/>
  <c r="M878"/>
  <c r="N878" s="1"/>
  <c r="M618"/>
  <c r="N618" s="1"/>
  <c r="M755"/>
  <c r="N755" s="1"/>
  <c r="M960"/>
  <c r="N960" s="1"/>
  <c r="M1009"/>
  <c r="N1009" s="1"/>
  <c r="M1024"/>
  <c r="N1024" s="1"/>
  <c r="M741"/>
  <c r="N741" s="1"/>
  <c r="M973"/>
  <c r="N973" s="1"/>
  <c r="M961"/>
  <c r="N961" s="1"/>
  <c r="M745"/>
  <c r="N745" s="1"/>
  <c r="M712"/>
  <c r="N712" s="1"/>
  <c r="M605"/>
  <c r="N605" s="1"/>
  <c r="M1019"/>
  <c r="N1019" s="1"/>
  <c r="M664"/>
  <c r="N664" s="1"/>
  <c r="M721"/>
  <c r="N721" s="1"/>
  <c r="M689"/>
  <c r="N689" s="1"/>
  <c r="M805"/>
  <c r="N805" s="1"/>
  <c r="M737"/>
  <c r="N737" s="1"/>
  <c r="M883"/>
  <c r="N883" s="1"/>
  <c r="M880"/>
  <c r="N880" s="1"/>
  <c r="M1038"/>
  <c r="N1038" s="1"/>
  <c r="M837"/>
  <c r="N837" s="1"/>
  <c r="M964"/>
  <c r="N964" s="1"/>
  <c r="M619"/>
  <c r="N619" s="1"/>
  <c r="M999"/>
  <c r="N999" s="1"/>
  <c r="M592"/>
  <c r="N592" s="1"/>
  <c r="M552"/>
  <c r="N552" s="1"/>
  <c r="M274"/>
  <c r="N274" s="1"/>
  <c r="M217"/>
  <c r="N217" s="1"/>
  <c r="M792"/>
  <c r="N792" s="1"/>
  <c r="M978"/>
  <c r="N978" s="1"/>
  <c r="M868"/>
  <c r="N868" s="1"/>
  <c r="M637"/>
  <c r="N637" s="1"/>
  <c r="M971"/>
  <c r="N971" s="1"/>
  <c r="M657"/>
  <c r="N657" s="1"/>
  <c r="M563"/>
  <c r="N563" s="1"/>
  <c r="M646"/>
  <c r="N646" s="1"/>
  <c r="M578"/>
  <c r="N578" s="1"/>
  <c r="M693"/>
  <c r="N693" s="1"/>
  <c r="M998"/>
  <c r="N998" s="1"/>
  <c r="M926"/>
  <c r="N926" s="1"/>
  <c r="B257" i="23"/>
  <c r="J24" i="2"/>
  <c r="C252" i="23"/>
  <c r="B69" i="34"/>
  <c r="M782" i="33"/>
  <c r="N782" s="1"/>
  <c r="M954"/>
  <c r="N954" s="1"/>
  <c r="M963"/>
  <c r="N963" s="1"/>
  <c r="M791"/>
  <c r="N791" s="1"/>
  <c r="M644"/>
  <c r="N644" s="1"/>
  <c r="M797"/>
  <c r="N797" s="1"/>
  <c r="M996"/>
  <c r="N996" s="1"/>
  <c r="M750"/>
  <c r="N750" s="1"/>
  <c r="M794"/>
  <c r="N794" s="1"/>
  <c r="M864"/>
  <c r="N864" s="1"/>
  <c r="M769"/>
  <c r="N769" s="1"/>
  <c r="M884"/>
  <c r="N884" s="1"/>
  <c r="M804"/>
  <c r="N804" s="1"/>
  <c r="M669"/>
  <c r="N669" s="1"/>
  <c r="M674"/>
  <c r="N674" s="1"/>
  <c r="M628"/>
  <c r="N628" s="1"/>
  <c r="M858"/>
  <c r="N858" s="1"/>
  <c r="M893"/>
  <c r="N893" s="1"/>
  <c r="M691"/>
  <c r="N691" s="1"/>
  <c r="M661"/>
  <c r="N661" s="1"/>
  <c r="M724"/>
  <c r="N724" s="1"/>
  <c r="M1059"/>
  <c r="N1059" s="1"/>
  <c r="M759"/>
  <c r="N759" s="1"/>
  <c r="M604"/>
  <c r="N604" s="1"/>
  <c r="M966"/>
  <c r="N966" s="1"/>
  <c r="M798"/>
  <c r="N798" s="1"/>
  <c r="M582"/>
  <c r="N582" s="1"/>
  <c r="M1050"/>
  <c r="N1050" s="1"/>
  <c r="M273"/>
  <c r="N273" s="1"/>
  <c r="M603"/>
  <c r="N603" s="1"/>
  <c r="M976"/>
  <c r="N976" s="1"/>
  <c r="M654"/>
  <c r="N654" s="1"/>
  <c r="M834"/>
  <c r="N834" s="1"/>
  <c r="M725"/>
  <c r="N725" s="1"/>
  <c r="M1060"/>
  <c r="N1060" s="1"/>
  <c r="M808"/>
  <c r="N808" s="1"/>
  <c r="M831"/>
  <c r="N831" s="1"/>
  <c r="M857"/>
  <c r="N857" s="1"/>
  <c r="M881"/>
  <c r="N881" s="1"/>
  <c r="M701"/>
  <c r="N701" s="1"/>
  <c r="M679"/>
  <c r="N679" s="1"/>
  <c r="M75"/>
  <c r="N75" s="1"/>
  <c r="B76" i="23"/>
  <c r="B98"/>
  <c r="B105"/>
  <c r="B94"/>
  <c r="B93"/>
  <c r="B97"/>
  <c r="C92"/>
  <c r="C82"/>
  <c r="C81"/>
  <c r="C89"/>
  <c r="C77"/>
  <c r="C78"/>
  <c r="G27" i="34" l="1"/>
  <c r="N30"/>
  <c r="N32" s="1"/>
  <c r="I28"/>
  <c r="G7"/>
  <c r="I29"/>
  <c r="J30"/>
  <c r="I26"/>
  <c r="I10"/>
  <c r="I8"/>
  <c r="J13"/>
  <c r="I9"/>
  <c r="H12"/>
  <c r="M12"/>
  <c r="M15" s="1"/>
  <c r="H24"/>
  <c r="F6"/>
  <c r="F27"/>
  <c r="G9"/>
  <c r="F24"/>
  <c r="J12"/>
  <c r="H9"/>
  <c r="G11"/>
  <c r="G29"/>
  <c r="L13"/>
  <c r="G10"/>
  <c r="G25"/>
  <c r="H27"/>
  <c r="L30"/>
  <c r="J29"/>
  <c r="K12"/>
  <c r="F11"/>
  <c r="F8"/>
  <c r="F9"/>
  <c r="H30"/>
  <c r="K11"/>
  <c r="J10"/>
  <c r="G26"/>
  <c r="K29"/>
  <c r="I13"/>
  <c r="G12"/>
  <c r="K28"/>
  <c r="F5"/>
  <c r="G13"/>
  <c r="G8"/>
  <c r="N13"/>
  <c r="N15" s="1"/>
  <c r="H13"/>
  <c r="G23"/>
  <c r="I27"/>
  <c r="M29"/>
  <c r="M32" s="1"/>
  <c r="H25"/>
  <c r="F7"/>
  <c r="F23"/>
  <c r="J11"/>
  <c r="G30"/>
  <c r="L12"/>
  <c r="K27"/>
  <c r="H8"/>
  <c r="G6"/>
  <c r="L28"/>
  <c r="G28"/>
  <c r="F28"/>
  <c r="F25"/>
  <c r="L11"/>
  <c r="H11"/>
  <c r="C249" i="23"/>
  <c r="I12" i="34"/>
  <c r="F12"/>
  <c r="B153" i="23"/>
  <c r="B159" s="1"/>
  <c r="F26" i="34"/>
  <c r="K10"/>
  <c r="B150" i="23"/>
  <c r="B143"/>
  <c r="B138"/>
  <c r="B139"/>
  <c r="B142"/>
  <c r="B154"/>
  <c r="C137"/>
  <c r="C166"/>
  <c r="C154"/>
  <c r="C155"/>
  <c r="C159"/>
  <c r="C158"/>
  <c r="K1064" i="33"/>
  <c r="K531"/>
  <c r="F16" i="34"/>
  <c r="G16"/>
  <c r="G57"/>
  <c r="F57"/>
  <c r="F65"/>
  <c r="L54"/>
  <c r="G52"/>
  <c r="F67"/>
  <c r="H68"/>
  <c r="M71"/>
  <c r="K70"/>
  <c r="G49"/>
  <c r="G71"/>
  <c r="F70"/>
  <c r="H69"/>
  <c r="H67"/>
  <c r="L71"/>
  <c r="M54"/>
  <c r="J50"/>
  <c r="F46"/>
  <c r="F69"/>
  <c r="L70"/>
  <c r="H66"/>
  <c r="F48"/>
  <c r="J68"/>
  <c r="J70"/>
  <c r="H49"/>
  <c r="I70"/>
  <c r="H50"/>
  <c r="J51"/>
  <c r="G68"/>
  <c r="H48"/>
  <c r="G72"/>
  <c r="F72"/>
  <c r="H52"/>
  <c r="I54"/>
  <c r="N72"/>
  <c r="N74" s="1"/>
  <c r="G47"/>
  <c r="J69"/>
  <c r="M53"/>
  <c r="K69"/>
  <c r="G54"/>
  <c r="I69"/>
  <c r="I72"/>
  <c r="F49"/>
  <c r="I52"/>
  <c r="M72"/>
  <c r="L72"/>
  <c r="K53"/>
  <c r="K52"/>
  <c r="I67"/>
  <c r="I68"/>
  <c r="F71"/>
  <c r="I49"/>
  <c r="F52"/>
  <c r="J72"/>
  <c r="G51"/>
  <c r="H53"/>
  <c r="I51"/>
  <c r="G67"/>
  <c r="K51"/>
  <c r="H71"/>
  <c r="I71"/>
  <c r="G50"/>
  <c r="G66"/>
  <c r="N54"/>
  <c r="N56" s="1"/>
  <c r="F50"/>
  <c r="G53"/>
  <c r="H72"/>
  <c r="J71"/>
  <c r="F68"/>
  <c r="H70"/>
  <c r="I50"/>
  <c r="F64"/>
  <c r="G48"/>
  <c r="K72"/>
  <c r="K71"/>
  <c r="K54"/>
  <c r="F54"/>
  <c r="J52"/>
  <c r="L52"/>
  <c r="I53"/>
  <c r="F66"/>
  <c r="G65"/>
  <c r="F47"/>
  <c r="F51"/>
  <c r="H51"/>
  <c r="G70"/>
  <c r="L53"/>
  <c r="H54"/>
  <c r="J53"/>
  <c r="J54"/>
  <c r="G69"/>
  <c r="F53"/>
  <c r="C83" i="23"/>
  <c r="B81"/>
  <c r="B77"/>
  <c r="B78"/>
  <c r="B82"/>
  <c r="B89"/>
  <c r="B100"/>
  <c r="B99"/>
  <c r="B96"/>
  <c r="B95"/>
  <c r="B103" s="1"/>
  <c r="C79"/>
  <c r="C87" s="1"/>
  <c r="C80"/>
  <c r="C84"/>
  <c r="C105"/>
  <c r="C97"/>
  <c r="C93"/>
  <c r="C94"/>
  <c r="C98"/>
  <c r="J32" i="34" l="1"/>
  <c r="L15"/>
  <c r="M17" s="1"/>
  <c r="L32"/>
  <c r="B141" i="23"/>
  <c r="B144"/>
  <c r="K32" i="34"/>
  <c r="G15"/>
  <c r="B145" i="23"/>
  <c r="B147" s="1"/>
  <c r="F15" i="34"/>
  <c r="F17" s="1"/>
  <c r="K15"/>
  <c r="L17" s="1"/>
  <c r="I15"/>
  <c r="H15"/>
  <c r="F32"/>
  <c r="G32"/>
  <c r="H32"/>
  <c r="J15"/>
  <c r="I32"/>
  <c r="B140" i="23"/>
  <c r="B148" s="1"/>
  <c r="C156"/>
  <c r="C164" s="1"/>
  <c r="B155"/>
  <c r="B157" s="1"/>
  <c r="B166"/>
  <c r="B158"/>
  <c r="B161" s="1"/>
  <c r="C143"/>
  <c r="C139"/>
  <c r="C150"/>
  <c r="C142"/>
  <c r="C138"/>
  <c r="C157"/>
  <c r="C161"/>
  <c r="C160"/>
  <c r="M56" i="34"/>
  <c r="N58" s="1"/>
  <c r="N17"/>
  <c r="I74"/>
  <c r="H74"/>
  <c r="J56"/>
  <c r="G74"/>
  <c r="H56"/>
  <c r="F56"/>
  <c r="L56"/>
  <c r="K56"/>
  <c r="K74"/>
  <c r="J74"/>
  <c r="F74"/>
  <c r="I56"/>
  <c r="G56"/>
  <c r="L74"/>
  <c r="M74"/>
  <c r="B84" i="23"/>
  <c r="B102"/>
  <c r="B80"/>
  <c r="B79"/>
  <c r="B87" s="1"/>
  <c r="B83"/>
  <c r="C85"/>
  <c r="B101"/>
  <c r="C86"/>
  <c r="C95"/>
  <c r="C103" s="1"/>
  <c r="C96"/>
  <c r="C99"/>
  <c r="C100"/>
  <c r="I17" i="34" l="1"/>
  <c r="E38"/>
  <c r="G17"/>
  <c r="F38" s="1"/>
  <c r="H17"/>
  <c r="J17"/>
  <c r="C162" i="23"/>
  <c r="B146"/>
  <c r="B149" s="1"/>
  <c r="B151" s="1"/>
  <c r="O15" i="34"/>
  <c r="F33"/>
  <c r="B251" i="23" s="1"/>
  <c r="K17" i="34"/>
  <c r="B156" i="23"/>
  <c r="B164" s="1"/>
  <c r="O32" i="34"/>
  <c r="B160" i="23"/>
  <c r="B163"/>
  <c r="C141"/>
  <c r="C140"/>
  <c r="C148" s="1"/>
  <c r="C163"/>
  <c r="C144"/>
  <c r="C145"/>
  <c r="J58" i="34"/>
  <c r="G58"/>
  <c r="O74"/>
  <c r="F75"/>
  <c r="C251" i="23" s="1"/>
  <c r="L58" i="34"/>
  <c r="M58"/>
  <c r="F58"/>
  <c r="O56"/>
  <c r="H58"/>
  <c r="I58"/>
  <c r="K58"/>
  <c r="B104" i="23"/>
  <c r="B106" s="1"/>
  <c r="C88"/>
  <c r="C90" s="1"/>
  <c r="B86"/>
  <c r="B85"/>
  <c r="C101"/>
  <c r="C102"/>
  <c r="C165" l="1"/>
  <c r="C167" s="1"/>
  <c r="C147"/>
  <c r="G38" i="34"/>
  <c r="K38"/>
  <c r="I38"/>
  <c r="O17"/>
  <c r="H38"/>
  <c r="J38"/>
  <c r="L38"/>
  <c r="F18"/>
  <c r="B250" i="23" s="1"/>
  <c r="B255" s="1"/>
  <c r="M38" i="34"/>
  <c r="B162" i="23"/>
  <c r="B165" s="1"/>
  <c r="B167" s="1"/>
  <c r="B248" s="1"/>
  <c r="C146"/>
  <c r="F80" i="34"/>
  <c r="E80"/>
  <c r="H80"/>
  <c r="I80"/>
  <c r="F59"/>
  <c r="C250" i="23" s="1"/>
  <c r="L80" i="34"/>
  <c r="J80"/>
  <c r="K80"/>
  <c r="G80"/>
  <c r="M80"/>
  <c r="O58"/>
  <c r="B88" i="23"/>
  <c r="B90" s="1"/>
  <c r="B247" s="1"/>
  <c r="B254" s="1"/>
  <c r="C104"/>
  <c r="C106" s="1"/>
  <c r="C247" s="1"/>
  <c r="C255" s="1"/>
  <c r="C149" l="1"/>
  <c r="C151" s="1"/>
  <c r="C248" s="1"/>
  <c r="N38" i="34"/>
  <c r="R13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E39"/>
  <c r="U13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E81"/>
  <c r="N80"/>
  <c r="B259" i="23"/>
  <c r="B267" s="1"/>
  <c r="B31" i="24" s="1"/>
  <c r="C254" i="23"/>
  <c r="C259" l="1"/>
  <c r="C30" i="24" s="1"/>
  <c r="B30"/>
  <c r="U34" i="34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O963" i="33" s="1"/>
  <c r="R32" i="34"/>
  <c r="C267" i="23" l="1"/>
  <c r="C31" i="24" s="1"/>
  <c r="P806" i="33"/>
  <c r="O581"/>
  <c r="P902"/>
  <c r="P740"/>
  <c r="P838"/>
  <c r="O1062"/>
  <c r="P1062"/>
  <c r="O965"/>
  <c r="O580"/>
  <c r="P614"/>
  <c r="P678"/>
  <c r="O869"/>
  <c r="P837"/>
  <c r="P710"/>
  <c r="O868"/>
  <c r="P934"/>
  <c r="O611"/>
  <c r="O771"/>
  <c r="O613"/>
  <c r="P900"/>
  <c r="P581"/>
  <c r="P1028"/>
  <c r="O1028"/>
  <c r="P1030"/>
  <c r="O1030"/>
  <c r="P932"/>
  <c r="P676"/>
  <c r="P774"/>
  <c r="O933"/>
  <c r="P966"/>
  <c r="P964"/>
  <c r="O579"/>
  <c r="P901"/>
  <c r="O966"/>
  <c r="O838"/>
  <c r="O710"/>
  <c r="O997"/>
  <c r="O932"/>
  <c r="P708"/>
  <c r="P805"/>
  <c r="O836"/>
  <c r="O740"/>
  <c r="O612"/>
  <c r="O772"/>
  <c r="O707"/>
  <c r="O804"/>
  <c r="O998"/>
  <c r="O899"/>
  <c r="P996"/>
  <c r="O741"/>
  <c r="O934"/>
  <c r="P997"/>
  <c r="O867"/>
  <c r="O676"/>
  <c r="O1061"/>
  <c r="O614"/>
  <c r="P772"/>
  <c r="P773"/>
  <c r="P645"/>
  <c r="P741"/>
  <c r="O742"/>
  <c r="O902"/>
  <c r="P742"/>
  <c r="O773"/>
  <c r="O806"/>
  <c r="O678"/>
  <c r="O644"/>
  <c r="O964"/>
  <c r="O1059"/>
  <c r="P933"/>
  <c r="O835"/>
  <c r="P1029"/>
  <c r="P580"/>
  <c r="Q775"/>
  <c r="Q807"/>
  <c r="Q679"/>
  <c r="Q584"/>
  <c r="Q744"/>
  <c r="Q839"/>
  <c r="Q871"/>
  <c r="Q712"/>
  <c r="Q777"/>
  <c r="Q907"/>
  <c r="Q874"/>
  <c r="Q843"/>
  <c r="Q1035"/>
  <c r="Q649"/>
  <c r="Q1034"/>
  <c r="Q875"/>
  <c r="Q711"/>
  <c r="Q587"/>
  <c r="Q935"/>
  <c r="Q585"/>
  <c r="Q810"/>
  <c r="Q616"/>
  <c r="Q969"/>
  <c r="Q937"/>
  <c r="Q903"/>
  <c r="Q551"/>
  <c r="Q872"/>
  <c r="Q553"/>
  <c r="Q905"/>
  <c r="Q873"/>
  <c r="Q1003"/>
  <c r="Q619"/>
  <c r="Q938"/>
  <c r="Q554"/>
  <c r="Q1033"/>
  <c r="Q615"/>
  <c r="Q586"/>
  <c r="Q939"/>
  <c r="Q714"/>
  <c r="Q583"/>
  <c r="Q745"/>
  <c r="Q715"/>
  <c r="Q906"/>
  <c r="Q1031"/>
  <c r="Q681"/>
  <c r="Q967"/>
  <c r="Q552"/>
  <c r="Q743"/>
  <c r="Q683"/>
  <c r="Q713"/>
  <c r="Q808"/>
  <c r="Q651"/>
  <c r="Q970"/>
  <c r="Q904"/>
  <c r="Q778"/>
  <c r="Q842"/>
  <c r="Q747"/>
  <c r="Q680"/>
  <c r="Q682"/>
  <c r="Q618"/>
  <c r="Q840"/>
  <c r="Q936"/>
  <c r="Q1000"/>
  <c r="Q647"/>
  <c r="Q650"/>
  <c r="Q841"/>
  <c r="Q809"/>
  <c r="Q811"/>
  <c r="Q617"/>
  <c r="Q648"/>
  <c r="Q776"/>
  <c r="Q999"/>
  <c r="Q1032"/>
  <c r="Q555"/>
  <c r="Q779"/>
  <c r="Q1001"/>
  <c r="Q746"/>
  <c r="Q968"/>
  <c r="Q1002"/>
  <c r="Q971"/>
  <c r="Q656"/>
  <c r="Q813"/>
  <c r="Q664"/>
  <c r="Q943"/>
  <c r="Q815"/>
  <c r="Q784"/>
  <c r="Q816"/>
  <c r="Q719"/>
  <c r="Q1008"/>
  <c r="Q1036"/>
  <c r="Q600"/>
  <c r="Q749"/>
  <c r="Q569"/>
  <c r="Q786"/>
  <c r="Q846"/>
  <c r="Q563"/>
  <c r="Q761"/>
  <c r="Q593"/>
  <c r="Q954"/>
  <c r="Q654"/>
  <c r="Q698"/>
  <c r="Q753"/>
  <c r="Q850"/>
  <c r="Q594"/>
  <c r="Q1009"/>
  <c r="Q686"/>
  <c r="Q720"/>
  <c r="Q592"/>
  <c r="Q880"/>
  <c r="Q666"/>
  <c r="Q785"/>
  <c r="Q697"/>
  <c r="Q626"/>
  <c r="Q1005"/>
  <c r="Q557"/>
  <c r="Q972"/>
  <c r="Q818"/>
  <c r="Q953"/>
  <c r="Q857"/>
  <c r="Q923"/>
  <c r="Q876"/>
  <c r="Q556"/>
  <c r="Q589"/>
  <c r="Q882"/>
  <c r="Q762"/>
  <c r="Q979"/>
  <c r="Q844"/>
  <c r="Q567"/>
  <c r="Q752"/>
  <c r="Q921"/>
  <c r="Q978"/>
  <c r="Q1010"/>
  <c r="Q986"/>
  <c r="Q919"/>
  <c r="Q887"/>
  <c r="Q780"/>
  <c r="Q559"/>
  <c r="Q975"/>
  <c r="Q759"/>
  <c r="Q588"/>
  <c r="Q631"/>
  <c r="Q823"/>
  <c r="Q888"/>
  <c r="Q1037"/>
  <c r="Q792"/>
  <c r="Q721"/>
  <c r="Q795"/>
  <c r="Q955"/>
  <c r="Q627"/>
  <c r="Q1006"/>
  <c r="Q625"/>
  <c r="Q667"/>
  <c r="Q729"/>
  <c r="Q1050"/>
  <c r="Q889"/>
  <c r="Q723"/>
  <c r="Q603"/>
  <c r="Q602"/>
  <c r="Q819"/>
  <c r="Q655"/>
  <c r="Q909"/>
  <c r="Q621"/>
  <c r="Q561"/>
  <c r="Q558"/>
  <c r="Q858"/>
  <c r="Q947"/>
  <c r="Q940"/>
  <c r="Q760"/>
  <c r="Q812"/>
  <c r="Q793"/>
  <c r="Q1017"/>
  <c r="Q881"/>
  <c r="Q952"/>
  <c r="Q620"/>
  <c r="Q653"/>
  <c r="Q942"/>
  <c r="Q946"/>
  <c r="Q814"/>
  <c r="Q826"/>
  <c r="Q976"/>
  <c r="Q791"/>
  <c r="Q1039"/>
  <c r="Q827"/>
  <c r="Q595"/>
  <c r="Q914"/>
  <c r="Q781"/>
  <c r="Q717"/>
  <c r="Q716"/>
  <c r="Q944"/>
  <c r="Q1047"/>
  <c r="Q688"/>
  <c r="Q623"/>
  <c r="Q663"/>
  <c r="Q783"/>
  <c r="Q591"/>
  <c r="Q599"/>
  <c r="Q879"/>
  <c r="Q985"/>
  <c r="Q622"/>
  <c r="Q562"/>
  <c r="Q1038"/>
  <c r="Q987"/>
  <c r="Q755"/>
  <c r="Q689"/>
  <c r="Q659"/>
  <c r="Q890"/>
  <c r="Q859"/>
  <c r="Q718"/>
  <c r="Q731"/>
  <c r="Q730"/>
  <c r="Q690"/>
  <c r="Q848"/>
  <c r="Q685"/>
  <c r="Q908"/>
  <c r="Q825"/>
  <c r="Q699"/>
  <c r="Q687"/>
  <c r="Q568"/>
  <c r="Q1007"/>
  <c r="Q977"/>
  <c r="Q754"/>
  <c r="Q633"/>
  <c r="Q748"/>
  <c r="Q951"/>
  <c r="Q1040"/>
  <c r="Q782"/>
  <c r="Q849"/>
  <c r="Q1051"/>
  <c r="Q695"/>
  <c r="Q855"/>
  <c r="Q1048"/>
  <c r="Q570"/>
  <c r="Q787"/>
  <c r="Q590"/>
  <c r="Q878"/>
  <c r="Q624"/>
  <c r="Q920"/>
  <c r="Q1015"/>
  <c r="Q941"/>
  <c r="Q652"/>
  <c r="Q1016"/>
  <c r="Q824"/>
  <c r="Q632"/>
  <c r="Q560"/>
  <c r="Q983"/>
  <c r="Q696"/>
  <c r="Q877"/>
  <c r="Q913"/>
  <c r="Q922"/>
  <c r="Q1041"/>
  <c r="Q658"/>
  <c r="Q974"/>
  <c r="Q601"/>
  <c r="Q817"/>
  <c r="Q691"/>
  <c r="Q1019"/>
  <c r="Q1049"/>
  <c r="Q657"/>
  <c r="Q1018"/>
  <c r="Q1043"/>
  <c r="Q571"/>
  <c r="Q984"/>
  <c r="Q728"/>
  <c r="Q912"/>
  <c r="Q945"/>
  <c r="Q794"/>
  <c r="Q634"/>
  <c r="Q851"/>
  <c r="Q856"/>
  <c r="Q973"/>
  <c r="Q684"/>
  <c r="Q635"/>
  <c r="Q910"/>
  <c r="Q665"/>
  <c r="Q722"/>
  <c r="Q727"/>
  <c r="Q847"/>
  <c r="Q751"/>
  <c r="Q883"/>
  <c r="Q891"/>
  <c r="Q1042"/>
  <c r="Q1011"/>
  <c r="Q911"/>
  <c r="Q1004"/>
  <c r="Q845"/>
  <c r="Q763"/>
  <c r="Q915"/>
  <c r="Q750"/>
  <c r="Q637"/>
  <c r="O679"/>
  <c r="Q573"/>
  <c r="Q704"/>
  <c r="O999"/>
  <c r="Q1024"/>
  <c r="Q576"/>
  <c r="Q916"/>
  <c r="Q988"/>
  <c r="P680"/>
  <c r="Q757"/>
  <c r="O839"/>
  <c r="O1031"/>
  <c r="Q572"/>
  <c r="Q896"/>
  <c r="Q831"/>
  <c r="Q1053"/>
  <c r="O935"/>
  <c r="Q1054"/>
  <c r="O936"/>
  <c r="Q674"/>
  <c r="P715"/>
  <c r="Q798"/>
  <c r="Q1057"/>
  <c r="Q982"/>
  <c r="O616"/>
  <c r="O1002"/>
  <c r="Q611"/>
  <c r="Q1026"/>
  <c r="P617"/>
  <c r="Q577"/>
  <c r="P907"/>
  <c r="P555"/>
  <c r="Q694"/>
  <c r="O1033"/>
  <c r="O1032"/>
  <c r="O937"/>
  <c r="O778"/>
  <c r="O745"/>
  <c r="Q961"/>
  <c r="O650"/>
  <c r="Q950"/>
  <c r="P679"/>
  <c r="P1031"/>
  <c r="R1031" s="1"/>
  <c r="Q668"/>
  <c r="Q821"/>
  <c r="P971"/>
  <c r="O840"/>
  <c r="P586"/>
  <c r="Q578"/>
  <c r="O617"/>
  <c r="P745"/>
  <c r="Q735"/>
  <c r="Q989"/>
  <c r="P647"/>
  <c r="P935"/>
  <c r="O553"/>
  <c r="Q675"/>
  <c r="Q790"/>
  <c r="Q758"/>
  <c r="Q702"/>
  <c r="Q566"/>
  <c r="Q672"/>
  <c r="Q607"/>
  <c r="P839"/>
  <c r="Q1045"/>
  <c r="Q574"/>
  <c r="Q738"/>
  <c r="P811"/>
  <c r="O744"/>
  <c r="Q930"/>
  <c r="Q769"/>
  <c r="Q1012"/>
  <c r="P936"/>
  <c r="Q924"/>
  <c r="Q799"/>
  <c r="P683"/>
  <c r="Q963"/>
  <c r="O904"/>
  <c r="P809"/>
  <c r="Q771"/>
  <c r="P1001"/>
  <c r="Q864"/>
  <c r="P840"/>
  <c r="Q948"/>
  <c r="P999"/>
  <c r="Q703"/>
  <c r="Q733"/>
  <c r="Q927"/>
  <c r="Q701"/>
  <c r="P712"/>
  <c r="P551"/>
  <c r="P711"/>
  <c r="Q885"/>
  <c r="Q861"/>
  <c r="P584"/>
  <c r="Q575"/>
  <c r="Q1055"/>
  <c r="P616"/>
  <c r="Q893"/>
  <c r="Q801"/>
  <c r="Q993"/>
  <c r="P651"/>
  <c r="Q1046"/>
  <c r="O968"/>
  <c r="Q579"/>
  <c r="O873"/>
  <c r="P747"/>
  <c r="P682"/>
  <c r="P937"/>
  <c r="Q1025"/>
  <c r="Q803"/>
  <c r="Q894"/>
  <c r="Q670"/>
  <c r="O777"/>
  <c r="P938"/>
  <c r="P841"/>
  <c r="P970"/>
  <c r="P843"/>
  <c r="Q796"/>
  <c r="Q991"/>
  <c r="Q700"/>
  <c r="P775"/>
  <c r="O586"/>
  <c r="P842"/>
  <c r="P777"/>
  <c r="Q918"/>
  <c r="Q886"/>
  <c r="P967"/>
  <c r="O903"/>
  <c r="Q724"/>
  <c r="Q797"/>
  <c r="O647"/>
  <c r="Q641"/>
  <c r="P713"/>
  <c r="P554"/>
  <c r="Q990"/>
  <c r="Q834"/>
  <c r="P808"/>
  <c r="R808" s="1"/>
  <c r="O583"/>
  <c r="Q1044"/>
  <c r="Q981"/>
  <c r="Q768"/>
  <c r="O808"/>
  <c r="O776"/>
  <c r="P939"/>
  <c r="Q929"/>
  <c r="Q598"/>
  <c r="O618"/>
  <c r="Q956"/>
  <c r="P903"/>
  <c r="P583"/>
  <c r="R583" s="1"/>
  <c r="O551"/>
  <c r="O938"/>
  <c r="Q610"/>
  <c r="P969"/>
  <c r="Q958"/>
  <c r="O648"/>
  <c r="P906"/>
  <c r="Q860"/>
  <c r="Q756"/>
  <c r="Q928"/>
  <c r="P648"/>
  <c r="Q736"/>
  <c r="O967"/>
  <c r="Q671"/>
  <c r="Q725"/>
  <c r="P743"/>
  <c r="P871"/>
  <c r="Q949"/>
  <c r="Q829"/>
  <c r="Q884"/>
  <c r="P615"/>
  <c r="Q764"/>
  <c r="Q1056"/>
  <c r="Q800"/>
  <c r="O807"/>
  <c r="Q898"/>
  <c r="O969"/>
  <c r="O1001"/>
  <c r="O810"/>
  <c r="Q726"/>
  <c r="P810"/>
  <c r="P1034"/>
  <c r="P778"/>
  <c r="Q867"/>
  <c r="P1033"/>
  <c r="R1033" s="1"/>
  <c r="P1002"/>
  <c r="Q766"/>
  <c r="Q739"/>
  <c r="Q1014"/>
  <c r="P1003"/>
  <c r="P618"/>
  <c r="P649"/>
  <c r="Q630"/>
  <c r="Q833"/>
  <c r="Q865"/>
  <c r="O713"/>
  <c r="O842"/>
  <c r="Q608"/>
  <c r="Q765"/>
  <c r="Q917"/>
  <c r="Q957"/>
  <c r="Q638"/>
  <c r="O649"/>
  <c r="O841"/>
  <c r="Q931"/>
  <c r="Q830"/>
  <c r="P650"/>
  <c r="Q992"/>
  <c r="P1032"/>
  <c r="Q628"/>
  <c r="Q732"/>
  <c r="Q642"/>
  <c r="Q1022"/>
  <c r="Q706"/>
  <c r="Q866"/>
  <c r="O552"/>
  <c r="O874"/>
  <c r="Q828"/>
  <c r="Q605"/>
  <c r="P744"/>
  <c r="Q925"/>
  <c r="Q640"/>
  <c r="Q609"/>
  <c r="Q1058"/>
  <c r="O585"/>
  <c r="P585"/>
  <c r="R585" s="1"/>
  <c r="P619"/>
  <c r="Q863"/>
  <c r="Q852"/>
  <c r="P552"/>
  <c r="Q629"/>
  <c r="Q767"/>
  <c r="Q926"/>
  <c r="O682"/>
  <c r="P779"/>
  <c r="Q835"/>
  <c r="Q662"/>
  <c r="P776"/>
  <c r="Q636"/>
  <c r="Q959"/>
  <c r="Q892"/>
  <c r="Q669"/>
  <c r="Q693"/>
  <c r="O775"/>
  <c r="P807"/>
  <c r="P872"/>
  <c r="Q597"/>
  <c r="Q639"/>
  <c r="Q660"/>
  <c r="Q789"/>
  <c r="Q895"/>
  <c r="Q1020"/>
  <c r="O711"/>
  <c r="Q1023"/>
  <c r="Q661"/>
  <c r="Q643"/>
  <c r="O809"/>
  <c r="O905"/>
  <c r="Q737"/>
  <c r="O970"/>
  <c r="Q707"/>
  <c r="Q802"/>
  <c r="O554"/>
  <c r="O712"/>
  <c r="P681"/>
  <c r="O1034"/>
  <c r="O746"/>
  <c r="P874"/>
  <c r="O1000"/>
  <c r="Q862"/>
  <c r="O714"/>
  <c r="O872"/>
  <c r="O906"/>
  <c r="P873"/>
  <c r="Q705"/>
  <c r="Q897"/>
  <c r="Q1027"/>
  <c r="P904"/>
  <c r="Q596"/>
  <c r="Q1052"/>
  <c r="Q788"/>
  <c r="P1000"/>
  <c r="O615"/>
  <c r="Q854"/>
  <c r="O680"/>
  <c r="Q822"/>
  <c r="Q994"/>
  <c r="Q770"/>
  <c r="Q604"/>
  <c r="O871"/>
  <c r="Q832"/>
  <c r="P968"/>
  <c r="R968" s="1"/>
  <c r="Q1021"/>
  <c r="P746"/>
  <c r="P714"/>
  <c r="Q899"/>
  <c r="Q1059"/>
  <c r="P553"/>
  <c r="Q853"/>
  <c r="Q565"/>
  <c r="Q980"/>
  <c r="Q960"/>
  <c r="P587"/>
  <c r="O584"/>
  <c r="P1035"/>
  <c r="Q734"/>
  <c r="Q673"/>
  <c r="P905"/>
  <c r="Q692"/>
  <c r="O743"/>
  <c r="Q564"/>
  <c r="Q820"/>
  <c r="Q1013"/>
  <c r="Q962"/>
  <c r="O681"/>
  <c r="P875"/>
  <c r="Q995"/>
  <c r="Q606"/>
  <c r="P1039"/>
  <c r="P620"/>
  <c r="O556"/>
  <c r="P784"/>
  <c r="P600"/>
  <c r="P791"/>
  <c r="P984"/>
  <c r="O812"/>
  <c r="P973"/>
  <c r="Q772"/>
  <c r="Q1061"/>
  <c r="P727"/>
  <c r="P591"/>
  <c r="Q1029"/>
  <c r="Q996"/>
  <c r="P588"/>
  <c r="Q933"/>
  <c r="P557"/>
  <c r="Q1060"/>
  <c r="O844"/>
  <c r="O943"/>
  <c r="P823"/>
  <c r="R823" s="1"/>
  <c r="O683"/>
  <c r="P751"/>
  <c r="P951"/>
  <c r="O857"/>
  <c r="P890"/>
  <c r="O986"/>
  <c r="O782"/>
  <c r="O914"/>
  <c r="O880"/>
  <c r="O721"/>
  <c r="O729"/>
  <c r="Q742"/>
  <c r="P750"/>
  <c r="P1042"/>
  <c r="P1018"/>
  <c r="O570"/>
  <c r="O626"/>
  <c r="O952"/>
  <c r="P602"/>
  <c r="O813"/>
  <c r="P729"/>
  <c r="P633"/>
  <c r="O920"/>
  <c r="O600"/>
  <c r="O653"/>
  <c r="O1016"/>
  <c r="P1017"/>
  <c r="O1009"/>
  <c r="Q774"/>
  <c r="O601"/>
  <c r="O624"/>
  <c r="P665"/>
  <c r="P595"/>
  <c r="O690"/>
  <c r="P978"/>
  <c r="P910"/>
  <c r="O555"/>
  <c r="Q932"/>
  <c r="P748"/>
  <c r="P887"/>
  <c r="Q836"/>
  <c r="Q645"/>
  <c r="Q677"/>
  <c r="P786"/>
  <c r="O985"/>
  <c r="O816"/>
  <c r="P785"/>
  <c r="P945"/>
  <c r="P793"/>
  <c r="O625"/>
  <c r="O752"/>
  <c r="Q710"/>
  <c r="P782"/>
  <c r="O632"/>
  <c r="P1004"/>
  <c r="O748"/>
  <c r="P919"/>
  <c r="Q1028"/>
  <c r="P813"/>
  <c r="Q741"/>
  <c r="P844"/>
  <c r="P1051"/>
  <c r="O696"/>
  <c r="O786"/>
  <c r="P1006"/>
  <c r="O592"/>
  <c r="O978"/>
  <c r="P754"/>
  <c r="O973"/>
  <c r="O877"/>
  <c r="O761"/>
  <c r="O753"/>
  <c r="O909"/>
  <c r="O945"/>
  <c r="P626"/>
  <c r="P635"/>
  <c r="P921"/>
  <c r="P684"/>
  <c r="P856"/>
  <c r="R856" s="1"/>
  <c r="O1036"/>
  <c r="P695"/>
  <c r="P589"/>
  <c r="P1016"/>
  <c r="R1016" s="1"/>
  <c r="O594"/>
  <c r="Q998"/>
  <c r="P1050"/>
  <c r="O942"/>
  <c r="O890"/>
  <c r="P659"/>
  <c r="Q1030"/>
  <c r="P979"/>
  <c r="O983"/>
  <c r="P812"/>
  <c r="Q773"/>
  <c r="P560"/>
  <c r="Q869"/>
  <c r="Q708"/>
  <c r="P848"/>
  <c r="P568"/>
  <c r="P845"/>
  <c r="O972"/>
  <c r="O623"/>
  <c r="P941"/>
  <c r="O1039"/>
  <c r="P880"/>
  <c r="P592"/>
  <c r="O747"/>
  <c r="Q676"/>
  <c r="O695"/>
  <c r="O783"/>
  <c r="O559"/>
  <c r="Q709"/>
  <c r="O684"/>
  <c r="Q870"/>
  <c r="O944"/>
  <c r="P818"/>
  <c r="Q646"/>
  <c r="O589"/>
  <c r="O1041"/>
  <c r="P913"/>
  <c r="O1010"/>
  <c r="P787"/>
  <c r="P850"/>
  <c r="O658"/>
  <c r="O665"/>
  <c r="O750"/>
  <c r="P915"/>
  <c r="P922"/>
  <c r="O558"/>
  <c r="O730"/>
  <c r="O1018"/>
  <c r="P878"/>
  <c r="O728"/>
  <c r="P625"/>
  <c r="O654"/>
  <c r="P690"/>
  <c r="O685"/>
  <c r="P666"/>
  <c r="P755"/>
  <c r="P942"/>
  <c r="P562"/>
  <c r="Q582"/>
  <c r="O656"/>
  <c r="O856"/>
  <c r="P888"/>
  <c r="R888" s="1"/>
  <c r="O727"/>
  <c r="P717"/>
  <c r="P783"/>
  <c r="R783" s="1"/>
  <c r="P624"/>
  <c r="P720"/>
  <c r="O780"/>
  <c r="P687"/>
  <c r="O634"/>
  <c r="P601"/>
  <c r="P1041"/>
  <c r="P603"/>
  <c r="P763"/>
  <c r="P977"/>
  <c r="R977" s="1"/>
  <c r="P722"/>
  <c r="O977"/>
  <c r="O569"/>
  <c r="Q964"/>
  <c r="P983"/>
  <c r="O823"/>
  <c r="O876"/>
  <c r="P816"/>
  <c r="P655"/>
  <c r="Q804"/>
  <c r="Q901"/>
  <c r="P846"/>
  <c r="P1011"/>
  <c r="O754"/>
  <c r="O814"/>
  <c r="O953"/>
  <c r="O722"/>
  <c r="O825"/>
  <c r="P859"/>
  <c r="R859" s="1"/>
  <c r="P817"/>
  <c r="O921"/>
  <c r="P718"/>
  <c r="Q614"/>
  <c r="P563"/>
  <c r="P953"/>
  <c r="P976"/>
  <c r="O779"/>
  <c r="P975"/>
  <c r="O1015"/>
  <c r="Q805"/>
  <c r="P1040"/>
  <c r="Q902"/>
  <c r="P1043"/>
  <c r="O720"/>
  <c r="P825"/>
  <c r="R825" s="1"/>
  <c r="Q838"/>
  <c r="O826"/>
  <c r="O848"/>
  <c r="P689"/>
  <c r="O818"/>
  <c r="O847"/>
  <c r="P623"/>
  <c r="O815"/>
  <c r="O631"/>
  <c r="O791"/>
  <c r="P911"/>
  <c r="Q740"/>
  <c r="P631"/>
  <c r="P621"/>
  <c r="P972"/>
  <c r="P943"/>
  <c r="O843"/>
  <c r="P556"/>
  <c r="P909"/>
  <c r="P815"/>
  <c r="Q837"/>
  <c r="R837" s="1"/>
  <c r="P652"/>
  <c r="O599"/>
  <c r="O663"/>
  <c r="P728"/>
  <c r="O588"/>
  <c r="O855"/>
  <c r="O715"/>
  <c r="O888"/>
  <c r="O793"/>
  <c r="O845"/>
  <c r="P1049"/>
  <c r="P794"/>
  <c r="Q1062"/>
  <c r="O760"/>
  <c r="P974"/>
  <c r="P593"/>
  <c r="P889"/>
  <c r="O1017"/>
  <c r="O666"/>
  <c r="O762"/>
  <c r="O657"/>
  <c r="O698"/>
  <c r="O954"/>
  <c r="O785"/>
  <c r="O1042"/>
  <c r="O846"/>
  <c r="O568"/>
  <c r="O1040"/>
  <c r="O946"/>
  <c r="O922"/>
  <c r="O749"/>
  <c r="P987"/>
  <c r="Q966"/>
  <c r="P955"/>
  <c r="O686"/>
  <c r="P1038"/>
  <c r="P697"/>
  <c r="P561"/>
  <c r="P663"/>
  <c r="O1004"/>
  <c r="O619"/>
  <c r="Q644"/>
  <c r="O687"/>
  <c r="Q965"/>
  <c r="O879"/>
  <c r="P752"/>
  <c r="O1047"/>
  <c r="O1037"/>
  <c r="P914"/>
  <c r="P571"/>
  <c r="O850"/>
  <c r="O562"/>
  <c r="P731"/>
  <c r="P891"/>
  <c r="O913"/>
  <c r="Q806"/>
  <c r="O974"/>
  <c r="O889"/>
  <c r="P657"/>
  <c r="O887"/>
  <c r="O759"/>
  <c r="P920"/>
  <c r="O651"/>
  <c r="P1036"/>
  <c r="P1037"/>
  <c r="O591"/>
  <c r="Q580"/>
  <c r="O716"/>
  <c r="P954"/>
  <c r="P883"/>
  <c r="O590"/>
  <c r="P723"/>
  <c r="R723" s="1"/>
  <c r="O1005"/>
  <c r="P858"/>
  <c r="P667"/>
  <c r="O912"/>
  <c r="O717"/>
  <c r="O882"/>
  <c r="O941"/>
  <c r="O792"/>
  <c r="P634"/>
  <c r="O622"/>
  <c r="O1050"/>
  <c r="P685"/>
  <c r="Q997"/>
  <c r="P1007"/>
  <c r="P559"/>
  <c r="O907"/>
  <c r="O567"/>
  <c r="Q612"/>
  <c r="O602"/>
  <c r="P1019"/>
  <c r="R1019" s="1"/>
  <c r="P857"/>
  <c r="O878"/>
  <c r="P826"/>
  <c r="R826" s="1"/>
  <c r="O1049"/>
  <c r="P590"/>
  <c r="P923"/>
  <c r="O940"/>
  <c r="Q868"/>
  <c r="O919"/>
  <c r="P792"/>
  <c r="P952"/>
  <c r="O751"/>
  <c r="P719"/>
  <c r="P664"/>
  <c r="P855"/>
  <c r="P940"/>
  <c r="P912"/>
  <c r="P653"/>
  <c r="P1048"/>
  <c r="O975"/>
  <c r="P759"/>
  <c r="P696"/>
  <c r="R696" s="1"/>
  <c r="O1007"/>
  <c r="P1008"/>
  <c r="O911"/>
  <c r="P824"/>
  <c r="R824" s="1"/>
  <c r="Q613"/>
  <c r="O652"/>
  <c r="O971"/>
  <c r="O557"/>
  <c r="P698"/>
  <c r="P814"/>
  <c r="O1048"/>
  <c r="O858"/>
  <c r="P699"/>
  <c r="P753"/>
  <c r="P654"/>
  <c r="O1038"/>
  <c r="O633"/>
  <c r="Q678"/>
  <c r="P1009"/>
  <c r="R1009" s="1"/>
  <c r="P882"/>
  <c r="P851"/>
  <c r="P570"/>
  <c r="O593"/>
  <c r="O560"/>
  <c r="P1010"/>
  <c r="P558"/>
  <c r="O688"/>
  <c r="P761"/>
  <c r="P795"/>
  <c r="R795" s="1"/>
  <c r="O881"/>
  <c r="O784"/>
  <c r="O794"/>
  <c r="P827"/>
  <c r="P985"/>
  <c r="P762"/>
  <c r="O817"/>
  <c r="P627"/>
  <c r="P849"/>
  <c r="O939"/>
  <c r="Q581"/>
  <c r="P944"/>
  <c r="P599"/>
  <c r="O875"/>
  <c r="P760"/>
  <c r="Q900"/>
  <c r="O655"/>
  <c r="O620"/>
  <c r="O719"/>
  <c r="P1005"/>
  <c r="P656"/>
  <c r="O587"/>
  <c r="P781"/>
  <c r="R781" s="1"/>
  <c r="P716"/>
  <c r="P876"/>
  <c r="O1003"/>
  <c r="P780"/>
  <c r="P847"/>
  <c r="P567"/>
  <c r="P1047"/>
  <c r="O811"/>
  <c r="O951"/>
  <c r="O908"/>
  <c r="P908"/>
  <c r="O910"/>
  <c r="P986"/>
  <c r="O697"/>
  <c r="P686"/>
  <c r="P658"/>
  <c r="O664"/>
  <c r="O689"/>
  <c r="P569"/>
  <c r="P622"/>
  <c r="P721"/>
  <c r="O976"/>
  <c r="O1008"/>
  <c r="O984"/>
  <c r="P947"/>
  <c r="O621"/>
  <c r="O1006"/>
  <c r="P946"/>
  <c r="P881"/>
  <c r="O718"/>
  <c r="O781"/>
  <c r="P688"/>
  <c r="P632"/>
  <c r="R632" s="1"/>
  <c r="P1015"/>
  <c r="O1035"/>
  <c r="P879"/>
  <c r="P877"/>
  <c r="R877" s="1"/>
  <c r="P749"/>
  <c r="O824"/>
  <c r="P594"/>
  <c r="Q934"/>
  <c r="P819"/>
  <c r="P730"/>
  <c r="O849"/>
  <c r="O561"/>
  <c r="P691"/>
  <c r="P700"/>
  <c r="O724"/>
  <c r="O927"/>
  <c r="O959"/>
  <c r="P768"/>
  <c r="O1011"/>
  <c r="O703"/>
  <c r="P572"/>
  <c r="P669"/>
  <c r="P799"/>
  <c r="O639"/>
  <c r="P981"/>
  <c r="O635"/>
  <c r="P863"/>
  <c r="P1023"/>
  <c r="P820"/>
  <c r="P672"/>
  <c r="P1053"/>
  <c r="O726"/>
  <c r="O930"/>
  <c r="P950"/>
  <c r="P578"/>
  <c r="P899"/>
  <c r="O802"/>
  <c r="O962"/>
  <c r="O630"/>
  <c r="O886"/>
  <c r="O674"/>
  <c r="O705"/>
  <c r="O982"/>
  <c r="P918"/>
  <c r="O566"/>
  <c r="O642"/>
  <c r="O605"/>
  <c r="O637"/>
  <c r="O661"/>
  <c r="O669"/>
  <c r="O994"/>
  <c r="P1014"/>
  <c r="P990"/>
  <c r="O766"/>
  <c r="O925"/>
  <c r="O860"/>
  <c r="P660"/>
  <c r="P989"/>
  <c r="O796"/>
  <c r="P564"/>
  <c r="O699"/>
  <c r="O641"/>
  <c r="P642"/>
  <c r="O670"/>
  <c r="P961"/>
  <c r="P862"/>
  <c r="P726"/>
  <c r="P960"/>
  <c r="P828"/>
  <c r="P1052"/>
  <c r="P956"/>
  <c r="P596"/>
  <c r="O929"/>
  <c r="P834"/>
  <c r="P758"/>
  <c r="P866"/>
  <c r="P1058"/>
  <c r="P735"/>
  <c r="P861"/>
  <c r="O667"/>
  <c r="P725"/>
  <c r="O564"/>
  <c r="P980"/>
  <c r="O829"/>
  <c r="P739"/>
  <c r="P770"/>
  <c r="P833"/>
  <c r="O861"/>
  <c r="O734"/>
  <c r="O1024"/>
  <c r="P896"/>
  <c r="P800"/>
  <c r="P864"/>
  <c r="P925"/>
  <c r="P821"/>
  <c r="O758"/>
  <c r="P963"/>
  <c r="P675"/>
  <c r="P802"/>
  <c r="P738"/>
  <c r="P831"/>
  <c r="R831" s="1"/>
  <c r="P736"/>
  <c r="O948"/>
  <c r="P796"/>
  <c r="P1024"/>
  <c r="O575"/>
  <c r="P704"/>
  <c r="O735"/>
  <c r="P991"/>
  <c r="P640"/>
  <c r="O755"/>
  <c r="P767"/>
  <c r="P629"/>
  <c r="O831"/>
  <c r="O788"/>
  <c r="O924"/>
  <c r="O799"/>
  <c r="P1056"/>
  <c r="P604"/>
  <c r="P605"/>
  <c r="P574"/>
  <c r="O866"/>
  <c r="P630"/>
  <c r="P702"/>
  <c r="O896"/>
  <c r="O768"/>
  <c r="P995"/>
  <c r="O832"/>
  <c r="O610"/>
  <c r="O981"/>
  <c r="O706"/>
  <c r="O770"/>
  <c r="P1046"/>
  <c r="P674"/>
  <c r="O1058"/>
  <c r="P865"/>
  <c r="P694"/>
  <c r="P1057"/>
  <c r="O702"/>
  <c r="O885"/>
  <c r="P673"/>
  <c r="O701"/>
  <c r="P733"/>
  <c r="P893"/>
  <c r="O828"/>
  <c r="O991"/>
  <c r="P1013"/>
  <c r="P948"/>
  <c r="O565"/>
  <c r="O800"/>
  <c r="O960"/>
  <c r="O862"/>
  <c r="O898"/>
  <c r="P707"/>
  <c r="O1012"/>
  <c r="O628"/>
  <c r="P765"/>
  <c r="O1051"/>
  <c r="P994"/>
  <c r="O917"/>
  <c r="O609"/>
  <c r="O1045"/>
  <c r="P1054"/>
  <c r="O627"/>
  <c r="P637"/>
  <c r="P573"/>
  <c r="P703"/>
  <c r="P927"/>
  <c r="O928"/>
  <c r="O574"/>
  <c r="P926"/>
  <c r="P769"/>
  <c r="O576"/>
  <c r="O606"/>
  <c r="P577"/>
  <c r="P917"/>
  <c r="O955"/>
  <c r="P853"/>
  <c r="P788"/>
  <c r="P789"/>
  <c r="P958"/>
  <c r="O1025"/>
  <c r="O865"/>
  <c r="P641"/>
  <c r="O733"/>
  <c r="O893"/>
  <c r="P790"/>
  <c r="P671"/>
  <c r="P832"/>
  <c r="P576"/>
  <c r="O988"/>
  <c r="P884"/>
  <c r="O916"/>
  <c r="O851"/>
  <c r="P575"/>
  <c r="O596"/>
  <c r="P565"/>
  <c r="P692"/>
  <c r="P639"/>
  <c r="R639" s="1"/>
  <c r="O891"/>
  <c r="P1012"/>
  <c r="O1019"/>
  <c r="O763"/>
  <c r="O1020"/>
  <c r="P693"/>
  <c r="O660"/>
  <c r="P628"/>
  <c r="P892"/>
  <c r="O607"/>
  <c r="O732"/>
  <c r="O671"/>
  <c r="O668"/>
  <c r="O662"/>
  <c r="O797"/>
  <c r="O629"/>
  <c r="O757"/>
  <c r="O894"/>
  <c r="O1054"/>
  <c r="P1022"/>
  <c r="O694"/>
  <c r="O798"/>
  <c r="P598"/>
  <c r="O790"/>
  <c r="O834"/>
  <c r="P982"/>
  <c r="P566"/>
  <c r="O992"/>
  <c r="O1022"/>
  <c r="P830"/>
  <c r="O1057"/>
  <c r="O608"/>
  <c r="O961"/>
  <c r="O821"/>
  <c r="P854"/>
  <c r="O573"/>
  <c r="P734"/>
  <c r="O859"/>
  <c r="O923"/>
  <c r="O636"/>
  <c r="P668"/>
  <c r="P797"/>
  <c r="R797" s="1"/>
  <c r="O947"/>
  <c r="P638"/>
  <c r="P962"/>
  <c r="O598"/>
  <c r="O822"/>
  <c r="O578"/>
  <c r="P1026"/>
  <c r="O571"/>
  <c r="O691"/>
  <c r="O1043"/>
  <c r="O895"/>
  <c r="P959"/>
  <c r="P1020"/>
  <c r="P801"/>
  <c r="O1026"/>
  <c r="P1025"/>
  <c r="P894"/>
  <c r="O736"/>
  <c r="O957"/>
  <c r="P636"/>
  <c r="O731"/>
  <c r="P829"/>
  <c r="P1055"/>
  <c r="P1021"/>
  <c r="P597"/>
  <c r="O989"/>
  <c r="P898"/>
  <c r="P897"/>
  <c r="O853"/>
  <c r="O738"/>
  <c r="P1059"/>
  <c r="O979"/>
  <c r="O764"/>
  <c r="P724"/>
  <c r="O692"/>
  <c r="P732"/>
  <c r="O672"/>
  <c r="P931"/>
  <c r="P662"/>
  <c r="P643"/>
  <c r="O693"/>
  <c r="O1055"/>
  <c r="P957"/>
  <c r="O852"/>
  <c r="P860"/>
  <c r="P988"/>
  <c r="O980"/>
  <c r="O563"/>
  <c r="O604"/>
  <c r="P895"/>
  <c r="P608"/>
  <c r="O1044"/>
  <c r="O892"/>
  <c r="P928"/>
  <c r="R928" s="1"/>
  <c r="O723"/>
  <c r="P852"/>
  <c r="P757"/>
  <c r="P1045"/>
  <c r="P916"/>
  <c r="O827"/>
  <c r="O987"/>
  <c r="O884"/>
  <c r="O1052"/>
  <c r="P924"/>
  <c r="P607"/>
  <c r="O897"/>
  <c r="O704"/>
  <c r="O1056"/>
  <c r="P705"/>
  <c r="P771"/>
  <c r="O789"/>
  <c r="P835"/>
  <c r="P606"/>
  <c r="P993"/>
  <c r="R993" s="1"/>
  <c r="P929"/>
  <c r="P579"/>
  <c r="O926"/>
  <c r="P610"/>
  <c r="P737"/>
  <c r="O640"/>
  <c r="O918"/>
  <c r="O597"/>
  <c r="O577"/>
  <c r="O958"/>
  <c r="P609"/>
  <c r="R609" s="1"/>
  <c r="O864"/>
  <c r="O833"/>
  <c r="P867"/>
  <c r="O765"/>
  <c r="P701"/>
  <c r="P756"/>
  <c r="P661"/>
  <c r="O659"/>
  <c r="O795"/>
  <c r="P930"/>
  <c r="P822"/>
  <c r="O769"/>
  <c r="O801"/>
  <c r="O949"/>
  <c r="O1053"/>
  <c r="O819"/>
  <c r="O820"/>
  <c r="O915"/>
  <c r="O700"/>
  <c r="O603"/>
  <c r="O1023"/>
  <c r="O595"/>
  <c r="O1046"/>
  <c r="P766"/>
  <c r="P670"/>
  <c r="R670" s="1"/>
  <c r="O737"/>
  <c r="P611"/>
  <c r="O638"/>
  <c r="O854"/>
  <c r="O787"/>
  <c r="P885"/>
  <c r="O956"/>
  <c r="O756"/>
  <c r="O883"/>
  <c r="O863"/>
  <c r="O767"/>
  <c r="P764"/>
  <c r="P886"/>
  <c r="P1027"/>
  <c r="P798"/>
  <c r="O950"/>
  <c r="O993"/>
  <c r="O1021"/>
  <c r="P803"/>
  <c r="P1044"/>
  <c r="O572"/>
  <c r="P992"/>
  <c r="P949"/>
  <c r="O673"/>
  <c r="O725"/>
  <c r="O830"/>
  <c r="O990"/>
  <c r="O1013"/>
  <c r="O1014"/>
  <c r="P706"/>
  <c r="P836"/>
  <c r="O708"/>
  <c r="O675"/>
  <c r="O739"/>
  <c r="O803"/>
  <c r="O643"/>
  <c r="O1027"/>
  <c r="P709"/>
  <c r="O996"/>
  <c r="O837"/>
  <c r="P804"/>
  <c r="O900"/>
  <c r="O995"/>
  <c r="O709"/>
  <c r="P646"/>
  <c r="P1060"/>
  <c r="P677"/>
  <c r="O645"/>
  <c r="O582"/>
  <c r="O901"/>
  <c r="O805"/>
  <c r="O646"/>
  <c r="P998"/>
  <c r="P870"/>
  <c r="O1029"/>
  <c r="O677"/>
  <c r="O870"/>
  <c r="P582"/>
  <c r="O774"/>
  <c r="O1060"/>
  <c r="P868"/>
  <c r="P613"/>
  <c r="P965"/>
  <c r="P1061"/>
  <c r="O931"/>
  <c r="P644"/>
  <c r="P612"/>
  <c r="P869"/>
  <c r="R33" i="34"/>
  <c r="R569" i="33" l="1"/>
  <c r="S569" s="1"/>
  <c r="R830"/>
  <c r="S830" s="1"/>
  <c r="U830" s="1"/>
  <c r="R1014"/>
  <c r="S1014" s="1"/>
  <c r="U1014" s="1"/>
  <c r="R764"/>
  <c r="S764" s="1"/>
  <c r="U764" s="1"/>
  <c r="S1033"/>
  <c r="U1033" s="1"/>
  <c r="V1033" s="1"/>
  <c r="R863"/>
  <c r="S863" s="1"/>
  <c r="R679"/>
  <c r="S679" s="1"/>
  <c r="U679" s="1"/>
  <c r="R727"/>
  <c r="S727" s="1"/>
  <c r="U727" s="1"/>
  <c r="R611"/>
  <c r="S611" s="1"/>
  <c r="R650"/>
  <c r="S650" s="1"/>
  <c r="U650" s="1"/>
  <c r="V650" s="1"/>
  <c r="R1059"/>
  <c r="S1059" s="1"/>
  <c r="U1059" s="1"/>
  <c r="R853"/>
  <c r="S853" s="1"/>
  <c r="R827"/>
  <c r="S827" s="1"/>
  <c r="R1051"/>
  <c r="S1051" s="1"/>
  <c r="R731"/>
  <c r="S731" s="1"/>
  <c r="U731" s="1"/>
  <c r="V731" s="1"/>
  <c r="R680"/>
  <c r="S680" s="1"/>
  <c r="R892"/>
  <c r="S892" s="1"/>
  <c r="U892" s="1"/>
  <c r="R626"/>
  <c r="S626" s="1"/>
  <c r="U626" s="1"/>
  <c r="V626" s="1"/>
  <c r="R706"/>
  <c r="S706" s="1"/>
  <c r="U706" s="1"/>
  <c r="R743"/>
  <c r="S743" s="1"/>
  <c r="U743" s="1"/>
  <c r="R553"/>
  <c r="S553" s="1"/>
  <c r="U553" s="1"/>
  <c r="R918"/>
  <c r="S918" s="1"/>
  <c r="U918" s="1"/>
  <c r="R726"/>
  <c r="S726" s="1"/>
  <c r="R716"/>
  <c r="S716" s="1"/>
  <c r="U716" s="1"/>
  <c r="R851"/>
  <c r="S851" s="1"/>
  <c r="R974"/>
  <c r="S974" s="1"/>
  <c r="U974" s="1"/>
  <c r="R689"/>
  <c r="S689" s="1"/>
  <c r="U689" s="1"/>
  <c r="R624"/>
  <c r="S624" s="1"/>
  <c r="U624" s="1"/>
  <c r="R567"/>
  <c r="S567" s="1"/>
  <c r="U567" s="1"/>
  <c r="R949"/>
  <c r="S949" s="1"/>
  <c r="U949" s="1"/>
  <c r="R686"/>
  <c r="S686" s="1"/>
  <c r="U686" s="1"/>
  <c r="V686" s="1"/>
  <c r="R556"/>
  <c r="S556" s="1"/>
  <c r="U556" s="1"/>
  <c r="V556" s="1"/>
  <c r="R1046"/>
  <c r="S1046" s="1"/>
  <c r="U1046" s="1"/>
  <c r="R1062"/>
  <c r="S1062" s="1"/>
  <c r="R692"/>
  <c r="S692" s="1"/>
  <c r="U692" s="1"/>
  <c r="R576"/>
  <c r="S576" s="1"/>
  <c r="U576" s="1"/>
  <c r="R1056"/>
  <c r="S1056" s="1"/>
  <c r="U1056" s="1"/>
  <c r="R925"/>
  <c r="S925" s="1"/>
  <c r="U925" s="1"/>
  <c r="R672"/>
  <c r="S672" s="1"/>
  <c r="U672" s="1"/>
  <c r="R857"/>
  <c r="S857" s="1"/>
  <c r="U857" s="1"/>
  <c r="R850"/>
  <c r="S850" s="1"/>
  <c r="R714"/>
  <c r="S714" s="1"/>
  <c r="U714" s="1"/>
  <c r="V714" s="1"/>
  <c r="R778"/>
  <c r="S778" s="1"/>
  <c r="U778" s="1"/>
  <c r="R871"/>
  <c r="S871" s="1"/>
  <c r="U871" s="1"/>
  <c r="V871" s="1"/>
  <c r="R577"/>
  <c r="S577" s="1"/>
  <c r="U577" s="1"/>
  <c r="R703"/>
  <c r="S703" s="1"/>
  <c r="U703" s="1"/>
  <c r="R861"/>
  <c r="S861" s="1"/>
  <c r="R688"/>
  <c r="S688" s="1"/>
  <c r="R653"/>
  <c r="S653" s="1"/>
  <c r="R883"/>
  <c r="S883" s="1"/>
  <c r="U883" s="1"/>
  <c r="R798"/>
  <c r="S798" s="1"/>
  <c r="U798" s="1"/>
  <c r="R934"/>
  <c r="S934" s="1"/>
  <c r="T934" s="1"/>
  <c r="R896"/>
  <c r="S896" s="1"/>
  <c r="R622"/>
  <c r="S622" s="1"/>
  <c r="U622" s="1"/>
  <c r="V622" s="1"/>
  <c r="R887"/>
  <c r="S887" s="1"/>
  <c r="U887" s="1"/>
  <c r="R618"/>
  <c r="S618" s="1"/>
  <c r="U618" s="1"/>
  <c r="R573"/>
  <c r="S573" s="1"/>
  <c r="U573" s="1"/>
  <c r="R954"/>
  <c r="S954" s="1"/>
  <c r="U954" s="1"/>
  <c r="V954" s="1"/>
  <c r="R717"/>
  <c r="S717" s="1"/>
  <c r="U717" s="1"/>
  <c r="R755"/>
  <c r="S755" s="1"/>
  <c r="R978"/>
  <c r="S978" s="1"/>
  <c r="U978" s="1"/>
  <c r="R1017"/>
  <c r="S1017" s="1"/>
  <c r="U1017" s="1"/>
  <c r="R736"/>
  <c r="S736" s="1"/>
  <c r="U736" s="1"/>
  <c r="R669"/>
  <c r="S669" s="1"/>
  <c r="U669" s="1"/>
  <c r="S609"/>
  <c r="R598"/>
  <c r="S598" s="1"/>
  <c r="U598" s="1"/>
  <c r="R893"/>
  <c r="S893" s="1"/>
  <c r="U893" s="1"/>
  <c r="R1022"/>
  <c r="S1022" s="1"/>
  <c r="R980"/>
  <c r="S980" s="1"/>
  <c r="R998"/>
  <c r="S998" s="1"/>
  <c r="R646"/>
  <c r="S646" s="1"/>
  <c r="R710"/>
  <c r="S710" s="1"/>
  <c r="S837"/>
  <c r="S670"/>
  <c r="S795"/>
  <c r="R610"/>
  <c r="S610" s="1"/>
  <c r="S928"/>
  <c r="R829"/>
  <c r="S829" s="1"/>
  <c r="U829" s="1"/>
  <c r="R628"/>
  <c r="S628" s="1"/>
  <c r="S639"/>
  <c r="R604"/>
  <c r="S604" s="1"/>
  <c r="U604" s="1"/>
  <c r="R833"/>
  <c r="S833" s="1"/>
  <c r="R799"/>
  <c r="S799" s="1"/>
  <c r="U799" s="1"/>
  <c r="R658"/>
  <c r="S658" s="1"/>
  <c r="R882"/>
  <c r="S882" s="1"/>
  <c r="R1007"/>
  <c r="S1007" s="1"/>
  <c r="R561"/>
  <c r="S561" s="1"/>
  <c r="R911"/>
  <c r="S911" s="1"/>
  <c r="U911" s="1"/>
  <c r="S783"/>
  <c r="R878"/>
  <c r="S878" s="1"/>
  <c r="U878" s="1"/>
  <c r="R557"/>
  <c r="S557" s="1"/>
  <c r="U557" s="1"/>
  <c r="R1001"/>
  <c r="S1001" s="1"/>
  <c r="R868"/>
  <c r="S868" s="1"/>
  <c r="R838"/>
  <c r="S838" s="1"/>
  <c r="U838" s="1"/>
  <c r="R803"/>
  <c r="S803" s="1"/>
  <c r="U803" s="1"/>
  <c r="R606"/>
  <c r="S606" s="1"/>
  <c r="R607"/>
  <c r="S607" s="1"/>
  <c r="U607" s="1"/>
  <c r="S1019"/>
  <c r="R1057"/>
  <c r="S1057" s="1"/>
  <c r="R862"/>
  <c r="S862" s="1"/>
  <c r="R719"/>
  <c r="S719" s="1"/>
  <c r="U719" s="1"/>
  <c r="R1037"/>
  <c r="S1037" s="1"/>
  <c r="R652"/>
  <c r="S652" s="1"/>
  <c r="R655"/>
  <c r="S655" s="1"/>
  <c r="U655" s="1"/>
  <c r="R619"/>
  <c r="S619" s="1"/>
  <c r="R842"/>
  <c r="S842" s="1"/>
  <c r="U842" s="1"/>
  <c r="R965"/>
  <c r="S965" s="1"/>
  <c r="R802"/>
  <c r="S802" s="1"/>
  <c r="R780"/>
  <c r="S780" s="1"/>
  <c r="U780" s="1"/>
  <c r="R923"/>
  <c r="S923" s="1"/>
  <c r="U923" s="1"/>
  <c r="R623"/>
  <c r="S623" s="1"/>
  <c r="R913"/>
  <c r="S913" s="1"/>
  <c r="U913" s="1"/>
  <c r="R875"/>
  <c r="S875" s="1"/>
  <c r="U875" s="1"/>
  <c r="R937"/>
  <c r="S937" s="1"/>
  <c r="U937" s="1"/>
  <c r="R900"/>
  <c r="S900" s="1"/>
  <c r="R1060"/>
  <c r="S1060" s="1"/>
  <c r="U1060" s="1"/>
  <c r="R660"/>
  <c r="S660" s="1"/>
  <c r="U660" s="1"/>
  <c r="R582"/>
  <c r="S582" s="1"/>
  <c r="R864"/>
  <c r="S864" s="1"/>
  <c r="U864" s="1"/>
  <c r="R749"/>
  <c r="S749" s="1"/>
  <c r="R599"/>
  <c r="S599" s="1"/>
  <c r="R558"/>
  <c r="S558" s="1"/>
  <c r="R678"/>
  <c r="S678" s="1"/>
  <c r="U678" s="1"/>
  <c r="R592"/>
  <c r="S592" s="1"/>
  <c r="R848"/>
  <c r="S848" s="1"/>
  <c r="U848" s="1"/>
  <c r="R589"/>
  <c r="S589" s="1"/>
  <c r="U589" s="1"/>
  <c r="R588"/>
  <c r="S588" s="1"/>
  <c r="U588" s="1"/>
  <c r="R872"/>
  <c r="S872" s="1"/>
  <c r="U872" s="1"/>
  <c r="R584"/>
  <c r="S584" s="1"/>
  <c r="U584" s="1"/>
  <c r="R809"/>
  <c r="S809" s="1"/>
  <c r="R935"/>
  <c r="S935" s="1"/>
  <c r="R806"/>
  <c r="S806" s="1"/>
  <c r="R902"/>
  <c r="S902" s="1"/>
  <c r="R720"/>
  <c r="S720" s="1"/>
  <c r="U720" s="1"/>
  <c r="R677"/>
  <c r="S677" s="1"/>
  <c r="R757"/>
  <c r="S757" s="1"/>
  <c r="R654"/>
  <c r="S654" s="1"/>
  <c r="R759"/>
  <c r="S759" s="1"/>
  <c r="U759" s="1"/>
  <c r="R634"/>
  <c r="S634" s="1"/>
  <c r="R889"/>
  <c r="S889" s="1"/>
  <c r="R1043"/>
  <c r="S1043" s="1"/>
  <c r="U1043" s="1"/>
  <c r="R722"/>
  <c r="S722" s="1"/>
  <c r="R560"/>
  <c r="S560" s="1"/>
  <c r="R1004"/>
  <c r="S1004" s="1"/>
  <c r="R1018"/>
  <c r="S1018" s="1"/>
  <c r="R591"/>
  <c r="S591" s="1"/>
  <c r="R600"/>
  <c r="S600" s="1"/>
  <c r="U600" s="1"/>
  <c r="R779"/>
  <c r="S779" s="1"/>
  <c r="U779" s="1"/>
  <c r="R615"/>
  <c r="S615" s="1"/>
  <c r="U615" s="1"/>
  <c r="R682"/>
  <c r="S682" s="1"/>
  <c r="U682" s="1"/>
  <c r="R811"/>
  <c r="S811" s="1"/>
  <c r="U811" s="1"/>
  <c r="R774"/>
  <c r="S774" s="1"/>
  <c r="R613"/>
  <c r="S613" s="1"/>
  <c r="R574"/>
  <c r="S574" s="1"/>
  <c r="U574" s="1"/>
  <c r="R1061"/>
  <c r="S1061" s="1"/>
  <c r="U1061" s="1"/>
  <c r="R701"/>
  <c r="S701" s="1"/>
  <c r="S993"/>
  <c r="R1045"/>
  <c r="S1045" s="1"/>
  <c r="U1045" s="1"/>
  <c r="R724"/>
  <c r="S724" s="1"/>
  <c r="R638"/>
  <c r="S638" s="1"/>
  <c r="U638" s="1"/>
  <c r="R575"/>
  <c r="S575" s="1"/>
  <c r="U575" s="1"/>
  <c r="R790"/>
  <c r="S790" s="1"/>
  <c r="R788"/>
  <c r="S788" s="1"/>
  <c r="R926"/>
  <c r="S926" s="1"/>
  <c r="R1054"/>
  <c r="S1054" s="1"/>
  <c r="U1054" s="1"/>
  <c r="R1013"/>
  <c r="S1013" s="1"/>
  <c r="U1013" s="1"/>
  <c r="R630"/>
  <c r="S630" s="1"/>
  <c r="R704"/>
  <c r="S704" s="1"/>
  <c r="R758"/>
  <c r="S758" s="1"/>
  <c r="R578"/>
  <c r="S578" s="1"/>
  <c r="R946"/>
  <c r="S946" s="1"/>
  <c r="R664"/>
  <c r="S664" s="1"/>
  <c r="R955"/>
  <c r="S955" s="1"/>
  <c r="U955" s="1"/>
  <c r="R972"/>
  <c r="S972" s="1"/>
  <c r="R976"/>
  <c r="S976" s="1"/>
  <c r="U976" s="1"/>
  <c r="R687"/>
  <c r="S687" s="1"/>
  <c r="R690"/>
  <c r="S690" s="1"/>
  <c r="R922"/>
  <c r="S922" s="1"/>
  <c r="R945"/>
  <c r="S945" s="1"/>
  <c r="U945" s="1"/>
  <c r="R665"/>
  <c r="S665" s="1"/>
  <c r="S823"/>
  <c r="S968"/>
  <c r="R874"/>
  <c r="S874" s="1"/>
  <c r="R777"/>
  <c r="S777" s="1"/>
  <c r="R715"/>
  <c r="S715" s="1"/>
  <c r="U715" s="1"/>
  <c r="R924"/>
  <c r="S924" s="1"/>
  <c r="U924" s="1"/>
  <c r="R849"/>
  <c r="S849" s="1"/>
  <c r="U849" s="1"/>
  <c r="R756"/>
  <c r="S756" s="1"/>
  <c r="U756" s="1"/>
  <c r="R929"/>
  <c r="S929" s="1"/>
  <c r="R957"/>
  <c r="S957" s="1"/>
  <c r="R962"/>
  <c r="S962" s="1"/>
  <c r="U962" s="1"/>
  <c r="R734"/>
  <c r="S734" s="1"/>
  <c r="R789"/>
  <c r="S789" s="1"/>
  <c r="R738"/>
  <c r="S738" s="1"/>
  <c r="U738" s="1"/>
  <c r="R866"/>
  <c r="S866" s="1"/>
  <c r="U866" s="1"/>
  <c r="S877"/>
  <c r="R881"/>
  <c r="S881" s="1"/>
  <c r="R1010"/>
  <c r="S1010" s="1"/>
  <c r="R1049"/>
  <c r="S1049" s="1"/>
  <c r="R943"/>
  <c r="S943" s="1"/>
  <c r="U943" s="1"/>
  <c r="S888"/>
  <c r="R906"/>
  <c r="S906" s="1"/>
  <c r="U906" s="1"/>
  <c r="R843"/>
  <c r="S843" s="1"/>
  <c r="U843" s="1"/>
  <c r="R651"/>
  <c r="S651" s="1"/>
  <c r="U651" s="1"/>
  <c r="R903"/>
  <c r="S903" s="1"/>
  <c r="U903" s="1"/>
  <c r="R901"/>
  <c r="S901" s="1"/>
  <c r="R992"/>
  <c r="S992" s="1"/>
  <c r="U992" s="1"/>
  <c r="R1027"/>
  <c r="S1027" s="1"/>
  <c r="U1027" s="1"/>
  <c r="R885"/>
  <c r="S885" s="1"/>
  <c r="R661"/>
  <c r="S661" s="1"/>
  <c r="U661" s="1"/>
  <c r="R579"/>
  <c r="S579" s="1"/>
  <c r="U579" s="1"/>
  <c r="R897"/>
  <c r="S897" s="1"/>
  <c r="U897" s="1"/>
  <c r="R636"/>
  <c r="S636" s="1"/>
  <c r="U636" s="1"/>
  <c r="R959"/>
  <c r="S959" s="1"/>
  <c r="S859"/>
  <c r="R565"/>
  <c r="S565" s="1"/>
  <c r="R637"/>
  <c r="S637" s="1"/>
  <c r="R765"/>
  <c r="S765" s="1"/>
  <c r="U765" s="1"/>
  <c r="R991"/>
  <c r="S991" s="1"/>
  <c r="U991" s="1"/>
  <c r="R739"/>
  <c r="S739" s="1"/>
  <c r="U739" s="1"/>
  <c r="R1058"/>
  <c r="S1058" s="1"/>
  <c r="R828"/>
  <c r="S828" s="1"/>
  <c r="U828" s="1"/>
  <c r="R990"/>
  <c r="S990" s="1"/>
  <c r="U990" s="1"/>
  <c r="R820"/>
  <c r="S820" s="1"/>
  <c r="R572"/>
  <c r="S572" s="1"/>
  <c r="R691"/>
  <c r="S691" s="1"/>
  <c r="R656"/>
  <c r="S656" s="1"/>
  <c r="U656" s="1"/>
  <c r="R985"/>
  <c r="S985" s="1"/>
  <c r="R814"/>
  <c r="S814" s="1"/>
  <c r="R1008"/>
  <c r="S1008" s="1"/>
  <c r="R940"/>
  <c r="S940" s="1"/>
  <c r="R1038"/>
  <c r="S1038" s="1"/>
  <c r="U1038" s="1"/>
  <c r="R794"/>
  <c r="S794" s="1"/>
  <c r="U794" s="1"/>
  <c r="R728"/>
  <c r="S728" s="1"/>
  <c r="R975"/>
  <c r="S975" s="1"/>
  <c r="R817"/>
  <c r="S817" s="1"/>
  <c r="R846"/>
  <c r="S846" s="1"/>
  <c r="U846" s="1"/>
  <c r="R666"/>
  <c r="S666" s="1"/>
  <c r="R787"/>
  <c r="S787" s="1"/>
  <c r="U787" s="1"/>
  <c r="R751"/>
  <c r="S751" s="1"/>
  <c r="R904"/>
  <c r="S904" s="1"/>
  <c r="R776"/>
  <c r="S776" s="1"/>
  <c r="R552"/>
  <c r="S552" s="1"/>
  <c r="R1003"/>
  <c r="S1003" s="1"/>
  <c r="U1003" s="1"/>
  <c r="R1034"/>
  <c r="S1034" s="1"/>
  <c r="S583"/>
  <c r="R554"/>
  <c r="S554" s="1"/>
  <c r="R907"/>
  <c r="S907" s="1"/>
  <c r="U907" s="1"/>
  <c r="R580"/>
  <c r="S580" s="1"/>
  <c r="R772"/>
  <c r="S772" s="1"/>
  <c r="R996"/>
  <c r="S996" s="1"/>
  <c r="R932"/>
  <c r="S932" s="1"/>
  <c r="R771"/>
  <c r="S771" s="1"/>
  <c r="R931"/>
  <c r="S931" s="1"/>
  <c r="U931" s="1"/>
  <c r="R995"/>
  <c r="S995" s="1"/>
  <c r="U995" s="1"/>
  <c r="R752"/>
  <c r="S752" s="1"/>
  <c r="R910"/>
  <c r="S910" s="1"/>
  <c r="U910" s="1"/>
  <c r="R939"/>
  <c r="S939" s="1"/>
  <c r="U939" s="1"/>
  <c r="R930"/>
  <c r="S930" s="1"/>
  <c r="U930" s="1"/>
  <c r="S723"/>
  <c r="R662"/>
  <c r="S662" s="1"/>
  <c r="U662" s="1"/>
  <c r="R884"/>
  <c r="S884" s="1"/>
  <c r="U884" s="1"/>
  <c r="R927"/>
  <c r="S927" s="1"/>
  <c r="U927" s="1"/>
  <c r="S632"/>
  <c r="R1048"/>
  <c r="S1048" s="1"/>
  <c r="U1048" s="1"/>
  <c r="R559"/>
  <c r="S559" s="1"/>
  <c r="U559" s="1"/>
  <c r="R663"/>
  <c r="S663" s="1"/>
  <c r="U663" s="1"/>
  <c r="R740"/>
  <c r="S740" s="1"/>
  <c r="R1040"/>
  <c r="S1040" s="1"/>
  <c r="U1040" s="1"/>
  <c r="R614"/>
  <c r="S614" s="1"/>
  <c r="R812"/>
  <c r="S812" s="1"/>
  <c r="U812" s="1"/>
  <c r="R844"/>
  <c r="S844" s="1"/>
  <c r="R729"/>
  <c r="S729" s="1"/>
  <c r="U729" s="1"/>
  <c r="R775"/>
  <c r="S775" s="1"/>
  <c r="U775" s="1"/>
  <c r="R994"/>
  <c r="S994" s="1"/>
  <c r="U994" s="1"/>
  <c r="R1053"/>
  <c r="S1053" s="1"/>
  <c r="U1053" s="1"/>
  <c r="S781"/>
  <c r="R761"/>
  <c r="S761" s="1"/>
  <c r="U761" s="1"/>
  <c r="R792"/>
  <c r="S792" s="1"/>
  <c r="R649"/>
  <c r="S649" s="1"/>
  <c r="U649" s="1"/>
  <c r="R836"/>
  <c r="S836" s="1"/>
  <c r="U836" s="1"/>
  <c r="R852"/>
  <c r="S852" s="1"/>
  <c r="U852" s="1"/>
  <c r="R1021"/>
  <c r="S1021" s="1"/>
  <c r="U1021" s="1"/>
  <c r="R1012"/>
  <c r="S1012" s="1"/>
  <c r="U1012" s="1"/>
  <c r="R725"/>
  <c r="S725" s="1"/>
  <c r="U725" s="1"/>
  <c r="R819"/>
  <c r="S819" s="1"/>
  <c r="U819" s="1"/>
  <c r="R876"/>
  <c r="S876" s="1"/>
  <c r="R816"/>
  <c r="S816" s="1"/>
  <c r="R625"/>
  <c r="S625" s="1"/>
  <c r="U625" s="1"/>
  <c r="R1002"/>
  <c r="S1002" s="1"/>
  <c r="R988"/>
  <c r="S988" s="1"/>
  <c r="U988" s="1"/>
  <c r="S824"/>
  <c r="R909"/>
  <c r="S909" s="1"/>
  <c r="R786"/>
  <c r="S786" s="1"/>
  <c r="U786" s="1"/>
  <c r="R869"/>
  <c r="S869" s="1"/>
  <c r="R1025"/>
  <c r="S1025" s="1"/>
  <c r="U1025" s="1"/>
  <c r="R982"/>
  <c r="S982" s="1"/>
  <c r="U982" s="1"/>
  <c r="R684"/>
  <c r="S684" s="1"/>
  <c r="U684" s="1"/>
  <c r="R1000"/>
  <c r="S1000" s="1"/>
  <c r="U1000" s="1"/>
  <c r="R969"/>
  <c r="S969" s="1"/>
  <c r="U969" s="1"/>
  <c r="R597"/>
  <c r="S597" s="1"/>
  <c r="R894"/>
  <c r="S894" s="1"/>
  <c r="U894" s="1"/>
  <c r="R854"/>
  <c r="S854" s="1"/>
  <c r="R566"/>
  <c r="S566" s="1"/>
  <c r="R707"/>
  <c r="S707" s="1"/>
  <c r="U707" s="1"/>
  <c r="R675"/>
  <c r="S675" s="1"/>
  <c r="U675" s="1"/>
  <c r="R834"/>
  <c r="S834" s="1"/>
  <c r="R989"/>
  <c r="S989" s="1"/>
  <c r="R950"/>
  <c r="S950" s="1"/>
  <c r="R768"/>
  <c r="S768" s="1"/>
  <c r="R730"/>
  <c r="S730" s="1"/>
  <c r="R908"/>
  <c r="S908" s="1"/>
  <c r="R590"/>
  <c r="S590" s="1"/>
  <c r="R914"/>
  <c r="S914" s="1"/>
  <c r="R621"/>
  <c r="S621" s="1"/>
  <c r="R953"/>
  <c r="S953" s="1"/>
  <c r="U953" s="1"/>
  <c r="R915"/>
  <c r="S915" s="1"/>
  <c r="U915" s="1"/>
  <c r="R941"/>
  <c r="S941" s="1"/>
  <c r="S856"/>
  <c r="R785"/>
  <c r="S785" s="1"/>
  <c r="R748"/>
  <c r="S748" s="1"/>
  <c r="R841"/>
  <c r="S841" s="1"/>
  <c r="R711"/>
  <c r="S711" s="1"/>
  <c r="R683"/>
  <c r="S683" s="1"/>
  <c r="U683" s="1"/>
  <c r="R933"/>
  <c r="S933" s="1"/>
  <c r="R879"/>
  <c r="S879" s="1"/>
  <c r="U879" s="1"/>
  <c r="S696"/>
  <c r="U696" s="1"/>
  <c r="R858"/>
  <c r="S858" s="1"/>
  <c r="U858" s="1"/>
  <c r="R571"/>
  <c r="S571" s="1"/>
  <c r="U571" s="1"/>
  <c r="R791"/>
  <c r="S791" s="1"/>
  <c r="U791" s="1"/>
  <c r="R905"/>
  <c r="S905" s="1"/>
  <c r="U905" s="1"/>
  <c r="R744"/>
  <c r="S744" s="1"/>
  <c r="U744" s="1"/>
  <c r="R970"/>
  <c r="S970" s="1"/>
  <c r="U970" s="1"/>
  <c r="R999"/>
  <c r="S999" s="1"/>
  <c r="U999" s="1"/>
  <c r="R617"/>
  <c r="S617" s="1"/>
  <c r="U617" s="1"/>
  <c r="R742"/>
  <c r="S742" s="1"/>
  <c r="R870"/>
  <c r="S870" s="1"/>
  <c r="R886"/>
  <c r="S886" s="1"/>
  <c r="U886" s="1"/>
  <c r="R916"/>
  <c r="S916" s="1"/>
  <c r="U916" s="1"/>
  <c r="R608"/>
  <c r="S608" s="1"/>
  <c r="U608" s="1"/>
  <c r="R898"/>
  <c r="S898" s="1"/>
  <c r="U898" s="1"/>
  <c r="R671"/>
  <c r="S671" s="1"/>
  <c r="U671" s="1"/>
  <c r="R769"/>
  <c r="S769" s="1"/>
  <c r="U769" s="1"/>
  <c r="R948"/>
  <c r="S948" s="1"/>
  <c r="U948" s="1"/>
  <c r="R702"/>
  <c r="S702" s="1"/>
  <c r="U702" s="1"/>
  <c r="R800"/>
  <c r="S800" s="1"/>
  <c r="U800" s="1"/>
  <c r="R960"/>
  <c r="S960" s="1"/>
  <c r="U960" s="1"/>
  <c r="R564"/>
  <c r="S564" s="1"/>
  <c r="U564" s="1"/>
  <c r="R899"/>
  <c r="S899" s="1"/>
  <c r="U899" s="1"/>
  <c r="R1023"/>
  <c r="S1023" s="1"/>
  <c r="U1023" s="1"/>
  <c r="R721"/>
  <c r="S721" s="1"/>
  <c r="U721" s="1"/>
  <c r="R986"/>
  <c r="S986" s="1"/>
  <c r="U986" s="1"/>
  <c r="R847"/>
  <c r="S847" s="1"/>
  <c r="U847" s="1"/>
  <c r="R1005"/>
  <c r="S1005" s="1"/>
  <c r="U1005" s="1"/>
  <c r="R944"/>
  <c r="S944" s="1"/>
  <c r="U944" s="1"/>
  <c r="R698"/>
  <c r="S698" s="1"/>
  <c r="U698" s="1"/>
  <c r="R855"/>
  <c r="S855" s="1"/>
  <c r="U855" s="1"/>
  <c r="R667"/>
  <c r="S667" s="1"/>
  <c r="U667" s="1"/>
  <c r="R657"/>
  <c r="S657" s="1"/>
  <c r="U657" s="1"/>
  <c r="S825"/>
  <c r="U825" s="1"/>
  <c r="R880"/>
  <c r="S880" s="1"/>
  <c r="U880" s="1"/>
  <c r="R659"/>
  <c r="S659" s="1"/>
  <c r="U659" s="1"/>
  <c r="R695"/>
  <c r="S695" s="1"/>
  <c r="U695" s="1"/>
  <c r="R1006"/>
  <c r="S1006" s="1"/>
  <c r="U1006" s="1"/>
  <c r="R919"/>
  <c r="S919" s="1"/>
  <c r="U919" s="1"/>
  <c r="R793"/>
  <c r="S793" s="1"/>
  <c r="U793" s="1"/>
  <c r="R595"/>
  <c r="S595" s="1"/>
  <c r="U595" s="1"/>
  <c r="R984"/>
  <c r="S984" s="1"/>
  <c r="U984" s="1"/>
  <c r="R807"/>
  <c r="S807" s="1"/>
  <c r="U807" s="1"/>
  <c r="R810"/>
  <c r="S810" s="1"/>
  <c r="U810" s="1"/>
  <c r="R713"/>
  <c r="S713" s="1"/>
  <c r="U713" s="1"/>
  <c r="R647"/>
  <c r="S647" s="1"/>
  <c r="U647" s="1"/>
  <c r="R971"/>
  <c r="S971" s="1"/>
  <c r="U971" s="1"/>
  <c r="R1029"/>
  <c r="S1029" s="1"/>
  <c r="R676"/>
  <c r="S676" s="1"/>
  <c r="R693"/>
  <c r="S693" s="1"/>
  <c r="U693" s="1"/>
  <c r="R958"/>
  <c r="S958" s="1"/>
  <c r="U958" s="1"/>
  <c r="R673"/>
  <c r="S673" s="1"/>
  <c r="U673" s="1"/>
  <c r="S831"/>
  <c r="U831" s="1"/>
  <c r="R766"/>
  <c r="S766" s="1"/>
  <c r="U766" s="1"/>
  <c r="R705"/>
  <c r="S705" s="1"/>
  <c r="U705" s="1"/>
  <c r="R860"/>
  <c r="S860" s="1"/>
  <c r="U860" s="1"/>
  <c r="R1020"/>
  <c r="S1020" s="1"/>
  <c r="U1020" s="1"/>
  <c r="R674"/>
  <c r="S674" s="1"/>
  <c r="U674" s="1"/>
  <c r="R640"/>
  <c r="S640" s="1"/>
  <c r="U640" s="1"/>
  <c r="R770"/>
  <c r="S770" s="1"/>
  <c r="U770" s="1"/>
  <c r="R735"/>
  <c r="S735" s="1"/>
  <c r="U735" s="1"/>
  <c r="R1052"/>
  <c r="S1052" s="1"/>
  <c r="U1052" s="1"/>
  <c r="R700"/>
  <c r="S700" s="1"/>
  <c r="U700" s="1"/>
  <c r="R1047"/>
  <c r="S1047" s="1"/>
  <c r="U1047" s="1"/>
  <c r="R762"/>
  <c r="S762" s="1"/>
  <c r="U762" s="1"/>
  <c r="S1009"/>
  <c r="U1009" s="1"/>
  <c r="R912"/>
  <c r="S912" s="1"/>
  <c r="U912" s="1"/>
  <c r="R697"/>
  <c r="S697" s="1"/>
  <c r="U697" s="1"/>
  <c r="R1011"/>
  <c r="S1011" s="1"/>
  <c r="U1011" s="1"/>
  <c r="R983"/>
  <c r="S983" s="1"/>
  <c r="U983" s="1"/>
  <c r="R1041"/>
  <c r="S1041" s="1"/>
  <c r="U1041" s="1"/>
  <c r="R568"/>
  <c r="S568" s="1"/>
  <c r="U568" s="1"/>
  <c r="R979"/>
  <c r="S979" s="1"/>
  <c r="U979" s="1"/>
  <c r="S1016"/>
  <c r="U1016" s="1"/>
  <c r="R813"/>
  <c r="S813" s="1"/>
  <c r="U813" s="1"/>
  <c r="R602"/>
  <c r="S602" s="1"/>
  <c r="U602" s="1"/>
  <c r="R951"/>
  <c r="S951" s="1"/>
  <c r="U951" s="1"/>
  <c r="R973"/>
  <c r="S973" s="1"/>
  <c r="U973" s="1"/>
  <c r="R1039"/>
  <c r="S1039" s="1"/>
  <c r="U1039" s="1"/>
  <c r="R587"/>
  <c r="S587" s="1"/>
  <c r="U587" s="1"/>
  <c r="R967"/>
  <c r="S967" s="1"/>
  <c r="U967" s="1"/>
  <c r="R839"/>
  <c r="S839" s="1"/>
  <c r="U839" s="1"/>
  <c r="R586"/>
  <c r="S586" s="1"/>
  <c r="U586" s="1"/>
  <c r="R555"/>
  <c r="S555" s="1"/>
  <c r="U555" s="1"/>
  <c r="R773"/>
  <c r="S773" s="1"/>
  <c r="R581"/>
  <c r="S581" s="1"/>
  <c r="R895"/>
  <c r="S895" s="1"/>
  <c r="U895" s="1"/>
  <c r="R832"/>
  <c r="S832" s="1"/>
  <c r="U832" s="1"/>
  <c r="R685"/>
  <c r="S685" s="1"/>
  <c r="U685" s="1"/>
  <c r="R601"/>
  <c r="S601" s="1"/>
  <c r="U601" s="1"/>
  <c r="R746"/>
  <c r="S746" s="1"/>
  <c r="U746" s="1"/>
  <c r="R804"/>
  <c r="S804" s="1"/>
  <c r="R801"/>
  <c r="S801" s="1"/>
  <c r="U801" s="1"/>
  <c r="R733"/>
  <c r="S733" s="1"/>
  <c r="U733" s="1"/>
  <c r="R956"/>
  <c r="S956" s="1"/>
  <c r="U956" s="1"/>
  <c r="R594"/>
  <c r="S594" s="1"/>
  <c r="U594" s="1"/>
  <c r="R760"/>
  <c r="S760" s="1"/>
  <c r="U760" s="1"/>
  <c r="R920"/>
  <c r="S920" s="1"/>
  <c r="U920" s="1"/>
  <c r="R603"/>
  <c r="S603" s="1"/>
  <c r="U603" s="1"/>
  <c r="R942"/>
  <c r="S942" s="1"/>
  <c r="U942" s="1"/>
  <c r="R818"/>
  <c r="S818" s="1"/>
  <c r="U818" s="1"/>
  <c r="R845"/>
  <c r="S845" s="1"/>
  <c r="U845" s="1"/>
  <c r="R754"/>
  <c r="S754" s="1"/>
  <c r="U754" s="1"/>
  <c r="R936"/>
  <c r="S936" s="1"/>
  <c r="U936" s="1"/>
  <c r="R966"/>
  <c r="S966" s="1"/>
  <c r="R644"/>
  <c r="S644" s="1"/>
  <c r="R709"/>
  <c r="S709" s="1"/>
  <c r="R737"/>
  <c r="S737" s="1"/>
  <c r="U737" s="1"/>
  <c r="R1055"/>
  <c r="S1055" s="1"/>
  <c r="U1055" s="1"/>
  <c r="R1026"/>
  <c r="S1026" s="1"/>
  <c r="U1026" s="1"/>
  <c r="R668"/>
  <c r="S668" s="1"/>
  <c r="U668" s="1"/>
  <c r="R641"/>
  <c r="S641" s="1"/>
  <c r="U641" s="1"/>
  <c r="R917"/>
  <c r="S917" s="1"/>
  <c r="U917" s="1"/>
  <c r="R865"/>
  <c r="S865" s="1"/>
  <c r="U865" s="1"/>
  <c r="R605"/>
  <c r="S605" s="1"/>
  <c r="U605" s="1"/>
  <c r="R767"/>
  <c r="S767" s="1"/>
  <c r="U767" s="1"/>
  <c r="R796"/>
  <c r="S796" s="1"/>
  <c r="U796" s="1"/>
  <c r="R596"/>
  <c r="S596" s="1"/>
  <c r="U596" s="1"/>
  <c r="R947"/>
  <c r="S947" s="1"/>
  <c r="U947" s="1"/>
  <c r="R627"/>
  <c r="S627" s="1"/>
  <c r="U627" s="1"/>
  <c r="R699"/>
  <c r="S699" s="1"/>
  <c r="U699" s="1"/>
  <c r="R952"/>
  <c r="S952" s="1"/>
  <c r="U952" s="1"/>
  <c r="S826"/>
  <c r="U826" s="1"/>
  <c r="R815"/>
  <c r="S815" s="1"/>
  <c r="U815" s="1"/>
  <c r="R763"/>
  <c r="S763" s="1"/>
  <c r="U763" s="1"/>
  <c r="R562"/>
  <c r="S562" s="1"/>
  <c r="U562" s="1"/>
  <c r="R921"/>
  <c r="S921" s="1"/>
  <c r="U921" s="1"/>
  <c r="R782"/>
  <c r="S782" s="1"/>
  <c r="U782" s="1"/>
  <c r="R750"/>
  <c r="S750" s="1"/>
  <c r="U750" s="1"/>
  <c r="R890"/>
  <c r="S890" s="1"/>
  <c r="U890" s="1"/>
  <c r="R1035"/>
  <c r="S1035" s="1"/>
  <c r="U1035" s="1"/>
  <c r="R681"/>
  <c r="S681" s="1"/>
  <c r="U681" s="1"/>
  <c r="R1032"/>
  <c r="S1032" s="1"/>
  <c r="U1032" s="1"/>
  <c r="R648"/>
  <c r="S648" s="1"/>
  <c r="U648" s="1"/>
  <c r="S808"/>
  <c r="U808" s="1"/>
  <c r="R616"/>
  <c r="S616" s="1"/>
  <c r="U616" s="1"/>
  <c r="R712"/>
  <c r="S712" s="1"/>
  <c r="U712" s="1"/>
  <c r="R741"/>
  <c r="S741" s="1"/>
  <c r="R997"/>
  <c r="S997" s="1"/>
  <c r="R708"/>
  <c r="S708" s="1"/>
  <c r="R964"/>
  <c r="S964" s="1"/>
  <c r="R1044"/>
  <c r="S1044" s="1"/>
  <c r="U1044" s="1"/>
  <c r="R732"/>
  <c r="S732" s="1"/>
  <c r="U732" s="1"/>
  <c r="R821"/>
  <c r="S821" s="1"/>
  <c r="U821" s="1"/>
  <c r="R642"/>
  <c r="S642" s="1"/>
  <c r="U642" s="1"/>
  <c r="R891"/>
  <c r="S891" s="1"/>
  <c r="U891" s="1"/>
  <c r="R718"/>
  <c r="S718" s="1"/>
  <c r="U718" s="1"/>
  <c r="R635"/>
  <c r="S635" s="1"/>
  <c r="U635" s="1"/>
  <c r="R620"/>
  <c r="S620" s="1"/>
  <c r="U620" s="1"/>
  <c r="R645"/>
  <c r="S645" s="1"/>
  <c r="R1028"/>
  <c r="S1028" s="1"/>
  <c r="R612"/>
  <c r="S612" s="1"/>
  <c r="R822"/>
  <c r="S822" s="1"/>
  <c r="U822" s="1"/>
  <c r="R867"/>
  <c r="S867" s="1"/>
  <c r="U867" s="1"/>
  <c r="R835"/>
  <c r="S835" s="1"/>
  <c r="U835" s="1"/>
  <c r="R643"/>
  <c r="S643" s="1"/>
  <c r="U643" s="1"/>
  <c r="S797"/>
  <c r="U797" s="1"/>
  <c r="R694"/>
  <c r="S694" s="1"/>
  <c r="U694" s="1"/>
  <c r="R629"/>
  <c r="S629" s="1"/>
  <c r="U629" s="1"/>
  <c r="R1024"/>
  <c r="S1024" s="1"/>
  <c r="U1024" s="1"/>
  <c r="R963"/>
  <c r="S963" s="1"/>
  <c r="U963" s="1"/>
  <c r="R961"/>
  <c r="S961" s="1"/>
  <c r="U961" s="1"/>
  <c r="R981"/>
  <c r="S981" s="1"/>
  <c r="U981" s="1"/>
  <c r="R1015"/>
  <c r="S1015" s="1"/>
  <c r="U1015" s="1"/>
  <c r="R570"/>
  <c r="S570" s="1"/>
  <c r="U570" s="1"/>
  <c r="R753"/>
  <c r="S753" s="1"/>
  <c r="U753" s="1"/>
  <c r="R1036"/>
  <c r="S1036" s="1"/>
  <c r="U1036" s="1"/>
  <c r="R987"/>
  <c r="S987" s="1"/>
  <c r="U987" s="1"/>
  <c r="R593"/>
  <c r="S593" s="1"/>
  <c r="U593" s="1"/>
  <c r="R631"/>
  <c r="S631" s="1"/>
  <c r="U631" s="1"/>
  <c r="R563"/>
  <c r="S563" s="1"/>
  <c r="U563" s="1"/>
  <c r="S977"/>
  <c r="U977" s="1"/>
  <c r="R1050"/>
  <c r="S1050" s="1"/>
  <c r="U1050" s="1"/>
  <c r="R633"/>
  <c r="S633" s="1"/>
  <c r="U633" s="1"/>
  <c r="R1042"/>
  <c r="S1042" s="1"/>
  <c r="U1042" s="1"/>
  <c r="R784"/>
  <c r="S784" s="1"/>
  <c r="U784" s="1"/>
  <c r="R873"/>
  <c r="S873" s="1"/>
  <c r="U873" s="1"/>
  <c r="S585"/>
  <c r="U585" s="1"/>
  <c r="R938"/>
  <c r="S938" s="1"/>
  <c r="U938" s="1"/>
  <c r="R747"/>
  <c r="S747" s="1"/>
  <c r="U747" s="1"/>
  <c r="R551"/>
  <c r="S551" s="1"/>
  <c r="U551" s="1"/>
  <c r="R840"/>
  <c r="S840" s="1"/>
  <c r="U840" s="1"/>
  <c r="R745"/>
  <c r="S745" s="1"/>
  <c r="U745" s="1"/>
  <c r="S1031"/>
  <c r="U1031" s="1"/>
  <c r="R805"/>
  <c r="S805" s="1"/>
  <c r="R1030"/>
  <c r="S1030" s="1"/>
  <c r="R34" i="34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P528" i="33" s="1"/>
  <c r="T1033" l="1"/>
  <c r="T650"/>
  <c r="T731"/>
  <c r="T556"/>
  <c r="T622"/>
  <c r="T954"/>
  <c r="U934"/>
  <c r="V934" s="1"/>
  <c r="T626"/>
  <c r="T714"/>
  <c r="T686"/>
  <c r="T709"/>
  <c r="U709"/>
  <c r="V709" s="1"/>
  <c r="T856"/>
  <c r="U856"/>
  <c r="V856" s="1"/>
  <c r="T781"/>
  <c r="U781"/>
  <c r="V781" s="1"/>
  <c r="T632"/>
  <c r="U632"/>
  <c r="V632" s="1"/>
  <c r="T776"/>
  <c r="U776"/>
  <c r="V776" s="1"/>
  <c r="T691"/>
  <c r="U691"/>
  <c r="V691" s="1"/>
  <c r="T664"/>
  <c r="U664"/>
  <c r="V664" s="1"/>
  <c r="T724"/>
  <c r="U724"/>
  <c r="V724" s="1"/>
  <c r="T560"/>
  <c r="U560"/>
  <c r="V560" s="1"/>
  <c r="T606"/>
  <c r="U606"/>
  <c r="V606" s="1"/>
  <c r="T670"/>
  <c r="U670"/>
  <c r="V670" s="1"/>
  <c r="U708"/>
  <c r="V708" s="1"/>
  <c r="U908"/>
  <c r="V908" s="1"/>
  <c r="T996"/>
  <c r="U996"/>
  <c r="V996" s="1"/>
  <c r="T975"/>
  <c r="U975"/>
  <c r="V975" s="1"/>
  <c r="T774"/>
  <c r="U774"/>
  <c r="V774" s="1"/>
  <c r="T619"/>
  <c r="U619"/>
  <c r="V619" s="1"/>
  <c r="U748"/>
  <c r="V748" s="1"/>
  <c r="U590"/>
  <c r="V590" s="1"/>
  <c r="T654"/>
  <c r="U654"/>
  <c r="V654" s="1"/>
  <c r="T809"/>
  <c r="U809"/>
  <c r="V809" s="1"/>
  <c r="T558"/>
  <c r="U558"/>
  <c r="V558" s="1"/>
  <c r="T1019"/>
  <c r="U1019"/>
  <c r="V1019" s="1"/>
  <c r="T610"/>
  <c r="U610"/>
  <c r="V610" s="1"/>
  <c r="T841"/>
  <c r="U841"/>
  <c r="V841" s="1"/>
  <c r="T914"/>
  <c r="U914"/>
  <c r="V914" s="1"/>
  <c r="U834"/>
  <c r="V834" s="1"/>
  <c r="U909"/>
  <c r="V909" s="1"/>
  <c r="U816"/>
  <c r="V816" s="1"/>
  <c r="T771"/>
  <c r="U771"/>
  <c r="V771" s="1"/>
  <c r="U1034"/>
  <c r="V1034" s="1"/>
  <c r="T814"/>
  <c r="U814"/>
  <c r="V814" s="1"/>
  <c r="T1058"/>
  <c r="U1058"/>
  <c r="V1058" s="1"/>
  <c r="T959"/>
  <c r="U959"/>
  <c r="V959" s="1"/>
  <c r="T1049"/>
  <c r="U1049"/>
  <c r="V1049" s="1"/>
  <c r="U874"/>
  <c r="V874" s="1"/>
  <c r="T758"/>
  <c r="U758"/>
  <c r="V758" s="1"/>
  <c r="U790"/>
  <c r="V790" s="1"/>
  <c r="T591"/>
  <c r="U591"/>
  <c r="V591" s="1"/>
  <c r="T935"/>
  <c r="U935"/>
  <c r="V935" s="1"/>
  <c r="T900"/>
  <c r="U900"/>
  <c r="V900" s="1"/>
  <c r="U965"/>
  <c r="V965" s="1"/>
  <c r="T1057"/>
  <c r="U1057"/>
  <c r="V1057" s="1"/>
  <c r="T1001"/>
  <c r="U1001"/>
  <c r="V1001" s="1"/>
  <c r="U658"/>
  <c r="V658" s="1"/>
  <c r="U928"/>
  <c r="V928" s="1"/>
  <c r="U980"/>
  <c r="V980" s="1"/>
  <c r="U805"/>
  <c r="V805" s="1"/>
  <c r="T711"/>
  <c r="U711"/>
  <c r="V711" s="1"/>
  <c r="T621"/>
  <c r="U621"/>
  <c r="V621" s="1"/>
  <c r="U989"/>
  <c r="V989" s="1"/>
  <c r="T597"/>
  <c r="U597"/>
  <c r="V597" s="1"/>
  <c r="U850"/>
  <c r="V850" s="1"/>
  <c r="U740"/>
  <c r="V740" s="1"/>
  <c r="T723"/>
  <c r="U723"/>
  <c r="V723" s="1"/>
  <c r="T583"/>
  <c r="U583"/>
  <c r="V583" s="1"/>
  <c r="U666"/>
  <c r="V666" s="1"/>
  <c r="U1008"/>
  <c r="V1008" s="1"/>
  <c r="T859"/>
  <c r="U859"/>
  <c r="V859" s="1"/>
  <c r="U734"/>
  <c r="V734" s="1"/>
  <c r="U777"/>
  <c r="V777" s="1"/>
  <c r="T687"/>
  <c r="U687"/>
  <c r="V687" s="1"/>
  <c r="T726"/>
  <c r="U726"/>
  <c r="V726" s="1"/>
  <c r="T788"/>
  <c r="U788"/>
  <c r="V788" s="1"/>
  <c r="T634"/>
  <c r="U634"/>
  <c r="V634" s="1"/>
  <c r="T806"/>
  <c r="U806"/>
  <c r="V806" s="1"/>
  <c r="T592"/>
  <c r="U592"/>
  <c r="V592" s="1"/>
  <c r="U802"/>
  <c r="V802" s="1"/>
  <c r="T862"/>
  <c r="U862"/>
  <c r="V862" s="1"/>
  <c r="T868"/>
  <c r="U868"/>
  <c r="V868" s="1"/>
  <c r="T882"/>
  <c r="U882"/>
  <c r="V882" s="1"/>
  <c r="T998"/>
  <c r="U998"/>
  <c r="V998" s="1"/>
  <c r="T853"/>
  <c r="U853"/>
  <c r="V853" s="1"/>
  <c r="U752"/>
  <c r="V752" s="1"/>
  <c r="T827"/>
  <c r="U827"/>
  <c r="V827" s="1"/>
  <c r="T877"/>
  <c r="U877"/>
  <c r="V877" s="1"/>
  <c r="U757"/>
  <c r="V757" s="1"/>
  <c r="U783"/>
  <c r="V783" s="1"/>
  <c r="T833"/>
  <c r="U833"/>
  <c r="V833" s="1"/>
  <c r="U552"/>
  <c r="V552" s="1"/>
  <c r="T881"/>
  <c r="U881"/>
  <c r="V881" s="1"/>
  <c r="T861"/>
  <c r="U861"/>
  <c r="V861" s="1"/>
  <c r="T876"/>
  <c r="U876"/>
  <c r="V876" s="1"/>
  <c r="T792"/>
  <c r="U792"/>
  <c r="V792" s="1"/>
  <c r="T817"/>
  <c r="U817"/>
  <c r="V817" s="1"/>
  <c r="T985"/>
  <c r="U985"/>
  <c r="V985" s="1"/>
  <c r="T901"/>
  <c r="U901"/>
  <c r="V901" s="1"/>
  <c r="U957"/>
  <c r="V957" s="1"/>
  <c r="U972"/>
  <c r="V972" s="1"/>
  <c r="T613"/>
  <c r="U613"/>
  <c r="V613" s="1"/>
  <c r="U1051"/>
  <c r="V1051" s="1"/>
  <c r="T1029"/>
  <c r="U1029"/>
  <c r="V1029" s="1"/>
  <c r="U742"/>
  <c r="V742" s="1"/>
  <c r="U950"/>
  <c r="V950" s="1"/>
  <c r="T680"/>
  <c r="U680"/>
  <c r="V680" s="1"/>
  <c r="T1002"/>
  <c r="U1002"/>
  <c r="V1002" s="1"/>
  <c r="U554"/>
  <c r="V554" s="1"/>
  <c r="T940"/>
  <c r="U940"/>
  <c r="V940" s="1"/>
  <c r="U885"/>
  <c r="V885" s="1"/>
  <c r="T888"/>
  <c r="U888"/>
  <c r="V888" s="1"/>
  <c r="U789"/>
  <c r="V789" s="1"/>
  <c r="U690"/>
  <c r="V690" s="1"/>
  <c r="T578"/>
  <c r="U578"/>
  <c r="V578" s="1"/>
  <c r="T926"/>
  <c r="U926"/>
  <c r="V926" s="1"/>
  <c r="T701"/>
  <c r="U701"/>
  <c r="V701" s="1"/>
  <c r="U889"/>
  <c r="V889" s="1"/>
  <c r="U902"/>
  <c r="V902" s="1"/>
  <c r="U611"/>
  <c r="V611" s="1"/>
  <c r="T1007"/>
  <c r="U1007"/>
  <c r="V1007" s="1"/>
  <c r="U628"/>
  <c r="V628" s="1"/>
  <c r="T646"/>
  <c r="U646"/>
  <c r="V646" s="1"/>
  <c r="T1062"/>
  <c r="U1062"/>
  <c r="V1062" s="1"/>
  <c r="U645"/>
  <c r="V645" s="1"/>
  <c r="T966"/>
  <c r="U966"/>
  <c r="V966" s="1"/>
  <c r="T773"/>
  <c r="U773"/>
  <c r="V773" s="1"/>
  <c r="T676"/>
  <c r="U676"/>
  <c r="V676" s="1"/>
  <c r="U870"/>
  <c r="V870" s="1"/>
  <c r="T933"/>
  <c r="U933"/>
  <c r="V933" s="1"/>
  <c r="T768"/>
  <c r="U768"/>
  <c r="V768" s="1"/>
  <c r="T854"/>
  <c r="U854"/>
  <c r="V854" s="1"/>
  <c r="U869"/>
  <c r="V869" s="1"/>
  <c r="U755"/>
  <c r="V755" s="1"/>
  <c r="U614"/>
  <c r="V614" s="1"/>
  <c r="T751"/>
  <c r="U751"/>
  <c r="V751" s="1"/>
  <c r="U820"/>
  <c r="V820" s="1"/>
  <c r="T565"/>
  <c r="U565"/>
  <c r="V565" s="1"/>
  <c r="T922"/>
  <c r="U922"/>
  <c r="V922" s="1"/>
  <c r="U863"/>
  <c r="V863" s="1"/>
  <c r="U993"/>
  <c r="V993" s="1"/>
  <c r="T582"/>
  <c r="U582"/>
  <c r="V582" s="1"/>
  <c r="U1037"/>
  <c r="V1037" s="1"/>
  <c r="T561"/>
  <c r="U561"/>
  <c r="V561" s="1"/>
  <c r="U639"/>
  <c r="V639" s="1"/>
  <c r="T710"/>
  <c r="U710"/>
  <c r="V710" s="1"/>
  <c r="U609"/>
  <c r="V609" s="1"/>
  <c r="T871"/>
  <c r="T612"/>
  <c r="U612"/>
  <c r="V612" s="1"/>
  <c r="U997"/>
  <c r="V997" s="1"/>
  <c r="U569"/>
  <c r="V569" s="1"/>
  <c r="U844"/>
  <c r="V844" s="1"/>
  <c r="U772"/>
  <c r="V772" s="1"/>
  <c r="U728"/>
  <c r="V728" s="1"/>
  <c r="U665"/>
  <c r="V665" s="1"/>
  <c r="T630"/>
  <c r="U630"/>
  <c r="V630" s="1"/>
  <c r="U749"/>
  <c r="V749" s="1"/>
  <c r="T804"/>
  <c r="U804"/>
  <c r="V804" s="1"/>
  <c r="T785"/>
  <c r="U785"/>
  <c r="V785" s="1"/>
  <c r="U688"/>
  <c r="V688" s="1"/>
  <c r="U929"/>
  <c r="V929" s="1"/>
  <c r="T823"/>
  <c r="U823"/>
  <c r="V823" s="1"/>
  <c r="T704"/>
  <c r="U704"/>
  <c r="V704" s="1"/>
  <c r="U1004"/>
  <c r="V1004" s="1"/>
  <c r="T851"/>
  <c r="U851"/>
  <c r="V851" s="1"/>
  <c r="T599"/>
  <c r="U599"/>
  <c r="V599" s="1"/>
  <c r="U795"/>
  <c r="V795" s="1"/>
  <c r="T964"/>
  <c r="U964"/>
  <c r="V964" s="1"/>
  <c r="U824"/>
  <c r="V824" s="1"/>
  <c r="T932"/>
  <c r="U932"/>
  <c r="V932" s="1"/>
  <c r="T1010"/>
  <c r="U1010"/>
  <c r="V1010" s="1"/>
  <c r="T968"/>
  <c r="U968"/>
  <c r="V968" s="1"/>
  <c r="U896"/>
  <c r="V896" s="1"/>
  <c r="T1018"/>
  <c r="U1018"/>
  <c r="V1018" s="1"/>
  <c r="T1022"/>
  <c r="U1022"/>
  <c r="V1022" s="1"/>
  <c r="T1030"/>
  <c r="U1030"/>
  <c r="V1030" s="1"/>
  <c r="T1028"/>
  <c r="U1028"/>
  <c r="V1028" s="1"/>
  <c r="T741"/>
  <c r="U741"/>
  <c r="V741" s="1"/>
  <c r="U644"/>
  <c r="V644" s="1"/>
  <c r="T581"/>
  <c r="U581"/>
  <c r="V581" s="1"/>
  <c r="T941"/>
  <c r="U941"/>
  <c r="V941" s="1"/>
  <c r="U730"/>
  <c r="V730" s="1"/>
  <c r="T566"/>
  <c r="U566"/>
  <c r="V566" s="1"/>
  <c r="U653"/>
  <c r="V653" s="1"/>
  <c r="T580"/>
  <c r="U580"/>
  <c r="V580" s="1"/>
  <c r="T904"/>
  <c r="U904"/>
  <c r="V904" s="1"/>
  <c r="T572"/>
  <c r="U572"/>
  <c r="V572" s="1"/>
  <c r="T637"/>
  <c r="U637"/>
  <c r="V637" s="1"/>
  <c r="U946"/>
  <c r="V946" s="1"/>
  <c r="U722"/>
  <c r="V722" s="1"/>
  <c r="U677"/>
  <c r="V677" s="1"/>
  <c r="T623"/>
  <c r="U623"/>
  <c r="V623" s="1"/>
  <c r="T652"/>
  <c r="U652"/>
  <c r="V652" s="1"/>
  <c r="T837"/>
  <c r="U837"/>
  <c r="V837" s="1"/>
  <c r="T609"/>
  <c r="T1051"/>
  <c r="T965"/>
  <c r="T590"/>
  <c r="T658"/>
  <c r="T829"/>
  <c r="V829"/>
  <c r="T869"/>
  <c r="T1034"/>
  <c r="T690"/>
  <c r="T946"/>
  <c r="T554"/>
  <c r="T850"/>
  <c r="T734"/>
  <c r="T1008"/>
  <c r="T802"/>
  <c r="T666"/>
  <c r="T628"/>
  <c r="V842"/>
  <c r="T842"/>
  <c r="T772"/>
  <c r="P433"/>
  <c r="T950"/>
  <c r="T752"/>
  <c r="T644"/>
  <c r="T824"/>
  <c r="T874"/>
  <c r="T777"/>
  <c r="V682"/>
  <c r="T682"/>
  <c r="V911"/>
  <c r="T911"/>
  <c r="V678"/>
  <c r="T678"/>
  <c r="V719"/>
  <c r="T719"/>
  <c r="P208"/>
  <c r="T989"/>
  <c r="T834"/>
  <c r="T789"/>
  <c r="T639"/>
  <c r="T611"/>
  <c r="T870"/>
  <c r="T677"/>
  <c r="T795"/>
  <c r="T928"/>
  <c r="T749"/>
  <c r="T552"/>
  <c r="T651"/>
  <c r="V651"/>
  <c r="V1061"/>
  <c r="T1061"/>
  <c r="V848"/>
  <c r="T848"/>
  <c r="V589"/>
  <c r="T589"/>
  <c r="T655"/>
  <c r="V655"/>
  <c r="V913"/>
  <c r="T913"/>
  <c r="V939"/>
  <c r="T939"/>
  <c r="V819"/>
  <c r="T819"/>
  <c r="T816"/>
  <c r="T889"/>
  <c r="T844"/>
  <c r="O368"/>
  <c r="T902"/>
  <c r="T783"/>
  <c r="T665"/>
  <c r="P369"/>
  <c r="T708"/>
  <c r="T957"/>
  <c r="T688"/>
  <c r="T1004"/>
  <c r="V759"/>
  <c r="T759"/>
  <c r="V843"/>
  <c r="T843"/>
  <c r="T600"/>
  <c r="V600"/>
  <c r="V588"/>
  <c r="T588"/>
  <c r="T1060"/>
  <c r="V1060"/>
  <c r="V584"/>
  <c r="T584"/>
  <c r="T980"/>
  <c r="O49"/>
  <c r="T863"/>
  <c r="T972"/>
  <c r="T993"/>
  <c r="T790"/>
  <c r="P239"/>
  <c r="T909"/>
  <c r="T722"/>
  <c r="T730"/>
  <c r="O112"/>
  <c r="O335"/>
  <c r="T755"/>
  <c r="T929"/>
  <c r="T896"/>
  <c r="T1003"/>
  <c r="V1003"/>
  <c r="T836"/>
  <c r="V836"/>
  <c r="T828"/>
  <c r="V828"/>
  <c r="V830"/>
  <c r="T830"/>
  <c r="V894"/>
  <c r="T894"/>
  <c r="T931"/>
  <c r="V931"/>
  <c r="V661"/>
  <c r="T661"/>
  <c r="T757"/>
  <c r="T728"/>
  <c r="O497"/>
  <c r="P303"/>
  <c r="T997"/>
  <c r="T885"/>
  <c r="T748"/>
  <c r="T988"/>
  <c r="V988"/>
  <c r="P271"/>
  <c r="T740"/>
  <c r="T614"/>
  <c r="O78"/>
  <c r="T653"/>
  <c r="T569"/>
  <c r="V692"/>
  <c r="T692"/>
  <c r="T927"/>
  <c r="V927"/>
  <c r="T577"/>
  <c r="V577"/>
  <c r="O401"/>
  <c r="P527"/>
  <c r="T820"/>
  <c r="V949"/>
  <c r="T949"/>
  <c r="V703"/>
  <c r="T703"/>
  <c r="V864"/>
  <c r="T864"/>
  <c r="T636"/>
  <c r="V636"/>
  <c r="T607"/>
  <c r="V607"/>
  <c r="T930"/>
  <c r="V930"/>
  <c r="T805"/>
  <c r="T1037"/>
  <c r="T908"/>
  <c r="P81"/>
  <c r="P496"/>
  <c r="T899"/>
  <c r="V899"/>
  <c r="V835"/>
  <c r="T835"/>
  <c r="T699"/>
  <c r="V699"/>
  <c r="T587"/>
  <c r="V587"/>
  <c r="T555"/>
  <c r="V555"/>
  <c r="V1011"/>
  <c r="T1011"/>
  <c r="V987"/>
  <c r="T987"/>
  <c r="V635"/>
  <c r="T635"/>
  <c r="V1035"/>
  <c r="T1035"/>
  <c r="V891"/>
  <c r="T891"/>
  <c r="T763"/>
  <c r="V763"/>
  <c r="T595"/>
  <c r="V595"/>
  <c r="V643"/>
  <c r="T643"/>
  <c r="T551"/>
  <c r="V551"/>
  <c r="V753"/>
  <c r="T753"/>
  <c r="V797"/>
  <c r="T797"/>
  <c r="V649"/>
  <c r="T649"/>
  <c r="T826"/>
  <c r="V826"/>
  <c r="T845"/>
  <c r="V845"/>
  <c r="V586"/>
  <c r="T586"/>
  <c r="T1009"/>
  <c r="V1009"/>
  <c r="T573"/>
  <c r="V573"/>
  <c r="V673"/>
  <c r="T673"/>
  <c r="T713"/>
  <c r="V713"/>
  <c r="V840"/>
  <c r="T840"/>
  <c r="T553"/>
  <c r="V553"/>
  <c r="V720"/>
  <c r="T720"/>
  <c r="T907"/>
  <c r="V907"/>
  <c r="T725"/>
  <c r="V725"/>
  <c r="V982"/>
  <c r="T982"/>
  <c r="V852"/>
  <c r="T852"/>
  <c r="T718"/>
  <c r="V718"/>
  <c r="T1046"/>
  <c r="V1046"/>
  <c r="T712"/>
  <c r="V712"/>
  <c r="T890"/>
  <c r="V890"/>
  <c r="T624"/>
  <c r="V624"/>
  <c r="V559"/>
  <c r="T559"/>
  <c r="V596"/>
  <c r="T596"/>
  <c r="T641"/>
  <c r="V641"/>
  <c r="T737"/>
  <c r="V737"/>
  <c r="V754"/>
  <c r="T754"/>
  <c r="T594"/>
  <c r="V594"/>
  <c r="V746"/>
  <c r="T746"/>
  <c r="T992"/>
  <c r="V992"/>
  <c r="T603"/>
  <c r="V603"/>
  <c r="T973"/>
  <c r="V973"/>
  <c r="V568"/>
  <c r="T568"/>
  <c r="T912"/>
  <c r="V912"/>
  <c r="V672"/>
  <c r="T672"/>
  <c r="T674"/>
  <c r="V674"/>
  <c r="T705"/>
  <c r="V705"/>
  <c r="V831"/>
  <c r="T831"/>
  <c r="V1043"/>
  <c r="T1043"/>
  <c r="V647"/>
  <c r="T647"/>
  <c r="T825"/>
  <c r="V825"/>
  <c r="T847"/>
  <c r="V847"/>
  <c r="T960"/>
  <c r="V960"/>
  <c r="T671"/>
  <c r="V671"/>
  <c r="V886"/>
  <c r="T886"/>
  <c r="V905"/>
  <c r="T905"/>
  <c r="V780"/>
  <c r="T780"/>
  <c r="T745"/>
  <c r="V745"/>
  <c r="V1000"/>
  <c r="T1000"/>
  <c r="V625"/>
  <c r="T625"/>
  <c r="T1036"/>
  <c r="V1036"/>
  <c r="T961"/>
  <c r="V961"/>
  <c r="V1012"/>
  <c r="T1012"/>
  <c r="T563"/>
  <c r="V563"/>
  <c r="T878"/>
  <c r="V878"/>
  <c r="T1027"/>
  <c r="V1027"/>
  <c r="T679"/>
  <c r="V679"/>
  <c r="V562"/>
  <c r="T562"/>
  <c r="V663"/>
  <c r="T663"/>
  <c r="V917"/>
  <c r="T917"/>
  <c r="V662"/>
  <c r="T662"/>
  <c r="T910"/>
  <c r="V910"/>
  <c r="V811"/>
  <c r="T811"/>
  <c r="T743"/>
  <c r="V743"/>
  <c r="T897"/>
  <c r="V897"/>
  <c r="V1039"/>
  <c r="T1039"/>
  <c r="T857"/>
  <c r="V857"/>
  <c r="V669"/>
  <c r="T669"/>
  <c r="T1056"/>
  <c r="V1056"/>
  <c r="V990"/>
  <c r="T990"/>
  <c r="T1013"/>
  <c r="V1013"/>
  <c r="T683"/>
  <c r="V683"/>
  <c r="V779"/>
  <c r="T779"/>
  <c r="T1005"/>
  <c r="V1005"/>
  <c r="T564"/>
  <c r="V564"/>
  <c r="T769"/>
  <c r="V769"/>
  <c r="V787"/>
  <c r="T787"/>
  <c r="V744"/>
  <c r="T744"/>
  <c r="T696"/>
  <c r="V696"/>
  <c r="O208"/>
  <c r="P305"/>
  <c r="O46"/>
  <c r="O527"/>
  <c r="P111"/>
  <c r="T645"/>
  <c r="V784"/>
  <c r="T784"/>
  <c r="V732"/>
  <c r="T732"/>
  <c r="T750"/>
  <c r="V750"/>
  <c r="T884"/>
  <c r="V884"/>
  <c r="V1053"/>
  <c r="T1053"/>
  <c r="V747"/>
  <c r="T747"/>
  <c r="V659"/>
  <c r="T659"/>
  <c r="T986"/>
  <c r="V986"/>
  <c r="T962"/>
  <c r="V962"/>
  <c r="T1031"/>
  <c r="V1031"/>
  <c r="T873"/>
  <c r="V873"/>
  <c r="T1050"/>
  <c r="V1050"/>
  <c r="V660"/>
  <c r="T660"/>
  <c r="T955"/>
  <c r="V955"/>
  <c r="V994"/>
  <c r="T994"/>
  <c r="V567"/>
  <c r="T567"/>
  <c r="T947"/>
  <c r="V947"/>
  <c r="V681"/>
  <c r="T681"/>
  <c r="V812"/>
  <c r="T812"/>
  <c r="T974"/>
  <c r="V974"/>
  <c r="V716"/>
  <c r="T716"/>
  <c r="T893"/>
  <c r="V893"/>
  <c r="V1055"/>
  <c r="T1055"/>
  <c r="T936"/>
  <c r="V936"/>
  <c r="T760"/>
  <c r="V760"/>
  <c r="T832"/>
  <c r="V832"/>
  <c r="V615"/>
  <c r="T615"/>
  <c r="T707"/>
  <c r="V707"/>
  <c r="V1016"/>
  <c r="T1016"/>
  <c r="T697"/>
  <c r="V697"/>
  <c r="V700"/>
  <c r="T700"/>
  <c r="V640"/>
  <c r="T640"/>
  <c r="V860"/>
  <c r="T860"/>
  <c r="V656"/>
  <c r="T656"/>
  <c r="T984"/>
  <c r="V984"/>
  <c r="V880"/>
  <c r="T880"/>
  <c r="T944"/>
  <c r="V944"/>
  <c r="T1014"/>
  <c r="V1014"/>
  <c r="V627"/>
  <c r="T627"/>
  <c r="V970"/>
  <c r="T970"/>
  <c r="V858"/>
  <c r="T858"/>
  <c r="T1059"/>
  <c r="V1059"/>
  <c r="T585"/>
  <c r="V585"/>
  <c r="T684"/>
  <c r="V684"/>
  <c r="T593"/>
  <c r="V593"/>
  <c r="V981"/>
  <c r="T981"/>
  <c r="V694"/>
  <c r="T694"/>
  <c r="T979"/>
  <c r="V979"/>
  <c r="T995"/>
  <c r="V995"/>
  <c r="T786"/>
  <c r="V786"/>
  <c r="T821"/>
  <c r="V821"/>
  <c r="T971"/>
  <c r="V971"/>
  <c r="V1032"/>
  <c r="T1032"/>
  <c r="V921"/>
  <c r="T921"/>
  <c r="T715"/>
  <c r="V715"/>
  <c r="T865"/>
  <c r="V865"/>
  <c r="V1026"/>
  <c r="T1026"/>
  <c r="V920"/>
  <c r="T920"/>
  <c r="V801"/>
  <c r="T801"/>
  <c r="T765"/>
  <c r="V765"/>
  <c r="V764"/>
  <c r="T764"/>
  <c r="T618"/>
  <c r="V618"/>
  <c r="T813"/>
  <c r="V813"/>
  <c r="T1047"/>
  <c r="V1047"/>
  <c r="V736"/>
  <c r="T736"/>
  <c r="T1020"/>
  <c r="V1020"/>
  <c r="V1038"/>
  <c r="T1038"/>
  <c r="T807"/>
  <c r="V807"/>
  <c r="V698"/>
  <c r="T698"/>
  <c r="V918"/>
  <c r="T918"/>
  <c r="V948"/>
  <c r="T948"/>
  <c r="T756"/>
  <c r="V756"/>
  <c r="T937"/>
  <c r="V937"/>
  <c r="T675"/>
  <c r="V675"/>
  <c r="O304"/>
  <c r="O496"/>
  <c r="P79"/>
  <c r="T977"/>
  <c r="V977"/>
  <c r="T924"/>
  <c r="V924"/>
  <c r="T915"/>
  <c r="V915"/>
  <c r="V793"/>
  <c r="T793"/>
  <c r="T866"/>
  <c r="V866"/>
  <c r="T739"/>
  <c r="V739"/>
  <c r="T867"/>
  <c r="V867"/>
  <c r="T938"/>
  <c r="V938"/>
  <c r="T1042"/>
  <c r="V1042"/>
  <c r="V849"/>
  <c r="T849"/>
  <c r="T629"/>
  <c r="V629"/>
  <c r="T1025"/>
  <c r="V1025"/>
  <c r="T620"/>
  <c r="V620"/>
  <c r="T799"/>
  <c r="V799"/>
  <c r="T1045"/>
  <c r="V1045"/>
  <c r="V808"/>
  <c r="T808"/>
  <c r="T689"/>
  <c r="V689"/>
  <c r="V1048"/>
  <c r="T1048"/>
  <c r="V767"/>
  <c r="T767"/>
  <c r="V892"/>
  <c r="T892"/>
  <c r="V942"/>
  <c r="T942"/>
  <c r="T604"/>
  <c r="V604"/>
  <c r="V685"/>
  <c r="T685"/>
  <c r="V575"/>
  <c r="T575"/>
  <c r="T967"/>
  <c r="V967"/>
  <c r="V1017"/>
  <c r="T1017"/>
  <c r="T1041"/>
  <c r="V1041"/>
  <c r="V875"/>
  <c r="T875"/>
  <c r="V770"/>
  <c r="T770"/>
  <c r="T598"/>
  <c r="V598"/>
  <c r="T798"/>
  <c r="V798"/>
  <c r="V693"/>
  <c r="T693"/>
  <c r="V906"/>
  <c r="T906"/>
  <c r="V1006"/>
  <c r="T1006"/>
  <c r="V1023"/>
  <c r="T1023"/>
  <c r="T738"/>
  <c r="V738"/>
  <c r="V608"/>
  <c r="T608"/>
  <c r="V617"/>
  <c r="T617"/>
  <c r="T945"/>
  <c r="V945"/>
  <c r="T742"/>
  <c r="P495"/>
  <c r="T963"/>
  <c r="V963"/>
  <c r="T616"/>
  <c r="V616"/>
  <c r="T667"/>
  <c r="V667"/>
  <c r="V601"/>
  <c r="T601"/>
  <c r="T951"/>
  <c r="V951"/>
  <c r="T1052"/>
  <c r="V1052"/>
  <c r="T943"/>
  <c r="V943"/>
  <c r="T791"/>
  <c r="V791"/>
  <c r="T879"/>
  <c r="V879"/>
  <c r="V969"/>
  <c r="T969"/>
  <c r="T633"/>
  <c r="V633"/>
  <c r="V631"/>
  <c r="T631"/>
  <c r="T1015"/>
  <c r="V1015"/>
  <c r="T574"/>
  <c r="V574"/>
  <c r="T1021"/>
  <c r="V1021"/>
  <c r="T822"/>
  <c r="V822"/>
  <c r="V557"/>
  <c r="T557"/>
  <c r="V642"/>
  <c r="T642"/>
  <c r="T1044"/>
  <c r="V1044"/>
  <c r="T648"/>
  <c r="V648"/>
  <c r="T782"/>
  <c r="V782"/>
  <c r="V815"/>
  <c r="T815"/>
  <c r="V605"/>
  <c r="T605"/>
  <c r="T668"/>
  <c r="V668"/>
  <c r="V733"/>
  <c r="T733"/>
  <c r="V991"/>
  <c r="T991"/>
  <c r="T895"/>
  <c r="V895"/>
  <c r="V778"/>
  <c r="T778"/>
  <c r="V978"/>
  <c r="T978"/>
  <c r="V983"/>
  <c r="T983"/>
  <c r="V925"/>
  <c r="T925"/>
  <c r="T923"/>
  <c r="V923"/>
  <c r="V846"/>
  <c r="T846"/>
  <c r="T803"/>
  <c r="V803"/>
  <c r="V838"/>
  <c r="T838"/>
  <c r="V810"/>
  <c r="T810"/>
  <c r="T695"/>
  <c r="V695"/>
  <c r="V855"/>
  <c r="T855"/>
  <c r="V702"/>
  <c r="T702"/>
  <c r="V916"/>
  <c r="T916"/>
  <c r="V999"/>
  <c r="T999"/>
  <c r="V976"/>
  <c r="T976"/>
  <c r="T638"/>
  <c r="V638"/>
  <c r="V579"/>
  <c r="T579"/>
  <c r="V727"/>
  <c r="T727"/>
  <c r="T953"/>
  <c r="V953"/>
  <c r="V570"/>
  <c r="T570"/>
  <c r="V1024"/>
  <c r="T1024"/>
  <c r="T571"/>
  <c r="V571"/>
  <c r="T872"/>
  <c r="V872"/>
  <c r="T761"/>
  <c r="V761"/>
  <c r="T706"/>
  <c r="V706"/>
  <c r="T775"/>
  <c r="V775"/>
  <c r="V729"/>
  <c r="T729"/>
  <c r="V1040"/>
  <c r="T1040"/>
  <c r="V952"/>
  <c r="T952"/>
  <c r="T796"/>
  <c r="V796"/>
  <c r="V883"/>
  <c r="T883"/>
  <c r="V818"/>
  <c r="T818"/>
  <c r="T956"/>
  <c r="V956"/>
  <c r="T794"/>
  <c r="V794"/>
  <c r="V1054"/>
  <c r="T1054"/>
  <c r="T839"/>
  <c r="V839"/>
  <c r="T602"/>
  <c r="V602"/>
  <c r="T717"/>
  <c r="V717"/>
  <c r="T762"/>
  <c r="V762"/>
  <c r="T735"/>
  <c r="V735"/>
  <c r="V576"/>
  <c r="T576"/>
  <c r="V766"/>
  <c r="T766"/>
  <c r="V958"/>
  <c r="T958"/>
  <c r="V903"/>
  <c r="T903"/>
  <c r="V919"/>
  <c r="T919"/>
  <c r="V657"/>
  <c r="T657"/>
  <c r="V721"/>
  <c r="T721"/>
  <c r="V800"/>
  <c r="T800"/>
  <c r="T898"/>
  <c r="V898"/>
  <c r="T887"/>
  <c r="V887"/>
  <c r="P113"/>
  <c r="O465"/>
  <c r="O334"/>
  <c r="O399"/>
  <c r="O270"/>
  <c r="O177"/>
  <c r="P49"/>
  <c r="O207"/>
  <c r="O431"/>
  <c r="O110"/>
  <c r="O209"/>
  <c r="P401"/>
  <c r="O238"/>
  <c r="P112"/>
  <c r="P80"/>
  <c r="O432"/>
  <c r="O145"/>
  <c r="P177"/>
  <c r="O80"/>
  <c r="O240"/>
  <c r="O176"/>
  <c r="O143"/>
  <c r="P432"/>
  <c r="O174"/>
  <c r="O302"/>
  <c r="P48"/>
  <c r="O175"/>
  <c r="P463"/>
  <c r="P272"/>
  <c r="O528"/>
  <c r="O529"/>
  <c r="P304"/>
  <c r="P464"/>
  <c r="O48"/>
  <c r="O305"/>
  <c r="P368"/>
  <c r="O79"/>
  <c r="P207"/>
  <c r="P241"/>
  <c r="P465"/>
  <c r="O464"/>
  <c r="O144"/>
  <c r="O400"/>
  <c r="O336"/>
  <c r="P497"/>
  <c r="O526"/>
  <c r="O463"/>
  <c r="O303"/>
  <c r="P144"/>
  <c r="O495"/>
  <c r="O239"/>
  <c r="P400"/>
  <c r="O142"/>
  <c r="O47"/>
  <c r="P273"/>
  <c r="O369"/>
  <c r="P143"/>
  <c r="P367"/>
  <c r="O272"/>
  <c r="P209"/>
  <c r="P47"/>
  <c r="O111"/>
  <c r="O430"/>
  <c r="O366"/>
  <c r="O241"/>
  <c r="P337"/>
  <c r="P529"/>
  <c r="O81"/>
  <c r="P145"/>
  <c r="O113"/>
  <c r="P399"/>
  <c r="O398"/>
  <c r="P336"/>
  <c r="P176"/>
  <c r="P175"/>
  <c r="O206"/>
  <c r="O494"/>
  <c r="P335"/>
  <c r="Q82"/>
  <c r="Q306"/>
  <c r="Q178"/>
  <c r="Q274"/>
  <c r="Q210"/>
  <c r="Q50"/>
  <c r="Q114"/>
  <c r="Q18"/>
  <c r="Q146"/>
  <c r="Q370"/>
  <c r="Q498"/>
  <c r="Q434"/>
  <c r="Q466"/>
  <c r="Q338"/>
  <c r="Q242"/>
  <c r="Q402"/>
  <c r="Q467"/>
  <c r="Q83"/>
  <c r="Q86"/>
  <c r="Q372"/>
  <c r="Q116"/>
  <c r="Q470"/>
  <c r="Q404"/>
  <c r="Q117"/>
  <c r="Q277"/>
  <c r="Q374"/>
  <c r="Q342"/>
  <c r="Q244"/>
  <c r="Q499"/>
  <c r="Q307"/>
  <c r="Q435"/>
  <c r="Q51"/>
  <c r="Q22"/>
  <c r="Q214"/>
  <c r="Q340"/>
  <c r="Q373"/>
  <c r="Q52"/>
  <c r="Q500"/>
  <c r="Q118"/>
  <c r="Q211"/>
  <c r="Q147"/>
  <c r="Q179"/>
  <c r="Q246"/>
  <c r="Q406"/>
  <c r="Q99"/>
  <c r="Q182"/>
  <c r="Q180"/>
  <c r="Q437"/>
  <c r="Q115"/>
  <c r="Q19"/>
  <c r="Q371"/>
  <c r="Q20"/>
  <c r="Q85"/>
  <c r="Q438"/>
  <c r="Q212"/>
  <c r="Q150"/>
  <c r="Q405"/>
  <c r="Q275"/>
  <c r="Q245"/>
  <c r="Q310"/>
  <c r="Q469"/>
  <c r="Q148"/>
  <c r="Q502"/>
  <c r="Q341"/>
  <c r="Q403"/>
  <c r="Q243"/>
  <c r="Q309"/>
  <c r="Q278"/>
  <c r="Q53"/>
  <c r="Q501"/>
  <c r="Q54"/>
  <c r="Q21"/>
  <c r="Q339"/>
  <c r="Q149"/>
  <c r="Q308"/>
  <c r="Q84"/>
  <c r="Q468"/>
  <c r="Q276"/>
  <c r="Q181"/>
  <c r="Q213"/>
  <c r="Q436"/>
  <c r="Q472"/>
  <c r="Q410"/>
  <c r="Q258"/>
  <c r="Q482"/>
  <c r="Q408"/>
  <c r="Q418"/>
  <c r="Q23"/>
  <c r="Q26"/>
  <c r="Q184"/>
  <c r="Q119"/>
  <c r="Q443"/>
  <c r="Q343"/>
  <c r="Q93"/>
  <c r="Q252"/>
  <c r="Q158"/>
  <c r="Q70"/>
  <c r="Q69"/>
  <c r="Q57"/>
  <c r="Q132"/>
  <c r="Q229"/>
  <c r="Q156"/>
  <c r="Q357"/>
  <c r="Q62"/>
  <c r="Q356"/>
  <c r="Q254"/>
  <c r="Q516"/>
  <c r="Q102"/>
  <c r="Q474"/>
  <c r="Q248"/>
  <c r="Q151"/>
  <c r="Q24"/>
  <c r="Q290"/>
  <c r="Q188"/>
  <c r="Q350"/>
  <c r="Q228"/>
  <c r="Q215"/>
  <c r="Q131"/>
  <c r="Q376"/>
  <c r="Q220"/>
  <c r="Q189"/>
  <c r="Q421"/>
  <c r="Q166"/>
  <c r="Q120"/>
  <c r="Q507"/>
  <c r="Q186"/>
  <c r="Q187"/>
  <c r="Q407"/>
  <c r="Q475"/>
  <c r="Q154"/>
  <c r="Q515"/>
  <c r="Q121"/>
  <c r="Q419"/>
  <c r="Q165"/>
  <c r="Q230"/>
  <c r="Q126"/>
  <c r="Q517"/>
  <c r="Q510"/>
  <c r="Q506"/>
  <c r="Q314"/>
  <c r="Q322"/>
  <c r="Q312"/>
  <c r="Q451"/>
  <c r="Q283"/>
  <c r="Q250"/>
  <c r="Q347"/>
  <c r="Q279"/>
  <c r="Q67"/>
  <c r="Q483"/>
  <c r="Q375"/>
  <c r="Q388"/>
  <c r="Q262"/>
  <c r="Q518"/>
  <c r="Q377"/>
  <c r="Q420"/>
  <c r="Q345"/>
  <c r="Q157"/>
  <c r="Q445"/>
  <c r="Q92"/>
  <c r="Q508"/>
  <c r="Q68"/>
  <c r="Q444"/>
  <c r="Q153"/>
  <c r="Q313"/>
  <c r="Q194"/>
  <c r="Q344"/>
  <c r="Q183"/>
  <c r="Q291"/>
  <c r="Q123"/>
  <c r="Q27"/>
  <c r="Q414"/>
  <c r="Q452"/>
  <c r="Q30"/>
  <c r="Q348"/>
  <c r="Q422"/>
  <c r="Q311"/>
  <c r="Q218"/>
  <c r="Q280"/>
  <c r="Q503"/>
  <c r="Q101"/>
  <c r="Q317"/>
  <c r="Q61"/>
  <c r="Q25"/>
  <c r="Q221"/>
  <c r="Q441"/>
  <c r="Q260"/>
  <c r="Q284"/>
  <c r="Q222"/>
  <c r="Q58"/>
  <c r="Q163"/>
  <c r="Q35"/>
  <c r="Q378"/>
  <c r="Q379"/>
  <c r="Q227"/>
  <c r="Q387"/>
  <c r="Q282"/>
  <c r="Q471"/>
  <c r="Q55"/>
  <c r="Q355"/>
  <c r="Q439"/>
  <c r="Q195"/>
  <c r="Q98"/>
  <c r="Q91"/>
  <c r="Q219"/>
  <c r="Q226"/>
  <c r="Q133"/>
  <c r="Q286"/>
  <c r="Q89"/>
  <c r="Q164"/>
  <c r="Q253"/>
  <c r="Q409"/>
  <c r="Q478"/>
  <c r="Q261"/>
  <c r="Q190"/>
  <c r="Q293"/>
  <c r="Q100"/>
  <c r="Q349"/>
  <c r="Q509"/>
  <c r="Q36"/>
  <c r="Q323"/>
  <c r="Q34"/>
  <c r="Q122"/>
  <c r="Q389"/>
  <c r="Q125"/>
  <c r="Q390"/>
  <c r="Q124"/>
  <c r="Q446"/>
  <c r="Q285"/>
  <c r="Q162"/>
  <c r="Q152"/>
  <c r="Q354"/>
  <c r="Q90"/>
  <c r="Q442"/>
  <c r="Q453"/>
  <c r="Q185"/>
  <c r="Q94"/>
  <c r="Q358"/>
  <c r="Q292"/>
  <c r="Q28"/>
  <c r="Q259"/>
  <c r="Q247"/>
  <c r="Q155"/>
  <c r="Q346"/>
  <c r="Q37"/>
  <c r="Q485"/>
  <c r="Q217"/>
  <c r="Q197"/>
  <c r="Q315"/>
  <c r="Q87"/>
  <c r="Q216"/>
  <c r="Q59"/>
  <c r="Q386"/>
  <c r="Q504"/>
  <c r="Q514"/>
  <c r="Q66"/>
  <c r="Q130"/>
  <c r="Q440"/>
  <c r="Q411"/>
  <c r="Q325"/>
  <c r="Q413"/>
  <c r="Q249"/>
  <c r="Q38"/>
  <c r="Q196"/>
  <c r="Q326"/>
  <c r="Q484"/>
  <c r="Q29"/>
  <c r="Q134"/>
  <c r="Q473"/>
  <c r="Q318"/>
  <c r="Q281"/>
  <c r="Q294"/>
  <c r="Q476"/>
  <c r="Q88"/>
  <c r="Q251"/>
  <c r="Q56"/>
  <c r="Q60"/>
  <c r="Q477"/>
  <c r="Q505"/>
  <c r="Q454"/>
  <c r="Q198"/>
  <c r="Q381"/>
  <c r="Q486"/>
  <c r="Q450"/>
  <c r="Q380"/>
  <c r="Q316"/>
  <c r="Q324"/>
  <c r="Q382"/>
  <c r="Q412"/>
  <c r="Q512"/>
  <c r="Q202"/>
  <c r="Q447"/>
  <c r="O50"/>
  <c r="Q448"/>
  <c r="Q127"/>
  <c r="Q458"/>
  <c r="P370"/>
  <c r="P50"/>
  <c r="Q511"/>
  <c r="Q31"/>
  <c r="Q426"/>
  <c r="Q103"/>
  <c r="P498"/>
  <c r="Q490"/>
  <c r="O210"/>
  <c r="P307"/>
  <c r="P404"/>
  <c r="Q108"/>
  <c r="Q462"/>
  <c r="O405"/>
  <c r="P372"/>
  <c r="O181"/>
  <c r="P310"/>
  <c r="O115"/>
  <c r="Q65"/>
  <c r="Q332"/>
  <c r="Q461"/>
  <c r="P180"/>
  <c r="O307"/>
  <c r="Q172"/>
  <c r="O53"/>
  <c r="O83"/>
  <c r="Q429"/>
  <c r="P277"/>
  <c r="O372"/>
  <c r="Q78"/>
  <c r="Q393"/>
  <c r="Q430"/>
  <c r="Q327"/>
  <c r="Q95"/>
  <c r="Q455"/>
  <c r="Q40"/>
  <c r="O82"/>
  <c r="Q395"/>
  <c r="Q491"/>
  <c r="Q256"/>
  <c r="Q266"/>
  <c r="O468"/>
  <c r="P341"/>
  <c r="O436"/>
  <c r="Q526"/>
  <c r="O52"/>
  <c r="Q39"/>
  <c r="Q287"/>
  <c r="Q267"/>
  <c r="P467"/>
  <c r="R467" s="1"/>
  <c r="Q129"/>
  <c r="Q289"/>
  <c r="P500"/>
  <c r="Q174"/>
  <c r="Q296"/>
  <c r="Q383"/>
  <c r="P435"/>
  <c r="P146"/>
  <c r="P274"/>
  <c r="Q328"/>
  <c r="O21"/>
  <c r="P21"/>
  <c r="Q353"/>
  <c r="Q524"/>
  <c r="Q77"/>
  <c r="O275"/>
  <c r="O242"/>
  <c r="Q159"/>
  <c r="Q331"/>
  <c r="Q487"/>
  <c r="Q170"/>
  <c r="Q522"/>
  <c r="Q33"/>
  <c r="Q270"/>
  <c r="Q97"/>
  <c r="O211"/>
  <c r="O499"/>
  <c r="Q425"/>
  <c r="P148"/>
  <c r="Q302"/>
  <c r="Q203"/>
  <c r="Q480"/>
  <c r="P83"/>
  <c r="Q171"/>
  <c r="Q42"/>
  <c r="Q255"/>
  <c r="P115"/>
  <c r="P275"/>
  <c r="Q488"/>
  <c r="Q320"/>
  <c r="P338"/>
  <c r="Q362"/>
  <c r="Q231"/>
  <c r="O338"/>
  <c r="Q234"/>
  <c r="Q75"/>
  <c r="P52"/>
  <c r="Q449"/>
  <c r="O19"/>
  <c r="O373"/>
  <c r="Q513"/>
  <c r="P374"/>
  <c r="O437"/>
  <c r="P149"/>
  <c r="Q521"/>
  <c r="O467"/>
  <c r="P244"/>
  <c r="P276"/>
  <c r="Q76"/>
  <c r="Q365"/>
  <c r="O213"/>
  <c r="P182"/>
  <c r="P278"/>
  <c r="Q417"/>
  <c r="Q169"/>
  <c r="P54"/>
  <c r="P20"/>
  <c r="R20" s="1"/>
  <c r="Q233"/>
  <c r="O276"/>
  <c r="O435"/>
  <c r="O341"/>
  <c r="O500"/>
  <c r="P150"/>
  <c r="Q46"/>
  <c r="Q428"/>
  <c r="P342"/>
  <c r="Q45"/>
  <c r="Q110"/>
  <c r="P406"/>
  <c r="O51"/>
  <c r="P468"/>
  <c r="Q297"/>
  <c r="Q298"/>
  <c r="Q415"/>
  <c r="P242"/>
  <c r="Q460"/>
  <c r="P436"/>
  <c r="O85"/>
  <c r="Q105"/>
  <c r="Q264"/>
  <c r="Q424"/>
  <c r="Q330"/>
  <c r="O434"/>
  <c r="Q456"/>
  <c r="Q329"/>
  <c r="Q141"/>
  <c r="Q481"/>
  <c r="Q334"/>
  <c r="P214"/>
  <c r="Q359"/>
  <c r="Q191"/>
  <c r="Q109"/>
  <c r="Q265"/>
  <c r="P179"/>
  <c r="Q63"/>
  <c r="Q160"/>
  <c r="Q64"/>
  <c r="O340"/>
  <c r="P499"/>
  <c r="O402"/>
  <c r="Q32"/>
  <c r="Q523"/>
  <c r="P211"/>
  <c r="Q288"/>
  <c r="P19"/>
  <c r="Q520"/>
  <c r="Q199"/>
  <c r="Q168"/>
  <c r="Q139"/>
  <c r="Q223"/>
  <c r="Q136"/>
  <c r="O178"/>
  <c r="Q352"/>
  <c r="Q224"/>
  <c r="Q104"/>
  <c r="Q361"/>
  <c r="Q225"/>
  <c r="Q492"/>
  <c r="Q398"/>
  <c r="Q161"/>
  <c r="O277"/>
  <c r="Q494"/>
  <c r="P437"/>
  <c r="P371"/>
  <c r="O274"/>
  <c r="O339"/>
  <c r="Q321"/>
  <c r="O117"/>
  <c r="Q301"/>
  <c r="O308"/>
  <c r="P373"/>
  <c r="Q489"/>
  <c r="O180"/>
  <c r="Q43"/>
  <c r="P51"/>
  <c r="P210"/>
  <c r="Q138"/>
  <c r="Q384"/>
  <c r="Q205"/>
  <c r="O245"/>
  <c r="P85"/>
  <c r="Q397"/>
  <c r="P22"/>
  <c r="O243"/>
  <c r="Q385"/>
  <c r="P178"/>
  <c r="Q192"/>
  <c r="Q135"/>
  <c r="Q232"/>
  <c r="P466"/>
  <c r="Q360"/>
  <c r="Q235"/>
  <c r="P340"/>
  <c r="P469"/>
  <c r="Q525"/>
  <c r="Q268"/>
  <c r="O148"/>
  <c r="P502"/>
  <c r="O469"/>
  <c r="Q416"/>
  <c r="P339"/>
  <c r="Q363"/>
  <c r="Q107"/>
  <c r="Q106"/>
  <c r="O370"/>
  <c r="O498"/>
  <c r="Q71"/>
  <c r="P405"/>
  <c r="P246"/>
  <c r="Q142"/>
  <c r="O147"/>
  <c r="O404"/>
  <c r="P212"/>
  <c r="O116"/>
  <c r="Q73"/>
  <c r="Q74"/>
  <c r="Q72"/>
  <c r="P403"/>
  <c r="O18"/>
  <c r="Q392"/>
  <c r="Q427"/>
  <c r="P18"/>
  <c r="Q394"/>
  <c r="P243"/>
  <c r="Q96"/>
  <c r="Q479"/>
  <c r="Q519"/>
  <c r="P402"/>
  <c r="Q319"/>
  <c r="O306"/>
  <c r="O146"/>
  <c r="P147"/>
  <c r="Q299"/>
  <c r="Q128"/>
  <c r="Q257"/>
  <c r="P308"/>
  <c r="Q366"/>
  <c r="P118"/>
  <c r="Q237"/>
  <c r="P438"/>
  <c r="O501"/>
  <c r="P117"/>
  <c r="Q44"/>
  <c r="P181"/>
  <c r="Q41"/>
  <c r="Q236"/>
  <c r="Q193"/>
  <c r="Q396"/>
  <c r="Q238"/>
  <c r="O371"/>
  <c r="Q173"/>
  <c r="P84"/>
  <c r="O20"/>
  <c r="O149"/>
  <c r="Q457"/>
  <c r="O309"/>
  <c r="Q200"/>
  <c r="Q391"/>
  <c r="O466"/>
  <c r="P306"/>
  <c r="P114"/>
  <c r="P116"/>
  <c r="P245"/>
  <c r="P309"/>
  <c r="P470"/>
  <c r="Q137"/>
  <c r="Q459"/>
  <c r="Q351"/>
  <c r="P82"/>
  <c r="Q204"/>
  <c r="O84"/>
  <c r="O179"/>
  <c r="Q201"/>
  <c r="Q269"/>
  <c r="P501"/>
  <c r="R501" s="1"/>
  <c r="Q295"/>
  <c r="O114"/>
  <c r="Q167"/>
  <c r="P434"/>
  <c r="Q333"/>
  <c r="P53"/>
  <c r="O244"/>
  <c r="Q364"/>
  <c r="P213"/>
  <c r="Q300"/>
  <c r="Q493"/>
  <c r="Q423"/>
  <c r="Q263"/>
  <c r="P86"/>
  <c r="Q140"/>
  <c r="O212"/>
  <c r="O403"/>
  <c r="Q206"/>
  <c r="P120"/>
  <c r="P312"/>
  <c r="O482"/>
  <c r="P442"/>
  <c r="P215"/>
  <c r="Q112"/>
  <c r="P347"/>
  <c r="P450"/>
  <c r="Q528"/>
  <c r="R528" s="1"/>
  <c r="P378"/>
  <c r="P23"/>
  <c r="Q464"/>
  <c r="P407"/>
  <c r="Q111"/>
  <c r="Q496"/>
  <c r="P410"/>
  <c r="P323"/>
  <c r="P55"/>
  <c r="P315"/>
  <c r="O406"/>
  <c r="O354"/>
  <c r="P408"/>
  <c r="R408" s="1"/>
  <c r="P322"/>
  <c r="P162"/>
  <c r="P311"/>
  <c r="O408"/>
  <c r="P317"/>
  <c r="P292"/>
  <c r="P358"/>
  <c r="P325"/>
  <c r="P134"/>
  <c r="P476"/>
  <c r="P100"/>
  <c r="P157"/>
  <c r="O387"/>
  <c r="O443"/>
  <c r="O91"/>
  <c r="O157"/>
  <c r="P446"/>
  <c r="P188"/>
  <c r="P28"/>
  <c r="O197"/>
  <c r="Q113"/>
  <c r="O27"/>
  <c r="O123"/>
  <c r="O444"/>
  <c r="O251"/>
  <c r="P509"/>
  <c r="P62"/>
  <c r="O344"/>
  <c r="O228"/>
  <c r="P60"/>
  <c r="R60" s="1"/>
  <c r="O37"/>
  <c r="P420"/>
  <c r="P473"/>
  <c r="P326"/>
  <c r="P38"/>
  <c r="P252"/>
  <c r="O419"/>
  <c r="O283"/>
  <c r="O317"/>
  <c r="P164"/>
  <c r="O517"/>
  <c r="O195"/>
  <c r="O60"/>
  <c r="O315"/>
  <c r="P444"/>
  <c r="O219"/>
  <c r="P281"/>
  <c r="P422"/>
  <c r="O413"/>
  <c r="O155"/>
  <c r="P414"/>
  <c r="P69"/>
  <c r="R69" s="1"/>
  <c r="O25"/>
  <c r="P37"/>
  <c r="R37" s="1"/>
  <c r="P165"/>
  <c r="P185"/>
  <c r="O379"/>
  <c r="O248"/>
  <c r="O389"/>
  <c r="O312"/>
  <c r="P445"/>
  <c r="O185"/>
  <c r="O165"/>
  <c r="O345"/>
  <c r="P485"/>
  <c r="O440"/>
  <c r="O189"/>
  <c r="P35"/>
  <c r="P258"/>
  <c r="P58"/>
  <c r="O386"/>
  <c r="O311"/>
  <c r="O118"/>
  <c r="O514"/>
  <c r="Q47"/>
  <c r="Q145"/>
  <c r="O120"/>
  <c r="P357"/>
  <c r="O93"/>
  <c r="P260"/>
  <c r="O36"/>
  <c r="P221"/>
  <c r="O451"/>
  <c r="O35"/>
  <c r="O472"/>
  <c r="P229"/>
  <c r="O515"/>
  <c r="O69"/>
  <c r="P286"/>
  <c r="P133"/>
  <c r="O292"/>
  <c r="O278"/>
  <c r="Q208"/>
  <c r="P226"/>
  <c r="Q48"/>
  <c r="Q527"/>
  <c r="P259"/>
  <c r="P514"/>
  <c r="P70"/>
  <c r="P124"/>
  <c r="P220"/>
  <c r="O483"/>
  <c r="P293"/>
  <c r="P253"/>
  <c r="P121"/>
  <c r="P380"/>
  <c r="P285"/>
  <c r="P510"/>
  <c r="O508"/>
  <c r="P25"/>
  <c r="P166"/>
  <c r="O293"/>
  <c r="P452"/>
  <c r="O506"/>
  <c r="P56"/>
  <c r="O130"/>
  <c r="P451"/>
  <c r="P195"/>
  <c r="P280"/>
  <c r="P183"/>
  <c r="O279"/>
  <c r="O410"/>
  <c r="P101"/>
  <c r="P262"/>
  <c r="O284"/>
  <c r="O220"/>
  <c r="O441"/>
  <c r="O476"/>
  <c r="P30"/>
  <c r="P518"/>
  <c r="O22"/>
  <c r="P440"/>
  <c r="P163"/>
  <c r="O378"/>
  <c r="P375"/>
  <c r="P291"/>
  <c r="P67"/>
  <c r="P194"/>
  <c r="P218"/>
  <c r="R218" s="1"/>
  <c r="O182"/>
  <c r="P472"/>
  <c r="P90"/>
  <c r="Q175"/>
  <c r="P471"/>
  <c r="P154"/>
  <c r="Q239"/>
  <c r="O98"/>
  <c r="O87"/>
  <c r="O470"/>
  <c r="Q463"/>
  <c r="O218"/>
  <c r="Q335"/>
  <c r="O23"/>
  <c r="P314"/>
  <c r="P216"/>
  <c r="O194"/>
  <c r="O58"/>
  <c r="Q240"/>
  <c r="P379"/>
  <c r="O503"/>
  <c r="Q303"/>
  <c r="O56"/>
  <c r="P345"/>
  <c r="O376"/>
  <c r="O477"/>
  <c r="P196"/>
  <c r="O24"/>
  <c r="O420"/>
  <c r="P190"/>
  <c r="P515"/>
  <c r="O186"/>
  <c r="Q79"/>
  <c r="O442"/>
  <c r="P474"/>
  <c r="P279"/>
  <c r="P87"/>
  <c r="P184"/>
  <c r="Q144"/>
  <c r="O322"/>
  <c r="P250"/>
  <c r="P376"/>
  <c r="P119"/>
  <c r="O66"/>
  <c r="Q80"/>
  <c r="O502"/>
  <c r="P123"/>
  <c r="O214"/>
  <c r="P66"/>
  <c r="O26"/>
  <c r="P227"/>
  <c r="O258"/>
  <c r="Q207"/>
  <c r="O86"/>
  <c r="O34"/>
  <c r="O445"/>
  <c r="Q433"/>
  <c r="P349"/>
  <c r="O133"/>
  <c r="Q369"/>
  <c r="P198"/>
  <c r="P484"/>
  <c r="O280"/>
  <c r="O349"/>
  <c r="O99"/>
  <c r="O291"/>
  <c r="P477"/>
  <c r="O89"/>
  <c r="P294"/>
  <c r="P93"/>
  <c r="O473"/>
  <c r="Q209"/>
  <c r="O67"/>
  <c r="P441"/>
  <c r="O88"/>
  <c r="Q401"/>
  <c r="Q465"/>
  <c r="Q305"/>
  <c r="P348"/>
  <c r="O377"/>
  <c r="O59"/>
  <c r="P228"/>
  <c r="O285"/>
  <c r="P316"/>
  <c r="O164"/>
  <c r="O124"/>
  <c r="P324"/>
  <c r="Q367"/>
  <c r="Q336"/>
  <c r="P130"/>
  <c r="O375"/>
  <c r="P88"/>
  <c r="O122"/>
  <c r="P282"/>
  <c r="P290"/>
  <c r="O290"/>
  <c r="Q431"/>
  <c r="Q272"/>
  <c r="O438"/>
  <c r="O162"/>
  <c r="O310"/>
  <c r="P503"/>
  <c r="P343"/>
  <c r="O348"/>
  <c r="O356"/>
  <c r="O187"/>
  <c r="P125"/>
  <c r="O484"/>
  <c r="P158"/>
  <c r="O452"/>
  <c r="O357"/>
  <c r="O380"/>
  <c r="O153"/>
  <c r="P413"/>
  <c r="P94"/>
  <c r="Q529"/>
  <c r="P453"/>
  <c r="P68"/>
  <c r="O184"/>
  <c r="P26"/>
  <c r="P346"/>
  <c r="Q304"/>
  <c r="P387"/>
  <c r="P418"/>
  <c r="P59"/>
  <c r="Q432"/>
  <c r="P34"/>
  <c r="P355"/>
  <c r="O407"/>
  <c r="O55"/>
  <c r="P506"/>
  <c r="P386"/>
  <c r="O450"/>
  <c r="O418"/>
  <c r="O151"/>
  <c r="P99"/>
  <c r="P132"/>
  <c r="O281"/>
  <c r="O261"/>
  <c r="P156"/>
  <c r="O61"/>
  <c r="O325"/>
  <c r="P454"/>
  <c r="P486"/>
  <c r="O504"/>
  <c r="O121"/>
  <c r="P197"/>
  <c r="P516"/>
  <c r="O507"/>
  <c r="P412"/>
  <c r="P189"/>
  <c r="P92"/>
  <c r="O409"/>
  <c r="O226"/>
  <c r="O439"/>
  <c r="O119"/>
  <c r="Q143"/>
  <c r="O259"/>
  <c r="O125"/>
  <c r="O196"/>
  <c r="O453"/>
  <c r="Q177"/>
  <c r="P390"/>
  <c r="O216"/>
  <c r="O412"/>
  <c r="O316"/>
  <c r="O505"/>
  <c r="O346"/>
  <c r="P483"/>
  <c r="O54"/>
  <c r="P251"/>
  <c r="P187"/>
  <c r="O342"/>
  <c r="P155"/>
  <c r="O183"/>
  <c r="P354"/>
  <c r="P411"/>
  <c r="P283"/>
  <c r="O282"/>
  <c r="P186"/>
  <c r="P24"/>
  <c r="O474"/>
  <c r="P219"/>
  <c r="P443"/>
  <c r="O471"/>
  <c r="P247"/>
  <c r="P419"/>
  <c r="Q400"/>
  <c r="Q176"/>
  <c r="Q271"/>
  <c r="P152"/>
  <c r="O253"/>
  <c r="Q497"/>
  <c r="Q337"/>
  <c r="O163"/>
  <c r="O485"/>
  <c r="P261"/>
  <c r="O475"/>
  <c r="Q273"/>
  <c r="P318"/>
  <c r="P377"/>
  <c r="R377" s="1"/>
  <c r="O188"/>
  <c r="O131"/>
  <c r="P284"/>
  <c r="O68"/>
  <c r="O313"/>
  <c r="O152"/>
  <c r="P217"/>
  <c r="O249"/>
  <c r="P89"/>
  <c r="O57"/>
  <c r="O221"/>
  <c r="P381"/>
  <c r="P409"/>
  <c r="Q241"/>
  <c r="P517"/>
  <c r="P388"/>
  <c r="P350"/>
  <c r="R350" s="1"/>
  <c r="O100"/>
  <c r="P102"/>
  <c r="P389"/>
  <c r="O516"/>
  <c r="P122"/>
  <c r="Q495"/>
  <c r="P98"/>
  <c r="O150"/>
  <c r="P248"/>
  <c r="O343"/>
  <c r="O154"/>
  <c r="O314"/>
  <c r="P507"/>
  <c r="P131"/>
  <c r="P27"/>
  <c r="R27" s="1"/>
  <c r="O247"/>
  <c r="P151"/>
  <c r="P475"/>
  <c r="P344"/>
  <c r="R344" s="1"/>
  <c r="P504"/>
  <c r="O90"/>
  <c r="Q399"/>
  <c r="P482"/>
  <c r="Q368"/>
  <c r="O246"/>
  <c r="P91"/>
  <c r="P439"/>
  <c r="P222"/>
  <c r="Q81"/>
  <c r="O260"/>
  <c r="O252"/>
  <c r="P126"/>
  <c r="P421"/>
  <c r="P505"/>
  <c r="O132"/>
  <c r="O101"/>
  <c r="P57"/>
  <c r="O421"/>
  <c r="O347"/>
  <c r="O323"/>
  <c r="P254"/>
  <c r="P29"/>
  <c r="O229"/>
  <c r="P249"/>
  <c r="P356"/>
  <c r="P313"/>
  <c r="O217"/>
  <c r="P153"/>
  <c r="O381"/>
  <c r="O355"/>
  <c r="O411"/>
  <c r="O227"/>
  <c r="P36"/>
  <c r="P230"/>
  <c r="P508"/>
  <c r="P382"/>
  <c r="O509"/>
  <c r="O156"/>
  <c r="Q49"/>
  <c r="O29"/>
  <c r="O215"/>
  <c r="O374"/>
  <c r="O250"/>
  <c r="O28"/>
  <c r="O324"/>
  <c r="O92"/>
  <c r="P61"/>
  <c r="R61" s="1"/>
  <c r="S61" s="1"/>
  <c r="U61" s="1"/>
  <c r="O388"/>
  <c r="P478"/>
  <c r="O255"/>
  <c r="O223"/>
  <c r="P235"/>
  <c r="R235" s="1"/>
  <c r="O458"/>
  <c r="O518"/>
  <c r="P160"/>
  <c r="P232"/>
  <c r="P328"/>
  <c r="P255"/>
  <c r="P392"/>
  <c r="P231"/>
  <c r="P127"/>
  <c r="O190"/>
  <c r="P391"/>
  <c r="P136"/>
  <c r="P135"/>
  <c r="P263"/>
  <c r="P363"/>
  <c r="O287"/>
  <c r="O415"/>
  <c r="P519"/>
  <c r="O166"/>
  <c r="O42"/>
  <c r="P138"/>
  <c r="P352"/>
  <c r="P110"/>
  <c r="O457"/>
  <c r="O385"/>
  <c r="O129"/>
  <c r="O460"/>
  <c r="O41"/>
  <c r="P492"/>
  <c r="O461"/>
  <c r="P129"/>
  <c r="P525"/>
  <c r="P140"/>
  <c r="P460"/>
  <c r="O141"/>
  <c r="P161"/>
  <c r="P201"/>
  <c r="P289"/>
  <c r="P270"/>
  <c r="O448"/>
  <c r="P364"/>
  <c r="O75"/>
  <c r="P365"/>
  <c r="O193"/>
  <c r="P142"/>
  <c r="P526"/>
  <c r="O135"/>
  <c r="P72"/>
  <c r="O138"/>
  <c r="O478"/>
  <c r="O486"/>
  <c r="P491"/>
  <c r="O159"/>
  <c r="P360"/>
  <c r="P159"/>
  <c r="O127"/>
  <c r="P488"/>
  <c r="P206"/>
  <c r="O352"/>
  <c r="O491"/>
  <c r="O363"/>
  <c r="O269"/>
  <c r="P65"/>
  <c r="R65" s="1"/>
  <c r="P269"/>
  <c r="O289"/>
  <c r="O416"/>
  <c r="P77"/>
  <c r="P416"/>
  <c r="P490"/>
  <c r="P456"/>
  <c r="P327"/>
  <c r="P383"/>
  <c r="P487"/>
  <c r="P40"/>
  <c r="O264"/>
  <c r="O235"/>
  <c r="O297"/>
  <c r="O236"/>
  <c r="O427"/>
  <c r="O360"/>
  <c r="P41"/>
  <c r="O456"/>
  <c r="O44"/>
  <c r="P74"/>
  <c r="P200"/>
  <c r="P330"/>
  <c r="O106"/>
  <c r="P415"/>
  <c r="O397"/>
  <c r="P524"/>
  <c r="O136"/>
  <c r="P397"/>
  <c r="O265"/>
  <c r="O384"/>
  <c r="O286"/>
  <c r="P42"/>
  <c r="O254"/>
  <c r="O74"/>
  <c r="P511"/>
  <c r="P295"/>
  <c r="R295" s="1"/>
  <c r="O390"/>
  <c r="P139"/>
  <c r="O490"/>
  <c r="O63"/>
  <c r="P192"/>
  <c r="P480"/>
  <c r="O426"/>
  <c r="O519"/>
  <c r="O298"/>
  <c r="P63"/>
  <c r="P395"/>
  <c r="P223"/>
  <c r="O71"/>
  <c r="O262"/>
  <c r="P366"/>
  <c r="O392"/>
  <c r="O393"/>
  <c r="O396"/>
  <c r="O225"/>
  <c r="P169"/>
  <c r="O268"/>
  <c r="P174"/>
  <c r="R174" s="1"/>
  <c r="O300"/>
  <c r="P45"/>
  <c r="P46"/>
  <c r="O160"/>
  <c r="P97"/>
  <c r="O267"/>
  <c r="P73"/>
  <c r="O224"/>
  <c r="O417"/>
  <c r="O521"/>
  <c r="P173"/>
  <c r="P361"/>
  <c r="P33"/>
  <c r="P109"/>
  <c r="P301"/>
  <c r="O428"/>
  <c r="P104"/>
  <c r="R104" s="1"/>
  <c r="P203"/>
  <c r="P202"/>
  <c r="O394"/>
  <c r="O455"/>
  <c r="O318"/>
  <c r="O330"/>
  <c r="P106"/>
  <c r="O191"/>
  <c r="P523"/>
  <c r="P427"/>
  <c r="R427" s="1"/>
  <c r="O454"/>
  <c r="P333"/>
  <c r="O328"/>
  <c r="O108"/>
  <c r="P137"/>
  <c r="O168"/>
  <c r="O364"/>
  <c r="P205"/>
  <c r="O161"/>
  <c r="O492"/>
  <c r="O299"/>
  <c r="O320"/>
  <c r="P44"/>
  <c r="O520"/>
  <c r="P266"/>
  <c r="O382"/>
  <c r="P287"/>
  <c r="O511"/>
  <c r="P426"/>
  <c r="O351"/>
  <c r="O326"/>
  <c r="O358"/>
  <c r="P384"/>
  <c r="O38"/>
  <c r="P457"/>
  <c r="O33"/>
  <c r="P302"/>
  <c r="P417"/>
  <c r="P265"/>
  <c r="P489"/>
  <c r="O45"/>
  <c r="O510"/>
  <c r="P96"/>
  <c r="O479"/>
  <c r="P458"/>
  <c r="O362"/>
  <c r="P319"/>
  <c r="O107"/>
  <c r="P78"/>
  <c r="O480"/>
  <c r="P321"/>
  <c r="O140"/>
  <c r="O353"/>
  <c r="O202"/>
  <c r="O62"/>
  <c r="P107"/>
  <c r="O266"/>
  <c r="P191"/>
  <c r="O95"/>
  <c r="O222"/>
  <c r="P43"/>
  <c r="P423"/>
  <c r="O31"/>
  <c r="O294"/>
  <c r="O359"/>
  <c r="O158"/>
  <c r="P522"/>
  <c r="P331"/>
  <c r="O103"/>
  <c r="P75"/>
  <c r="P351"/>
  <c r="O295"/>
  <c r="P238"/>
  <c r="P461"/>
  <c r="O65"/>
  <c r="O513"/>
  <c r="O237"/>
  <c r="O96"/>
  <c r="O296"/>
  <c r="O331"/>
  <c r="O493"/>
  <c r="O523"/>
  <c r="O172"/>
  <c r="O395"/>
  <c r="P393"/>
  <c r="P398"/>
  <c r="O361"/>
  <c r="O32"/>
  <c r="P76"/>
  <c r="O449"/>
  <c r="O424"/>
  <c r="P425"/>
  <c r="O481"/>
  <c r="O257"/>
  <c r="P396"/>
  <c r="O40"/>
  <c r="O383"/>
  <c r="O230"/>
  <c r="O447"/>
  <c r="P234"/>
  <c r="O319"/>
  <c r="O487"/>
  <c r="P320"/>
  <c r="O30"/>
  <c r="O39"/>
  <c r="O170"/>
  <c r="O70"/>
  <c r="P171"/>
  <c r="P224"/>
  <c r="P296"/>
  <c r="O350"/>
  <c r="P32"/>
  <c r="P168"/>
  <c r="R168" s="1"/>
  <c r="O414"/>
  <c r="P424"/>
  <c r="P170"/>
  <c r="P31"/>
  <c r="R31" s="1"/>
  <c r="P299"/>
  <c r="R299" s="1"/>
  <c r="O77"/>
  <c r="O192"/>
  <c r="O72"/>
  <c r="O173"/>
  <c r="P297"/>
  <c r="O204"/>
  <c r="P237"/>
  <c r="O205"/>
  <c r="O459"/>
  <c r="O232"/>
  <c r="O489"/>
  <c r="O332"/>
  <c r="O169"/>
  <c r="O97"/>
  <c r="P193"/>
  <c r="O488"/>
  <c r="P268"/>
  <c r="O425"/>
  <c r="P300"/>
  <c r="O333"/>
  <c r="P105"/>
  <c r="P108"/>
  <c r="O201"/>
  <c r="P329"/>
  <c r="P257"/>
  <c r="O126"/>
  <c r="P39"/>
  <c r="O134"/>
  <c r="O263"/>
  <c r="O94"/>
  <c r="O76"/>
  <c r="P462"/>
  <c r="O329"/>
  <c r="O105"/>
  <c r="O200"/>
  <c r="P172"/>
  <c r="O391"/>
  <c r="P95"/>
  <c r="P512"/>
  <c r="O199"/>
  <c r="P64"/>
  <c r="O231"/>
  <c r="P520"/>
  <c r="P455"/>
  <c r="O198"/>
  <c r="P267"/>
  <c r="O234"/>
  <c r="P167"/>
  <c r="O446"/>
  <c r="O167"/>
  <c r="P264"/>
  <c r="P256"/>
  <c r="P359"/>
  <c r="O522"/>
  <c r="O327"/>
  <c r="P199"/>
  <c r="P71"/>
  <c r="O525"/>
  <c r="O524"/>
  <c r="P332"/>
  <c r="P236"/>
  <c r="P513"/>
  <c r="P141"/>
  <c r="P521"/>
  <c r="O301"/>
  <c r="P428"/>
  <c r="O139"/>
  <c r="O137"/>
  <c r="P429"/>
  <c r="O365"/>
  <c r="O288"/>
  <c r="O256"/>
  <c r="O43"/>
  <c r="P233"/>
  <c r="P353"/>
  <c r="O73"/>
  <c r="O109"/>
  <c r="P493"/>
  <c r="P481"/>
  <c r="P334"/>
  <c r="P494"/>
  <c r="R494" s="1"/>
  <c r="O423"/>
  <c r="P447"/>
  <c r="O422"/>
  <c r="P479"/>
  <c r="P448"/>
  <c r="P394"/>
  <c r="O102"/>
  <c r="P430"/>
  <c r="O171"/>
  <c r="O104"/>
  <c r="O203"/>
  <c r="O512"/>
  <c r="P449"/>
  <c r="O233"/>
  <c r="P225"/>
  <c r="P298"/>
  <c r="P362"/>
  <c r="P288"/>
  <c r="P128"/>
  <c r="P459"/>
  <c r="P103"/>
  <c r="O321"/>
  <c r="P204"/>
  <c r="O64"/>
  <c r="O429"/>
  <c r="P385"/>
  <c r="O128"/>
  <c r="O433"/>
  <c r="O337"/>
  <c r="O273"/>
  <c r="P431"/>
  <c r="O462"/>
  <c r="O367"/>
  <c r="O271"/>
  <c r="P240"/>
  <c r="R221" l="1"/>
  <c r="S221" s="1"/>
  <c r="U221" s="1"/>
  <c r="R286"/>
  <c r="S286" s="1"/>
  <c r="R107"/>
  <c r="S107" s="1"/>
  <c r="U107" s="1"/>
  <c r="V107" s="1"/>
  <c r="R462"/>
  <c r="S462" s="1"/>
  <c r="U462" s="1"/>
  <c r="R215"/>
  <c r="S215" s="1"/>
  <c r="U215" s="1"/>
  <c r="R97"/>
  <c r="S97" s="1"/>
  <c r="U97" s="1"/>
  <c r="R98"/>
  <c r="S98" s="1"/>
  <c r="R358"/>
  <c r="S358" s="1"/>
  <c r="U358" s="1"/>
  <c r="R309"/>
  <c r="S309" s="1"/>
  <c r="U309" s="1"/>
  <c r="V309" s="1"/>
  <c r="R137"/>
  <c r="S137" s="1"/>
  <c r="U137" s="1"/>
  <c r="R94"/>
  <c r="S94" s="1"/>
  <c r="U94" s="1"/>
  <c r="R469"/>
  <c r="S469" s="1"/>
  <c r="R411"/>
  <c r="S411" s="1"/>
  <c r="R70"/>
  <c r="S70" s="1"/>
  <c r="U70" s="1"/>
  <c r="V70" s="1"/>
  <c r="R26"/>
  <c r="S26" s="1"/>
  <c r="R181"/>
  <c r="S181" s="1"/>
  <c r="U181" s="1"/>
  <c r="V181" s="1"/>
  <c r="R148"/>
  <c r="S148" s="1"/>
  <c r="U148" s="1"/>
  <c r="R326"/>
  <c r="S326" s="1"/>
  <c r="R316"/>
  <c r="S316" s="1"/>
  <c r="R301"/>
  <c r="S301" s="1"/>
  <c r="R153"/>
  <c r="S153" s="1"/>
  <c r="U153" s="1"/>
  <c r="R83"/>
  <c r="S83" s="1"/>
  <c r="R129"/>
  <c r="S129" s="1"/>
  <c r="R124"/>
  <c r="S124" s="1"/>
  <c r="R476"/>
  <c r="S476" s="1"/>
  <c r="R517"/>
  <c r="S517" s="1"/>
  <c r="R236"/>
  <c r="S236" s="1"/>
  <c r="U236" s="1"/>
  <c r="V236" s="1"/>
  <c r="R146"/>
  <c r="S146" s="1"/>
  <c r="U146" s="1"/>
  <c r="R510"/>
  <c r="S510" s="1"/>
  <c r="R111"/>
  <c r="S111" s="1"/>
  <c r="R397"/>
  <c r="S397" s="1"/>
  <c r="U397" s="1"/>
  <c r="R484"/>
  <c r="S484" s="1"/>
  <c r="U484" s="1"/>
  <c r="R523"/>
  <c r="S523" s="1"/>
  <c r="U523" s="1"/>
  <c r="R68"/>
  <c r="S68" s="1"/>
  <c r="U68" s="1"/>
  <c r="R455"/>
  <c r="S455" s="1"/>
  <c r="S427"/>
  <c r="R202"/>
  <c r="S202" s="1"/>
  <c r="U202" s="1"/>
  <c r="R509"/>
  <c r="S509" s="1"/>
  <c r="U509" s="1"/>
  <c r="R188"/>
  <c r="S188" s="1"/>
  <c r="R370"/>
  <c r="S370" s="1"/>
  <c r="U370" s="1"/>
  <c r="R369"/>
  <c r="S369" s="1"/>
  <c r="U369" s="1"/>
  <c r="R288"/>
  <c r="S288" s="1"/>
  <c r="R447"/>
  <c r="S447" s="1"/>
  <c r="U447" s="1"/>
  <c r="R264"/>
  <c r="S264" s="1"/>
  <c r="U264" s="1"/>
  <c r="R74"/>
  <c r="S74" s="1"/>
  <c r="U74" s="1"/>
  <c r="R416"/>
  <c r="S416" s="1"/>
  <c r="U416" s="1"/>
  <c r="R161"/>
  <c r="S161" s="1"/>
  <c r="U161" s="1"/>
  <c r="R409"/>
  <c r="S409" s="1"/>
  <c r="U409" s="1"/>
  <c r="R271"/>
  <c r="S271" s="1"/>
  <c r="R503"/>
  <c r="S503" s="1"/>
  <c r="R446"/>
  <c r="S446" s="1"/>
  <c r="R134"/>
  <c r="S134" s="1"/>
  <c r="R308"/>
  <c r="S308" s="1"/>
  <c r="U308" s="1"/>
  <c r="R371"/>
  <c r="S371" s="1"/>
  <c r="U371" s="1"/>
  <c r="R297"/>
  <c r="S297" s="1"/>
  <c r="U297" s="1"/>
  <c r="R289"/>
  <c r="S289" s="1"/>
  <c r="U289" s="1"/>
  <c r="R263"/>
  <c r="S263" s="1"/>
  <c r="U263" s="1"/>
  <c r="R56"/>
  <c r="S56" s="1"/>
  <c r="U56" s="1"/>
  <c r="R414"/>
  <c r="S414" s="1"/>
  <c r="R433"/>
  <c r="S433" s="1"/>
  <c r="R272"/>
  <c r="S272" s="1"/>
  <c r="R495"/>
  <c r="S495" s="1"/>
  <c r="R332"/>
  <c r="S332" s="1"/>
  <c r="R191"/>
  <c r="S191" s="1"/>
  <c r="R205"/>
  <c r="S205" s="1"/>
  <c r="U205" s="1"/>
  <c r="R173"/>
  <c r="S173" s="1"/>
  <c r="U173" s="1"/>
  <c r="R46"/>
  <c r="S46" s="1"/>
  <c r="R492"/>
  <c r="S492" s="1"/>
  <c r="U492" s="1"/>
  <c r="R328"/>
  <c r="S328" s="1"/>
  <c r="R36"/>
  <c r="S36" s="1"/>
  <c r="R356"/>
  <c r="S356" s="1"/>
  <c r="R57"/>
  <c r="S57" s="1"/>
  <c r="U57" s="1"/>
  <c r="R81"/>
  <c r="S81" s="1"/>
  <c r="R122"/>
  <c r="S122" s="1"/>
  <c r="R152"/>
  <c r="S152" s="1"/>
  <c r="U152" s="1"/>
  <c r="R324"/>
  <c r="S324" s="1"/>
  <c r="U324" s="1"/>
  <c r="R348"/>
  <c r="S348" s="1"/>
  <c r="R515"/>
  <c r="S515" s="1"/>
  <c r="U515" s="1"/>
  <c r="R514"/>
  <c r="S514" s="1"/>
  <c r="R133"/>
  <c r="S133" s="1"/>
  <c r="U133" s="1"/>
  <c r="R410"/>
  <c r="S410" s="1"/>
  <c r="U410" s="1"/>
  <c r="R450"/>
  <c r="S450" s="1"/>
  <c r="R170"/>
  <c r="S170" s="1"/>
  <c r="R234"/>
  <c r="S234" s="1"/>
  <c r="R55"/>
  <c r="S55" s="1"/>
  <c r="U55" s="1"/>
  <c r="R312"/>
  <c r="S312" s="1"/>
  <c r="U312" s="1"/>
  <c r="R338"/>
  <c r="S338" s="1"/>
  <c r="U338" s="1"/>
  <c r="R208"/>
  <c r="S208" s="1"/>
  <c r="U208" s="1"/>
  <c r="R257"/>
  <c r="S257" s="1"/>
  <c r="U257" s="1"/>
  <c r="R44"/>
  <c r="S44" s="1"/>
  <c r="R519"/>
  <c r="S519" s="1"/>
  <c r="R505"/>
  <c r="S505" s="1"/>
  <c r="U505" s="1"/>
  <c r="R186"/>
  <c r="S186" s="1"/>
  <c r="U186" s="1"/>
  <c r="R156"/>
  <c r="S156" s="1"/>
  <c r="U156" s="1"/>
  <c r="R375"/>
  <c r="S375" s="1"/>
  <c r="U375" s="1"/>
  <c r="R165"/>
  <c r="S165" s="1"/>
  <c r="R281"/>
  <c r="S281" s="1"/>
  <c r="R334"/>
  <c r="S334" s="1"/>
  <c r="R362"/>
  <c r="S362" s="1"/>
  <c r="U362" s="1"/>
  <c r="R160"/>
  <c r="S160" s="1"/>
  <c r="U160" s="1"/>
  <c r="R59"/>
  <c r="S59" s="1"/>
  <c r="U59" s="1"/>
  <c r="R185"/>
  <c r="S185" s="1"/>
  <c r="U185" s="1"/>
  <c r="R420"/>
  <c r="S420" s="1"/>
  <c r="U420" s="1"/>
  <c r="R325"/>
  <c r="S325" s="1"/>
  <c r="U325" s="1"/>
  <c r="R498"/>
  <c r="S498" s="1"/>
  <c r="U498" s="1"/>
  <c r="R108"/>
  <c r="S108" s="1"/>
  <c r="U108" s="1"/>
  <c r="R171"/>
  <c r="S171" s="1"/>
  <c r="U171" s="1"/>
  <c r="R333"/>
  <c r="S333" s="1"/>
  <c r="U333" s="1"/>
  <c r="R159"/>
  <c r="S159" s="1"/>
  <c r="U159" s="1"/>
  <c r="R346"/>
  <c r="S346" s="1"/>
  <c r="U346" s="1"/>
  <c r="R245"/>
  <c r="S245" s="1"/>
  <c r="U245" s="1"/>
  <c r="S299"/>
  <c r="R506"/>
  <c r="S506" s="1"/>
  <c r="R387"/>
  <c r="S387" s="1"/>
  <c r="R119"/>
  <c r="S119" s="1"/>
  <c r="U119" s="1"/>
  <c r="R86"/>
  <c r="S86" s="1"/>
  <c r="U86" s="1"/>
  <c r="R246"/>
  <c r="S246" s="1"/>
  <c r="U246" s="1"/>
  <c r="R340"/>
  <c r="S340" s="1"/>
  <c r="U340" s="1"/>
  <c r="S350"/>
  <c r="R396"/>
  <c r="S396" s="1"/>
  <c r="R40"/>
  <c r="S40" s="1"/>
  <c r="R91"/>
  <c r="S91" s="1"/>
  <c r="R284"/>
  <c r="S284" s="1"/>
  <c r="R516"/>
  <c r="S516" s="1"/>
  <c r="U516" s="1"/>
  <c r="R279"/>
  <c r="S279" s="1"/>
  <c r="R166"/>
  <c r="S166" s="1"/>
  <c r="U166" s="1"/>
  <c r="R178"/>
  <c r="S178" s="1"/>
  <c r="R342"/>
  <c r="S342" s="1"/>
  <c r="U342" s="1"/>
  <c r="R189"/>
  <c r="S189" s="1"/>
  <c r="R290"/>
  <c r="S290" s="1"/>
  <c r="R123"/>
  <c r="S123" s="1"/>
  <c r="R239"/>
  <c r="S239" s="1"/>
  <c r="R518"/>
  <c r="S518" s="1"/>
  <c r="U518" s="1"/>
  <c r="R82"/>
  <c r="S82" s="1"/>
  <c r="U82" s="1"/>
  <c r="R436"/>
  <c r="S436" s="1"/>
  <c r="R303"/>
  <c r="S303" s="1"/>
  <c r="R304"/>
  <c r="S304" s="1"/>
  <c r="R496"/>
  <c r="S496" s="1"/>
  <c r="R256"/>
  <c r="S256" s="1"/>
  <c r="U256" s="1"/>
  <c r="R212"/>
  <c r="S212" s="1"/>
  <c r="T1064"/>
  <c r="R2" s="1"/>
  <c r="E276" i="23" s="1"/>
  <c r="C33" i="24" s="1"/>
  <c r="R92" i="33"/>
  <c r="S92" s="1"/>
  <c r="U92" s="1"/>
  <c r="R355"/>
  <c r="S355" s="1"/>
  <c r="U355" s="1"/>
  <c r="V1064"/>
  <c r="R95"/>
  <c r="S95" s="1"/>
  <c r="R33"/>
  <c r="S33" s="1"/>
  <c r="U33" s="1"/>
  <c r="S65"/>
  <c r="U65" s="1"/>
  <c r="R440"/>
  <c r="S440" s="1"/>
  <c r="R35"/>
  <c r="S35" s="1"/>
  <c r="U35" s="1"/>
  <c r="R512"/>
  <c r="S512" s="1"/>
  <c r="U512" s="1"/>
  <c r="R43"/>
  <c r="S43" s="1"/>
  <c r="U43" s="1"/>
  <c r="R458"/>
  <c r="S458" s="1"/>
  <c r="U458" s="1"/>
  <c r="R302"/>
  <c r="S302" s="1"/>
  <c r="U302" s="1"/>
  <c r="R109"/>
  <c r="S109" s="1"/>
  <c r="U109" s="1"/>
  <c r="R223"/>
  <c r="S223" s="1"/>
  <c r="U223" s="1"/>
  <c r="R383"/>
  <c r="S383" s="1"/>
  <c r="U383" s="1"/>
  <c r="R382"/>
  <c r="S382" s="1"/>
  <c r="U382" s="1"/>
  <c r="R247"/>
  <c r="S247" s="1"/>
  <c r="U247" s="1"/>
  <c r="R441"/>
  <c r="S441" s="1"/>
  <c r="U441" s="1"/>
  <c r="R349"/>
  <c r="S349" s="1"/>
  <c r="U349" s="1"/>
  <c r="R376"/>
  <c r="S376" s="1"/>
  <c r="U376" s="1"/>
  <c r="R451"/>
  <c r="S451" s="1"/>
  <c r="U451" s="1"/>
  <c r="R113"/>
  <c r="S113" s="1"/>
  <c r="R147"/>
  <c r="S147" s="1"/>
  <c r="U147" s="1"/>
  <c r="R405"/>
  <c r="S405" s="1"/>
  <c r="U405" s="1"/>
  <c r="R54"/>
  <c r="S54" s="1"/>
  <c r="U54" s="1"/>
  <c r="R277"/>
  <c r="S277" s="1"/>
  <c r="U277" s="1"/>
  <c r="R305"/>
  <c r="S305" s="1"/>
  <c r="R490"/>
  <c r="S490" s="1"/>
  <c r="U490" s="1"/>
  <c r="R435"/>
  <c r="S435" s="1"/>
  <c r="R361"/>
  <c r="S361" s="1"/>
  <c r="U361" s="1"/>
  <c r="R456"/>
  <c r="S456" s="1"/>
  <c r="U456" s="1"/>
  <c r="R230"/>
  <c r="S230" s="1"/>
  <c r="U230" s="1"/>
  <c r="R354"/>
  <c r="S354" s="1"/>
  <c r="U354" s="1"/>
  <c r="R502"/>
  <c r="S502" s="1"/>
  <c r="R449"/>
  <c r="S449" s="1"/>
  <c r="R267"/>
  <c r="S267" s="1"/>
  <c r="U267" s="1"/>
  <c r="R327"/>
  <c r="S327" s="1"/>
  <c r="R508"/>
  <c r="S508" s="1"/>
  <c r="R79"/>
  <c r="S79" s="1"/>
  <c r="U79" s="1"/>
  <c r="R252"/>
  <c r="S252" s="1"/>
  <c r="U252" s="1"/>
  <c r="R51"/>
  <c r="S51" s="1"/>
  <c r="R211"/>
  <c r="S211" s="1"/>
  <c r="R75"/>
  <c r="S75" s="1"/>
  <c r="R417"/>
  <c r="S417" s="1"/>
  <c r="R151"/>
  <c r="S151" s="1"/>
  <c r="U151" s="1"/>
  <c r="R390"/>
  <c r="S390" s="1"/>
  <c r="U390" s="1"/>
  <c r="R197"/>
  <c r="S197" s="1"/>
  <c r="U197" s="1"/>
  <c r="R196"/>
  <c r="S196" s="1"/>
  <c r="R195"/>
  <c r="S195" s="1"/>
  <c r="U195" s="1"/>
  <c r="R25"/>
  <c r="S25" s="1"/>
  <c r="R357"/>
  <c r="S357" s="1"/>
  <c r="S60"/>
  <c r="R442"/>
  <c r="S442" s="1"/>
  <c r="U442" s="1"/>
  <c r="R339"/>
  <c r="S339" s="1"/>
  <c r="R172"/>
  <c r="S172" s="1"/>
  <c r="R454"/>
  <c r="S454" s="1"/>
  <c r="U454" s="1"/>
  <c r="R522"/>
  <c r="S522" s="1"/>
  <c r="U522" s="1"/>
  <c r="R287"/>
  <c r="S287" s="1"/>
  <c r="R28"/>
  <c r="S28" s="1"/>
  <c r="U28" s="1"/>
  <c r="R270"/>
  <c r="S270" s="1"/>
  <c r="U270" s="1"/>
  <c r="R392"/>
  <c r="S392" s="1"/>
  <c r="R388"/>
  <c r="S388" s="1"/>
  <c r="R250"/>
  <c r="S250" s="1"/>
  <c r="U250" s="1"/>
  <c r="R378"/>
  <c r="S378" s="1"/>
  <c r="U378" s="1"/>
  <c r="R22"/>
  <c r="S22" s="1"/>
  <c r="U22" s="1"/>
  <c r="R204"/>
  <c r="S204" s="1"/>
  <c r="U204" s="1"/>
  <c r="R430"/>
  <c r="S430" s="1"/>
  <c r="U430" s="1"/>
  <c r="R71"/>
  <c r="S71" s="1"/>
  <c r="U71" s="1"/>
  <c r="R268"/>
  <c r="S268" s="1"/>
  <c r="U268" s="1"/>
  <c r="R320"/>
  <c r="S320" s="1"/>
  <c r="U320" s="1"/>
  <c r="R351"/>
  <c r="S351" s="1"/>
  <c r="U351" s="1"/>
  <c r="R319"/>
  <c r="S319" s="1"/>
  <c r="R265"/>
  <c r="S265" s="1"/>
  <c r="U265" s="1"/>
  <c r="R106"/>
  <c r="S106" s="1"/>
  <c r="U106" s="1"/>
  <c r="R480"/>
  <c r="S480" s="1"/>
  <c r="U480" s="1"/>
  <c r="R524"/>
  <c r="S524" s="1"/>
  <c r="U524" s="1"/>
  <c r="R206"/>
  <c r="S206" s="1"/>
  <c r="U206" s="1"/>
  <c r="R460"/>
  <c r="S460" s="1"/>
  <c r="R29"/>
  <c r="S29" s="1"/>
  <c r="R475"/>
  <c r="S475" s="1"/>
  <c r="R187"/>
  <c r="S187" s="1"/>
  <c r="R418"/>
  <c r="S418" s="1"/>
  <c r="R88"/>
  <c r="S88" s="1"/>
  <c r="U88" s="1"/>
  <c r="R379"/>
  <c r="S379" s="1"/>
  <c r="R280"/>
  <c r="S280" s="1"/>
  <c r="U280" s="1"/>
  <c r="R293"/>
  <c r="S293" s="1"/>
  <c r="R407"/>
  <c r="S407" s="1"/>
  <c r="U407" s="1"/>
  <c r="R117"/>
  <c r="S117" s="1"/>
  <c r="R403"/>
  <c r="S403" s="1"/>
  <c r="R374"/>
  <c r="S374" s="1"/>
  <c r="U374" s="1"/>
  <c r="R21"/>
  <c r="S21" s="1"/>
  <c r="U21" s="1"/>
  <c r="R180"/>
  <c r="S180" s="1"/>
  <c r="U180" s="1"/>
  <c r="R135"/>
  <c r="S135" s="1"/>
  <c r="U135" s="1"/>
  <c r="R114"/>
  <c r="S114" s="1"/>
  <c r="U114" s="1"/>
  <c r="R118"/>
  <c r="S118" s="1"/>
  <c r="U118" s="1"/>
  <c r="R493"/>
  <c r="S493" s="1"/>
  <c r="R110"/>
  <c r="S110" s="1"/>
  <c r="U110" s="1"/>
  <c r="S377"/>
  <c r="R66"/>
  <c r="S66" s="1"/>
  <c r="U66" s="1"/>
  <c r="R262"/>
  <c r="S262" s="1"/>
  <c r="U262" s="1"/>
  <c r="R150"/>
  <c r="S150" s="1"/>
  <c r="U150" s="1"/>
  <c r="R341"/>
  <c r="S341" s="1"/>
  <c r="U341" s="1"/>
  <c r="R404"/>
  <c r="S404" s="1"/>
  <c r="R141"/>
  <c r="S141" s="1"/>
  <c r="U141" s="1"/>
  <c r="R167"/>
  <c r="S167" s="1"/>
  <c r="U167" s="1"/>
  <c r="R489"/>
  <c r="S489" s="1"/>
  <c r="U489" s="1"/>
  <c r="R389"/>
  <c r="S389" s="1"/>
  <c r="R381"/>
  <c r="S381" s="1"/>
  <c r="U381" s="1"/>
  <c r="R24"/>
  <c r="S24" s="1"/>
  <c r="U24" s="1"/>
  <c r="R158"/>
  <c r="S158" s="1"/>
  <c r="R294"/>
  <c r="S294" s="1"/>
  <c r="U294" s="1"/>
  <c r="R87"/>
  <c r="S87" s="1"/>
  <c r="U87" s="1"/>
  <c r="R183"/>
  <c r="S183" s="1"/>
  <c r="U183" s="1"/>
  <c r="R527"/>
  <c r="S527" s="1"/>
  <c r="R422"/>
  <c r="S422" s="1"/>
  <c r="U422" s="1"/>
  <c r="R164"/>
  <c r="S164" s="1"/>
  <c r="U164" s="1"/>
  <c r="R437"/>
  <c r="S437" s="1"/>
  <c r="R242"/>
  <c r="S242" s="1"/>
  <c r="U242" s="1"/>
  <c r="R115"/>
  <c r="S115" s="1"/>
  <c r="U115" s="1"/>
  <c r="R353"/>
  <c r="S353" s="1"/>
  <c r="U353" s="1"/>
  <c r="R39"/>
  <c r="S39" s="1"/>
  <c r="U39" s="1"/>
  <c r="S168"/>
  <c r="R45"/>
  <c r="S45" s="1"/>
  <c r="U45" s="1"/>
  <c r="S295"/>
  <c r="U295" s="1"/>
  <c r="R491"/>
  <c r="S491" s="1"/>
  <c r="U491" s="1"/>
  <c r="R93"/>
  <c r="S93" s="1"/>
  <c r="U93" s="1"/>
  <c r="R190"/>
  <c r="S190" s="1"/>
  <c r="U190" s="1"/>
  <c r="R213"/>
  <c r="S213" s="1"/>
  <c r="R402"/>
  <c r="S402" s="1"/>
  <c r="R182"/>
  <c r="S182" s="1"/>
  <c r="U182" s="1"/>
  <c r="R241"/>
  <c r="S241" s="1"/>
  <c r="R142"/>
  <c r="S142" s="1"/>
  <c r="U142" s="1"/>
  <c r="R85"/>
  <c r="S85" s="1"/>
  <c r="R52"/>
  <c r="S52" s="1"/>
  <c r="U52" s="1"/>
  <c r="R465"/>
  <c r="S465" s="1"/>
  <c r="R459"/>
  <c r="S459" s="1"/>
  <c r="U459" s="1"/>
  <c r="R131"/>
  <c r="S131" s="1"/>
  <c r="U131" s="1"/>
  <c r="R217"/>
  <c r="S217" s="1"/>
  <c r="U217" s="1"/>
  <c r="R38"/>
  <c r="S38" s="1"/>
  <c r="U38" s="1"/>
  <c r="R62"/>
  <c r="S62" s="1"/>
  <c r="S528"/>
  <c r="R18"/>
  <c r="S18" s="1"/>
  <c r="R307"/>
  <c r="S307" s="1"/>
  <c r="R50"/>
  <c r="S50" s="1"/>
  <c r="U50" s="1"/>
  <c r="R507"/>
  <c r="S507" s="1"/>
  <c r="R343"/>
  <c r="S343" s="1"/>
  <c r="R194"/>
  <c r="S194" s="1"/>
  <c r="U194" s="1"/>
  <c r="R425"/>
  <c r="S425" s="1"/>
  <c r="U425" s="1"/>
  <c r="R363"/>
  <c r="S363" s="1"/>
  <c r="U363" s="1"/>
  <c r="R482"/>
  <c r="S482" s="1"/>
  <c r="S69"/>
  <c r="R157"/>
  <c r="S157" s="1"/>
  <c r="R393"/>
  <c r="S393" s="1"/>
  <c r="U393" s="1"/>
  <c r="R525"/>
  <c r="S525" s="1"/>
  <c r="U525" s="1"/>
  <c r="R126"/>
  <c r="S126" s="1"/>
  <c r="U126" s="1"/>
  <c r="R163"/>
  <c r="S163" s="1"/>
  <c r="U163" s="1"/>
  <c r="R220"/>
  <c r="S220" s="1"/>
  <c r="U220" s="1"/>
  <c r="R445"/>
  <c r="S445" s="1"/>
  <c r="U445" s="1"/>
  <c r="R23"/>
  <c r="S23" s="1"/>
  <c r="U23" s="1"/>
  <c r="R438"/>
  <c r="S438" s="1"/>
  <c r="U438" s="1"/>
  <c r="R276"/>
  <c r="S276" s="1"/>
  <c r="R128"/>
  <c r="S128" s="1"/>
  <c r="U128" s="1"/>
  <c r="R34"/>
  <c r="S34" s="1"/>
  <c r="R162"/>
  <c r="S162" s="1"/>
  <c r="U162" s="1"/>
  <c r="R103"/>
  <c r="S103" s="1"/>
  <c r="R448"/>
  <c r="S448" s="1"/>
  <c r="R395"/>
  <c r="S395" s="1"/>
  <c r="U395" s="1"/>
  <c r="R483"/>
  <c r="S483" s="1"/>
  <c r="U483" s="1"/>
  <c r="R468"/>
  <c r="S468" s="1"/>
  <c r="R225"/>
  <c r="S225" s="1"/>
  <c r="R521"/>
  <c r="S521" s="1"/>
  <c r="R199"/>
  <c r="S199" s="1"/>
  <c r="R329"/>
  <c r="S329" s="1"/>
  <c r="R296"/>
  <c r="S296" s="1"/>
  <c r="U296" s="1"/>
  <c r="R398"/>
  <c r="S398" s="1"/>
  <c r="U398" s="1"/>
  <c r="R423"/>
  <c r="S423" s="1"/>
  <c r="U423" s="1"/>
  <c r="R73"/>
  <c r="S73" s="1"/>
  <c r="R192"/>
  <c r="S192" s="1"/>
  <c r="R41"/>
  <c r="S41" s="1"/>
  <c r="R487"/>
  <c r="S487" s="1"/>
  <c r="U487" s="1"/>
  <c r="R488"/>
  <c r="S488" s="1"/>
  <c r="U488" s="1"/>
  <c r="R364"/>
  <c r="S364" s="1"/>
  <c r="U364" s="1"/>
  <c r="R140"/>
  <c r="S140" s="1"/>
  <c r="R127"/>
  <c r="S127" s="1"/>
  <c r="R254"/>
  <c r="S254" s="1"/>
  <c r="U254" s="1"/>
  <c r="R421"/>
  <c r="S421" s="1"/>
  <c r="R248"/>
  <c r="S248" s="1"/>
  <c r="R419"/>
  <c r="S419" s="1"/>
  <c r="R251"/>
  <c r="S251" s="1"/>
  <c r="R125"/>
  <c r="S125" s="1"/>
  <c r="R477"/>
  <c r="S477" s="1"/>
  <c r="R227"/>
  <c r="S227" s="1"/>
  <c r="R474"/>
  <c r="S474" s="1"/>
  <c r="R90"/>
  <c r="S90" s="1"/>
  <c r="R226"/>
  <c r="S226" s="1"/>
  <c r="R229"/>
  <c r="S229" s="1"/>
  <c r="R58"/>
  <c r="S58" s="1"/>
  <c r="S37"/>
  <c r="R292"/>
  <c r="S292" s="1"/>
  <c r="R53"/>
  <c r="S53" s="1"/>
  <c r="R470"/>
  <c r="S470" s="1"/>
  <c r="U470" s="1"/>
  <c r="R19"/>
  <c r="S19" s="1"/>
  <c r="R214"/>
  <c r="S214" s="1"/>
  <c r="U214" s="1"/>
  <c r="S20"/>
  <c r="R500"/>
  <c r="S500" s="1"/>
  <c r="R176"/>
  <c r="S176" s="1"/>
  <c r="R337"/>
  <c r="S337" s="1"/>
  <c r="R367"/>
  <c r="S367" s="1"/>
  <c r="R461"/>
  <c r="S461" s="1"/>
  <c r="U461" s="1"/>
  <c r="R200"/>
  <c r="S200" s="1"/>
  <c r="U200" s="1"/>
  <c r="R201"/>
  <c r="S201" s="1"/>
  <c r="U201" s="1"/>
  <c r="R138"/>
  <c r="S138" s="1"/>
  <c r="U138" s="1"/>
  <c r="R478"/>
  <c r="S478" s="1"/>
  <c r="U478" s="1"/>
  <c r="R219"/>
  <c r="S219" s="1"/>
  <c r="U219" s="1"/>
  <c r="R314"/>
  <c r="S314" s="1"/>
  <c r="U314" s="1"/>
  <c r="R380"/>
  <c r="S380" s="1"/>
  <c r="U380" s="1"/>
  <c r="R406"/>
  <c r="S406" s="1"/>
  <c r="U406" s="1"/>
  <c r="R278"/>
  <c r="S278" s="1"/>
  <c r="U278" s="1"/>
  <c r="R310"/>
  <c r="S310" s="1"/>
  <c r="U310" s="1"/>
  <c r="R479"/>
  <c r="S479" s="1"/>
  <c r="U479" s="1"/>
  <c r="R429"/>
  <c r="S429" s="1"/>
  <c r="U429" s="1"/>
  <c r="R359"/>
  <c r="S359" s="1"/>
  <c r="U359" s="1"/>
  <c r="R105"/>
  <c r="S105" s="1"/>
  <c r="U105" s="1"/>
  <c r="R424"/>
  <c r="S424" s="1"/>
  <c r="U424" s="1"/>
  <c r="R321"/>
  <c r="S321" s="1"/>
  <c r="U321" s="1"/>
  <c r="R96"/>
  <c r="S96" s="1"/>
  <c r="U96" s="1"/>
  <c r="R457"/>
  <c r="S457" s="1"/>
  <c r="U457" s="1"/>
  <c r="R63"/>
  <c r="S63" s="1"/>
  <c r="U63" s="1"/>
  <c r="R139"/>
  <c r="S139" s="1"/>
  <c r="U139" s="1"/>
  <c r="R330"/>
  <c r="S330" s="1"/>
  <c r="U330" s="1"/>
  <c r="R360"/>
  <c r="S360" s="1"/>
  <c r="U360" s="1"/>
  <c r="R526"/>
  <c r="S526" s="1"/>
  <c r="U526" s="1"/>
  <c r="R352"/>
  <c r="S352" s="1"/>
  <c r="U352" s="1"/>
  <c r="R255"/>
  <c r="S255" s="1"/>
  <c r="U255" s="1"/>
  <c r="R313"/>
  <c r="S313" s="1"/>
  <c r="U313" s="1"/>
  <c r="R318"/>
  <c r="S318" s="1"/>
  <c r="U318" s="1"/>
  <c r="R443"/>
  <c r="S443" s="1"/>
  <c r="U443" s="1"/>
  <c r="R486"/>
  <c r="S486" s="1"/>
  <c r="U486" s="1"/>
  <c r="R99"/>
  <c r="S99" s="1"/>
  <c r="U99" s="1"/>
  <c r="R345"/>
  <c r="S345" s="1"/>
  <c r="U345" s="1"/>
  <c r="R216"/>
  <c r="S216" s="1"/>
  <c r="U216" s="1"/>
  <c r="S218"/>
  <c r="U218" s="1"/>
  <c r="R101"/>
  <c r="S101" s="1"/>
  <c r="U101" s="1"/>
  <c r="R285"/>
  <c r="S285" s="1"/>
  <c r="U285" s="1"/>
  <c r="R100"/>
  <c r="S100" s="1"/>
  <c r="U100" s="1"/>
  <c r="R311"/>
  <c r="S311" s="1"/>
  <c r="U311" s="1"/>
  <c r="R323"/>
  <c r="S323" s="1"/>
  <c r="U323" s="1"/>
  <c r="R120"/>
  <c r="S120" s="1"/>
  <c r="U120" s="1"/>
  <c r="R116"/>
  <c r="S116" s="1"/>
  <c r="U116" s="1"/>
  <c r="R466"/>
  <c r="S466" s="1"/>
  <c r="U466" s="1"/>
  <c r="R179"/>
  <c r="S179" s="1"/>
  <c r="U179" s="1"/>
  <c r="S467"/>
  <c r="U467" s="1"/>
  <c r="R399"/>
  <c r="S399" s="1"/>
  <c r="R273"/>
  <c r="S273" s="1"/>
  <c r="R400"/>
  <c r="S400" s="1"/>
  <c r="R368"/>
  <c r="S368" s="1"/>
  <c r="S174"/>
  <c r="U174" s="1"/>
  <c r="R513"/>
  <c r="S513" s="1"/>
  <c r="U513" s="1"/>
  <c r="R331"/>
  <c r="S331" s="1"/>
  <c r="U331" s="1"/>
  <c r="S27"/>
  <c r="U27" s="1"/>
  <c r="R132"/>
  <c r="S132" s="1"/>
  <c r="U132" s="1"/>
  <c r="R434"/>
  <c r="S434" s="1"/>
  <c r="U434" s="1"/>
  <c r="R244"/>
  <c r="S244" s="1"/>
  <c r="U244" s="1"/>
  <c r="R274"/>
  <c r="S274" s="1"/>
  <c r="U274" s="1"/>
  <c r="R497"/>
  <c r="S497" s="1"/>
  <c r="R240"/>
  <c r="S240" s="1"/>
  <c r="R394"/>
  <c r="S394" s="1"/>
  <c r="U394" s="1"/>
  <c r="R481"/>
  <c r="S481" s="1"/>
  <c r="U481" s="1"/>
  <c r="R193"/>
  <c r="S193" s="1"/>
  <c r="U193" s="1"/>
  <c r="R237"/>
  <c r="S237" s="1"/>
  <c r="U237" s="1"/>
  <c r="S31"/>
  <c r="U31" s="1"/>
  <c r="R224"/>
  <c r="S224" s="1"/>
  <c r="U224" s="1"/>
  <c r="R426"/>
  <c r="S426" s="1"/>
  <c r="U426" s="1"/>
  <c r="R169"/>
  <c r="S169" s="1"/>
  <c r="U169" s="1"/>
  <c r="R42"/>
  <c r="S42" s="1"/>
  <c r="U42" s="1"/>
  <c r="R415"/>
  <c r="S415" s="1"/>
  <c r="U415" s="1"/>
  <c r="R269"/>
  <c r="S269" s="1"/>
  <c r="U269" s="1"/>
  <c r="R72"/>
  <c r="S72" s="1"/>
  <c r="U72" s="1"/>
  <c r="R231"/>
  <c r="S231" s="1"/>
  <c r="U231" s="1"/>
  <c r="S235"/>
  <c r="U235" s="1"/>
  <c r="R89"/>
  <c r="S89" s="1"/>
  <c r="U89" s="1"/>
  <c r="R283"/>
  <c r="S283" s="1"/>
  <c r="U283" s="1"/>
  <c r="R413"/>
  <c r="S413" s="1"/>
  <c r="U413" s="1"/>
  <c r="R130"/>
  <c r="S130" s="1"/>
  <c r="U130" s="1"/>
  <c r="R228"/>
  <c r="S228" s="1"/>
  <c r="U228" s="1"/>
  <c r="R472"/>
  <c r="S472" s="1"/>
  <c r="U472" s="1"/>
  <c r="R258"/>
  <c r="S258" s="1"/>
  <c r="U258" s="1"/>
  <c r="R444"/>
  <c r="S444" s="1"/>
  <c r="U444" s="1"/>
  <c r="R317"/>
  <c r="S317" s="1"/>
  <c r="U317" s="1"/>
  <c r="R315"/>
  <c r="S315" s="1"/>
  <c r="U315" s="1"/>
  <c r="R243"/>
  <c r="S243" s="1"/>
  <c r="U243" s="1"/>
  <c r="R210"/>
  <c r="S210" s="1"/>
  <c r="U210" s="1"/>
  <c r="R336"/>
  <c r="S336" s="1"/>
  <c r="R143"/>
  <c r="S143" s="1"/>
  <c r="R207"/>
  <c r="S207" s="1"/>
  <c r="R48"/>
  <c r="S48" s="1"/>
  <c r="R177"/>
  <c r="S177" s="1"/>
  <c r="V61"/>
  <c r="T61"/>
  <c r="R386"/>
  <c r="S386" s="1"/>
  <c r="U386" s="1"/>
  <c r="R463"/>
  <c r="S463" s="1"/>
  <c r="R401"/>
  <c r="S401" s="1"/>
  <c r="R233"/>
  <c r="S233" s="1"/>
  <c r="U233" s="1"/>
  <c r="R428"/>
  <c r="S428" s="1"/>
  <c r="U428" s="1"/>
  <c r="R32"/>
  <c r="S32" s="1"/>
  <c r="U32" s="1"/>
  <c r="S104"/>
  <c r="U104" s="1"/>
  <c r="R366"/>
  <c r="S366" s="1"/>
  <c r="U366" s="1"/>
  <c r="R511"/>
  <c r="S511" s="1"/>
  <c r="U511" s="1"/>
  <c r="R77"/>
  <c r="S77" s="1"/>
  <c r="U77" s="1"/>
  <c r="R365"/>
  <c r="S365" s="1"/>
  <c r="U365" s="1"/>
  <c r="R391"/>
  <c r="S391" s="1"/>
  <c r="U391" s="1"/>
  <c r="R439"/>
  <c r="S439" s="1"/>
  <c r="U439" s="1"/>
  <c r="S344"/>
  <c r="U344" s="1"/>
  <c r="R261"/>
  <c r="S261" s="1"/>
  <c r="U261" s="1"/>
  <c r="R453"/>
  <c r="S453" s="1"/>
  <c r="U453" s="1"/>
  <c r="R198"/>
  <c r="S198" s="1"/>
  <c r="U198" s="1"/>
  <c r="R471"/>
  <c r="S471" s="1"/>
  <c r="U471" s="1"/>
  <c r="R291"/>
  <c r="S291" s="1"/>
  <c r="U291" s="1"/>
  <c r="R253"/>
  <c r="S253" s="1"/>
  <c r="U253" s="1"/>
  <c r="R260"/>
  <c r="S260" s="1"/>
  <c r="U260" s="1"/>
  <c r="S408"/>
  <c r="U408" s="1"/>
  <c r="S501"/>
  <c r="U501" s="1"/>
  <c r="R373"/>
  <c r="S373" s="1"/>
  <c r="U373" s="1"/>
  <c r="R499"/>
  <c r="S499" s="1"/>
  <c r="U499" s="1"/>
  <c r="R372"/>
  <c r="S372" s="1"/>
  <c r="U372" s="1"/>
  <c r="R209"/>
  <c r="S209" s="1"/>
  <c r="R144"/>
  <c r="S144" s="1"/>
  <c r="R464"/>
  <c r="S464" s="1"/>
  <c r="R298"/>
  <c r="S298" s="1"/>
  <c r="U298" s="1"/>
  <c r="R64"/>
  <c r="S64" s="1"/>
  <c r="U64" s="1"/>
  <c r="R102"/>
  <c r="S102" s="1"/>
  <c r="U102" s="1"/>
  <c r="R175"/>
  <c r="S175" s="1"/>
  <c r="R529"/>
  <c r="S529" s="1"/>
  <c r="R431"/>
  <c r="S431" s="1"/>
  <c r="R385"/>
  <c r="S385" s="1"/>
  <c r="U385" s="1"/>
  <c r="R520"/>
  <c r="S520" s="1"/>
  <c r="U520" s="1"/>
  <c r="R300"/>
  <c r="S300" s="1"/>
  <c r="U300" s="1"/>
  <c r="R76"/>
  <c r="S76" s="1"/>
  <c r="U76" s="1"/>
  <c r="R238"/>
  <c r="S238" s="1"/>
  <c r="U238" s="1"/>
  <c r="R78"/>
  <c r="S78" s="1"/>
  <c r="U78" s="1"/>
  <c r="R384"/>
  <c r="S384" s="1"/>
  <c r="U384" s="1"/>
  <c r="R266"/>
  <c r="S266" s="1"/>
  <c r="U266" s="1"/>
  <c r="R203"/>
  <c r="S203" s="1"/>
  <c r="U203" s="1"/>
  <c r="R136"/>
  <c r="S136" s="1"/>
  <c r="U136" s="1"/>
  <c r="R232"/>
  <c r="S232" s="1"/>
  <c r="U232" s="1"/>
  <c r="R249"/>
  <c r="S249" s="1"/>
  <c r="U249" s="1"/>
  <c r="R222"/>
  <c r="S222" s="1"/>
  <c r="U222" s="1"/>
  <c r="R504"/>
  <c r="S504" s="1"/>
  <c r="U504" s="1"/>
  <c r="R155"/>
  <c r="S155" s="1"/>
  <c r="U155" s="1"/>
  <c r="R412"/>
  <c r="S412" s="1"/>
  <c r="U412" s="1"/>
  <c r="R282"/>
  <c r="S282" s="1"/>
  <c r="U282" s="1"/>
  <c r="R184"/>
  <c r="S184" s="1"/>
  <c r="U184" s="1"/>
  <c r="R154"/>
  <c r="S154" s="1"/>
  <c r="U154" s="1"/>
  <c r="R67"/>
  <c r="S67" s="1"/>
  <c r="U67" s="1"/>
  <c r="R30"/>
  <c r="S30" s="1"/>
  <c r="U30" s="1"/>
  <c r="R452"/>
  <c r="S452" s="1"/>
  <c r="U452" s="1"/>
  <c r="R121"/>
  <c r="S121" s="1"/>
  <c r="U121" s="1"/>
  <c r="R259"/>
  <c r="S259" s="1"/>
  <c r="U259" s="1"/>
  <c r="R485"/>
  <c r="S485" s="1"/>
  <c r="U485" s="1"/>
  <c r="R473"/>
  <c r="S473" s="1"/>
  <c r="U473" s="1"/>
  <c r="R322"/>
  <c r="S322" s="1"/>
  <c r="U322" s="1"/>
  <c r="R347"/>
  <c r="S347" s="1"/>
  <c r="U347" s="1"/>
  <c r="R306"/>
  <c r="S306" s="1"/>
  <c r="U306" s="1"/>
  <c r="R84"/>
  <c r="S84" s="1"/>
  <c r="U84" s="1"/>
  <c r="R149"/>
  <c r="S149" s="1"/>
  <c r="U149" s="1"/>
  <c r="R275"/>
  <c r="S275" s="1"/>
  <c r="U275" s="1"/>
  <c r="S494"/>
  <c r="U494" s="1"/>
  <c r="R145"/>
  <c r="S145" s="1"/>
  <c r="R47"/>
  <c r="S47" s="1"/>
  <c r="R112"/>
  <c r="S112" s="1"/>
  <c r="R335"/>
  <c r="S335" s="1"/>
  <c r="R432"/>
  <c r="S432" s="1"/>
  <c r="R80"/>
  <c r="S80" s="1"/>
  <c r="R49"/>
  <c r="S49" s="1"/>
  <c r="T107" l="1"/>
  <c r="T309"/>
  <c r="T181"/>
  <c r="T236"/>
  <c r="T70"/>
  <c r="J540"/>
  <c r="U234"/>
  <c r="V234" s="1"/>
  <c r="T175"/>
  <c r="U175"/>
  <c r="V175" s="1"/>
  <c r="U400"/>
  <c r="V400" s="1"/>
  <c r="T69"/>
  <c r="U69"/>
  <c r="V69" s="1"/>
  <c r="T389"/>
  <c r="U389"/>
  <c r="V389" s="1"/>
  <c r="U446"/>
  <c r="V446" s="1"/>
  <c r="U112"/>
  <c r="V112" s="1"/>
  <c r="T464"/>
  <c r="U464"/>
  <c r="V464" s="1"/>
  <c r="T500"/>
  <c r="U500"/>
  <c r="V500" s="1"/>
  <c r="U293"/>
  <c r="V293" s="1"/>
  <c r="U435"/>
  <c r="V435" s="1"/>
  <c r="U123"/>
  <c r="V123" s="1"/>
  <c r="T519"/>
  <c r="U519"/>
  <c r="V519" s="1"/>
  <c r="T46"/>
  <c r="U46"/>
  <c r="V46" s="1"/>
  <c r="T414"/>
  <c r="U414"/>
  <c r="V414" s="1"/>
  <c r="T188"/>
  <c r="U188"/>
  <c r="V188" s="1"/>
  <c r="T49"/>
  <c r="U49"/>
  <c r="V49" s="1"/>
  <c r="U73"/>
  <c r="V73" s="1"/>
  <c r="U145"/>
  <c r="V145" s="1"/>
  <c r="U209"/>
  <c r="V209" s="1"/>
  <c r="U177"/>
  <c r="V177" s="1"/>
  <c r="U240"/>
  <c r="V240" s="1"/>
  <c r="T273"/>
  <c r="U273"/>
  <c r="V273" s="1"/>
  <c r="U226"/>
  <c r="V226" s="1"/>
  <c r="U248"/>
  <c r="V248" s="1"/>
  <c r="T41"/>
  <c r="U41"/>
  <c r="V41" s="1"/>
  <c r="U199"/>
  <c r="V199" s="1"/>
  <c r="U448"/>
  <c r="V448" s="1"/>
  <c r="U411"/>
  <c r="V411" s="1"/>
  <c r="U507"/>
  <c r="V507" s="1"/>
  <c r="U402"/>
  <c r="V402" s="1"/>
  <c r="T527"/>
  <c r="U527"/>
  <c r="V527" s="1"/>
  <c r="T379"/>
  <c r="U379"/>
  <c r="V379" s="1"/>
  <c r="U196"/>
  <c r="V196" s="1"/>
  <c r="T502"/>
  <c r="U502"/>
  <c r="V502" s="1"/>
  <c r="U305"/>
  <c r="V305" s="1"/>
  <c r="T189"/>
  <c r="U189"/>
  <c r="V189" s="1"/>
  <c r="T40"/>
  <c r="U40"/>
  <c r="V40" s="1"/>
  <c r="U506"/>
  <c r="V506" s="1"/>
  <c r="U281"/>
  <c r="V281" s="1"/>
  <c r="T81"/>
  <c r="U81"/>
  <c r="V81" s="1"/>
  <c r="T26"/>
  <c r="U26"/>
  <c r="V26" s="1"/>
  <c r="U503"/>
  <c r="V503" s="1"/>
  <c r="U288"/>
  <c r="V288" s="1"/>
  <c r="U455"/>
  <c r="V455" s="1"/>
  <c r="T229"/>
  <c r="U229"/>
  <c r="V229" s="1"/>
  <c r="U329"/>
  <c r="V329" s="1"/>
  <c r="T95"/>
  <c r="U95"/>
  <c r="V95" s="1"/>
  <c r="U91"/>
  <c r="V91" s="1"/>
  <c r="T44"/>
  <c r="U44"/>
  <c r="V44" s="1"/>
  <c r="U122"/>
  <c r="V122" s="1"/>
  <c r="T251"/>
  <c r="U251"/>
  <c r="V251" s="1"/>
  <c r="U157"/>
  <c r="V157" s="1"/>
  <c r="T211"/>
  <c r="U211"/>
  <c r="V211" s="1"/>
  <c r="T496"/>
  <c r="U496"/>
  <c r="V496" s="1"/>
  <c r="U284"/>
  <c r="V284" s="1"/>
  <c r="T134"/>
  <c r="U134"/>
  <c r="V134" s="1"/>
  <c r="T431"/>
  <c r="U431"/>
  <c r="V431" s="1"/>
  <c r="T176"/>
  <c r="U176"/>
  <c r="V176" s="1"/>
  <c r="U37"/>
  <c r="V37" s="1"/>
  <c r="T125"/>
  <c r="U125"/>
  <c r="V125" s="1"/>
  <c r="T276"/>
  <c r="U276"/>
  <c r="V276" s="1"/>
  <c r="T476"/>
  <c r="U476"/>
  <c r="V476" s="1"/>
  <c r="T62"/>
  <c r="U62"/>
  <c r="V62" s="1"/>
  <c r="U111"/>
  <c r="V111" s="1"/>
  <c r="U83"/>
  <c r="V83" s="1"/>
  <c r="U475"/>
  <c r="V475" s="1"/>
  <c r="T357"/>
  <c r="U357"/>
  <c r="V357" s="1"/>
  <c r="T75"/>
  <c r="U75"/>
  <c r="V75" s="1"/>
  <c r="U327"/>
  <c r="V327" s="1"/>
  <c r="U113"/>
  <c r="V113" s="1"/>
  <c r="U239"/>
  <c r="V239" s="1"/>
  <c r="T433"/>
  <c r="U433"/>
  <c r="V433" s="1"/>
  <c r="U432"/>
  <c r="V432" s="1"/>
  <c r="U336"/>
  <c r="V336" s="1"/>
  <c r="T337"/>
  <c r="U337"/>
  <c r="V337" s="1"/>
  <c r="U292"/>
  <c r="V292" s="1"/>
  <c r="U477"/>
  <c r="V477" s="1"/>
  <c r="U140"/>
  <c r="V140" s="1"/>
  <c r="U468"/>
  <c r="V468" s="1"/>
  <c r="U528"/>
  <c r="V528" s="1"/>
  <c r="T85"/>
  <c r="U85"/>
  <c r="V85" s="1"/>
  <c r="U437"/>
  <c r="V437" s="1"/>
  <c r="T158"/>
  <c r="U158"/>
  <c r="V158" s="1"/>
  <c r="U117"/>
  <c r="V117" s="1"/>
  <c r="T187"/>
  <c r="U187"/>
  <c r="V187" s="1"/>
  <c r="T326"/>
  <c r="U326"/>
  <c r="V326" s="1"/>
  <c r="T286"/>
  <c r="U286"/>
  <c r="V286" s="1"/>
  <c r="U60"/>
  <c r="V60" s="1"/>
  <c r="U417"/>
  <c r="V417" s="1"/>
  <c r="T508"/>
  <c r="U508"/>
  <c r="V508" s="1"/>
  <c r="U440"/>
  <c r="V440" s="1"/>
  <c r="U212"/>
  <c r="V212" s="1"/>
  <c r="U279"/>
  <c r="V279" s="1"/>
  <c r="U348"/>
  <c r="V348" s="1"/>
  <c r="T328"/>
  <c r="U328"/>
  <c r="V328" s="1"/>
  <c r="T272"/>
  <c r="U272"/>
  <c r="V272" s="1"/>
  <c r="T47"/>
  <c r="U47"/>
  <c r="V47" s="1"/>
  <c r="U144"/>
  <c r="V144" s="1"/>
  <c r="U20"/>
  <c r="V20" s="1"/>
  <c r="T343"/>
  <c r="U343"/>
  <c r="V343" s="1"/>
  <c r="T168"/>
  <c r="U168"/>
  <c r="V168" s="1"/>
  <c r="T51"/>
  <c r="U51"/>
  <c r="V51" s="1"/>
  <c r="T449"/>
  <c r="U449"/>
  <c r="V449" s="1"/>
  <c r="U304"/>
  <c r="V304" s="1"/>
  <c r="U387"/>
  <c r="V387" s="1"/>
  <c r="U450"/>
  <c r="V450" s="1"/>
  <c r="U529"/>
  <c r="V529" s="1"/>
  <c r="T368"/>
  <c r="U368"/>
  <c r="V368" s="1"/>
  <c r="U58"/>
  <c r="V58" s="1"/>
  <c r="T29"/>
  <c r="U29"/>
  <c r="V29" s="1"/>
  <c r="U25"/>
  <c r="V25" s="1"/>
  <c r="U53"/>
  <c r="V53" s="1"/>
  <c r="U127"/>
  <c r="V127" s="1"/>
  <c r="U34"/>
  <c r="V34" s="1"/>
  <c r="U493"/>
  <c r="V493" s="1"/>
  <c r="U403"/>
  <c r="V403" s="1"/>
  <c r="U418"/>
  <c r="V418" s="1"/>
  <c r="U36"/>
  <c r="V36" s="1"/>
  <c r="U207"/>
  <c r="V207" s="1"/>
  <c r="T474"/>
  <c r="U474"/>
  <c r="V474" s="1"/>
  <c r="T307"/>
  <c r="U307"/>
  <c r="V307" s="1"/>
  <c r="T419"/>
  <c r="U419"/>
  <c r="V419" s="1"/>
  <c r="U170"/>
  <c r="V170" s="1"/>
  <c r="U460"/>
  <c r="V460" s="1"/>
  <c r="T290"/>
  <c r="U290"/>
  <c r="V290" s="1"/>
  <c r="T334"/>
  <c r="U334"/>
  <c r="V334" s="1"/>
  <c r="U510"/>
  <c r="V510" s="1"/>
  <c r="U241"/>
  <c r="V241" s="1"/>
  <c r="U319"/>
  <c r="V319" s="1"/>
  <c r="T287"/>
  <c r="U287"/>
  <c r="V287" s="1"/>
  <c r="U427"/>
  <c r="V427" s="1"/>
  <c r="U335"/>
  <c r="V335" s="1"/>
  <c r="U80"/>
  <c r="V80" s="1"/>
  <c r="U463"/>
  <c r="V463" s="1"/>
  <c r="T143"/>
  <c r="U143"/>
  <c r="V143" s="1"/>
  <c r="U367"/>
  <c r="V367" s="1"/>
  <c r="U227"/>
  <c r="V227" s="1"/>
  <c r="U301"/>
  <c r="V301" s="1"/>
  <c r="U129"/>
  <c r="V129" s="1"/>
  <c r="T404"/>
  <c r="U404"/>
  <c r="V404" s="1"/>
  <c r="U98"/>
  <c r="V98" s="1"/>
  <c r="U495"/>
  <c r="V495" s="1"/>
  <c r="U401"/>
  <c r="V401" s="1"/>
  <c r="U225"/>
  <c r="V225" s="1"/>
  <c r="U465"/>
  <c r="V465" s="1"/>
  <c r="T469"/>
  <c r="U469"/>
  <c r="V469" s="1"/>
  <c r="U392"/>
  <c r="V392" s="1"/>
  <c r="U339"/>
  <c r="V339" s="1"/>
  <c r="T517"/>
  <c r="U517"/>
  <c r="V517" s="1"/>
  <c r="U436"/>
  <c r="V436" s="1"/>
  <c r="U178"/>
  <c r="V178" s="1"/>
  <c r="T350"/>
  <c r="U350"/>
  <c r="V350" s="1"/>
  <c r="T514"/>
  <c r="U514"/>
  <c r="V514" s="1"/>
  <c r="T356"/>
  <c r="U356"/>
  <c r="V356" s="1"/>
  <c r="T332"/>
  <c r="U332"/>
  <c r="V332" s="1"/>
  <c r="U48"/>
  <c r="V48" s="1"/>
  <c r="U497"/>
  <c r="V497" s="1"/>
  <c r="T399"/>
  <c r="U399"/>
  <c r="V399" s="1"/>
  <c r="U19"/>
  <c r="V19" s="1"/>
  <c r="T90"/>
  <c r="U90"/>
  <c r="V90" s="1"/>
  <c r="U421"/>
  <c r="V421" s="1"/>
  <c r="U192"/>
  <c r="V192" s="1"/>
  <c r="U521"/>
  <c r="V521" s="1"/>
  <c r="U103"/>
  <c r="V103" s="1"/>
  <c r="U482"/>
  <c r="V482" s="1"/>
  <c r="T213"/>
  <c r="U213"/>
  <c r="V213" s="1"/>
  <c r="U377"/>
  <c r="V377" s="1"/>
  <c r="T316"/>
  <c r="U316"/>
  <c r="V316" s="1"/>
  <c r="U388"/>
  <c r="V388" s="1"/>
  <c r="T172"/>
  <c r="U172"/>
  <c r="V172" s="1"/>
  <c r="U124"/>
  <c r="V124" s="1"/>
  <c r="T303"/>
  <c r="U303"/>
  <c r="V303" s="1"/>
  <c r="U396"/>
  <c r="V396" s="1"/>
  <c r="U299"/>
  <c r="V299" s="1"/>
  <c r="U165"/>
  <c r="V165" s="1"/>
  <c r="T191"/>
  <c r="U191"/>
  <c r="V191" s="1"/>
  <c r="U271"/>
  <c r="V271" s="1"/>
  <c r="U18"/>
  <c r="V18" s="1"/>
  <c r="T510"/>
  <c r="T427"/>
  <c r="T284"/>
  <c r="T304"/>
  <c r="T305"/>
  <c r="T455"/>
  <c r="T48"/>
  <c r="T327"/>
  <c r="T117"/>
  <c r="T53"/>
  <c r="T475"/>
  <c r="T369"/>
  <c r="V369"/>
  <c r="T436"/>
  <c r="T288"/>
  <c r="T299"/>
  <c r="T493"/>
  <c r="T460"/>
  <c r="T34"/>
  <c r="V208"/>
  <c r="T208"/>
  <c r="T339"/>
  <c r="T503"/>
  <c r="T103"/>
  <c r="T186"/>
  <c r="V186"/>
  <c r="T55"/>
  <c r="V55"/>
  <c r="V515"/>
  <c r="T515"/>
  <c r="T518"/>
  <c r="V518"/>
  <c r="T418"/>
  <c r="T401"/>
  <c r="T293"/>
  <c r="T421"/>
  <c r="T367"/>
  <c r="T165"/>
  <c r="T60"/>
  <c r="T435"/>
  <c r="T440"/>
  <c r="T448"/>
  <c r="T516"/>
  <c r="V516"/>
  <c r="T340"/>
  <c r="V340"/>
  <c r="T346"/>
  <c r="V346"/>
  <c r="T119"/>
  <c r="V119"/>
  <c r="T246"/>
  <c r="V246"/>
  <c r="V245"/>
  <c r="T245"/>
  <c r="V195"/>
  <c r="T195"/>
  <c r="V171"/>
  <c r="T171"/>
  <c r="T91"/>
  <c r="T387"/>
  <c r="T73"/>
  <c r="T19"/>
  <c r="T388"/>
  <c r="T157"/>
  <c r="T113"/>
  <c r="E277" i="23"/>
  <c r="C37" i="24" s="1"/>
  <c r="T25" i="33"/>
  <c r="T212"/>
  <c r="T507"/>
  <c r="T199"/>
  <c r="T403"/>
  <c r="T279"/>
  <c r="T446"/>
  <c r="T281"/>
  <c r="T477"/>
  <c r="T234"/>
  <c r="T36"/>
  <c r="T196"/>
  <c r="T18"/>
  <c r="T348"/>
  <c r="T66"/>
  <c r="V66"/>
  <c r="V438"/>
  <c r="T438"/>
  <c r="T147"/>
  <c r="V147"/>
  <c r="T241"/>
  <c r="T336"/>
  <c r="T80"/>
  <c r="T177"/>
  <c r="Z48" i="2"/>
  <c r="T239" i="33"/>
  <c r="T495"/>
  <c r="T437"/>
  <c r="T506"/>
  <c r="T329"/>
  <c r="T122"/>
  <c r="T292"/>
  <c r="T192"/>
  <c r="T396"/>
  <c r="V254"/>
  <c r="T254"/>
  <c r="V197"/>
  <c r="T197"/>
  <c r="V262"/>
  <c r="T262"/>
  <c r="T38"/>
  <c r="V38"/>
  <c r="V382"/>
  <c r="T382"/>
  <c r="V54"/>
  <c r="T54"/>
  <c r="V294"/>
  <c r="T294"/>
  <c r="T442"/>
  <c r="V442"/>
  <c r="T151"/>
  <c r="V151"/>
  <c r="T230"/>
  <c r="V230"/>
  <c r="V422"/>
  <c r="T422"/>
  <c r="V79"/>
  <c r="T79"/>
  <c r="T524"/>
  <c r="V524"/>
  <c r="T20"/>
  <c r="T124"/>
  <c r="T521"/>
  <c r="V267"/>
  <c r="T267"/>
  <c r="T111"/>
  <c r="T178"/>
  <c r="T417"/>
  <c r="T377"/>
  <c r="T140"/>
  <c r="V65"/>
  <c r="T65"/>
  <c r="T98"/>
  <c r="T392"/>
  <c r="T402"/>
  <c r="T301"/>
  <c r="T319"/>
  <c r="T83"/>
  <c r="T58"/>
  <c r="T271"/>
  <c r="T37"/>
  <c r="V182"/>
  <c r="T182"/>
  <c r="V190"/>
  <c r="T190"/>
  <c r="T126"/>
  <c r="V126"/>
  <c r="V204"/>
  <c r="T204"/>
  <c r="T423"/>
  <c r="V423"/>
  <c r="T227"/>
  <c r="T127"/>
  <c r="T497"/>
  <c r="T432"/>
  <c r="T463"/>
  <c r="T129"/>
  <c r="T468"/>
  <c r="T411"/>
  <c r="T482"/>
  <c r="T226"/>
  <c r="T248"/>
  <c r="T167"/>
  <c r="V167"/>
  <c r="T353"/>
  <c r="V353"/>
  <c r="T141"/>
  <c r="V141"/>
  <c r="V425"/>
  <c r="T425"/>
  <c r="T264"/>
  <c r="V264"/>
  <c r="T123"/>
  <c r="T465"/>
  <c r="T144"/>
  <c r="V296"/>
  <c r="T296"/>
  <c r="V39"/>
  <c r="T39"/>
  <c r="T145"/>
  <c r="T450"/>
  <c r="T528"/>
  <c r="T225"/>
  <c r="T302"/>
  <c r="V302"/>
  <c r="V295"/>
  <c r="T295"/>
  <c r="T364"/>
  <c r="V364"/>
  <c r="T170"/>
  <c r="V318"/>
  <c r="T318"/>
  <c r="T406"/>
  <c r="V406"/>
  <c r="V238"/>
  <c r="T238"/>
  <c r="V102"/>
  <c r="T102"/>
  <c r="T310"/>
  <c r="V310"/>
  <c r="V203"/>
  <c r="T203"/>
  <c r="T261"/>
  <c r="V261"/>
  <c r="V94"/>
  <c r="T94"/>
  <c r="V466"/>
  <c r="T466"/>
  <c r="V456"/>
  <c r="T456"/>
  <c r="T152"/>
  <c r="V152"/>
  <c r="V84"/>
  <c r="T84"/>
  <c r="V300"/>
  <c r="T300"/>
  <c r="T498"/>
  <c r="V498"/>
  <c r="V408"/>
  <c r="T408"/>
  <c r="V291"/>
  <c r="T291"/>
  <c r="V24"/>
  <c r="T24"/>
  <c r="V365"/>
  <c r="T365"/>
  <c r="V30"/>
  <c r="T30"/>
  <c r="T88"/>
  <c r="V88"/>
  <c r="T71"/>
  <c r="V71"/>
  <c r="V488"/>
  <c r="T488"/>
  <c r="T277"/>
  <c r="V277"/>
  <c r="T445"/>
  <c r="V445"/>
  <c r="T349"/>
  <c r="V349"/>
  <c r="V150"/>
  <c r="T150"/>
  <c r="V415"/>
  <c r="T415"/>
  <c r="T43"/>
  <c r="V43"/>
  <c r="V394"/>
  <c r="T394"/>
  <c r="T366"/>
  <c r="V366"/>
  <c r="T378"/>
  <c r="V378"/>
  <c r="V363"/>
  <c r="T363"/>
  <c r="T108"/>
  <c r="V108"/>
  <c r="T179"/>
  <c r="V179"/>
  <c r="V285"/>
  <c r="T285"/>
  <c r="T355"/>
  <c r="V355"/>
  <c r="V131"/>
  <c r="T131"/>
  <c r="T360"/>
  <c r="V360"/>
  <c r="V96"/>
  <c r="T96"/>
  <c r="T429"/>
  <c r="V429"/>
  <c r="T370"/>
  <c r="V370"/>
  <c r="V162"/>
  <c r="T162"/>
  <c r="V219"/>
  <c r="T219"/>
  <c r="V490"/>
  <c r="T490"/>
  <c r="T128"/>
  <c r="V128"/>
  <c r="T308"/>
  <c r="V308"/>
  <c r="T259"/>
  <c r="V259"/>
  <c r="T484"/>
  <c r="V484"/>
  <c r="T397"/>
  <c r="V397"/>
  <c r="T76"/>
  <c r="V76"/>
  <c r="V480"/>
  <c r="T480"/>
  <c r="V206"/>
  <c r="T206"/>
  <c r="T501"/>
  <c r="V501"/>
  <c r="T183"/>
  <c r="V183"/>
  <c r="V342"/>
  <c r="T342"/>
  <c r="T166"/>
  <c r="V166"/>
  <c r="T489"/>
  <c r="V489"/>
  <c r="V375"/>
  <c r="T375"/>
  <c r="V257"/>
  <c r="T257"/>
  <c r="T444"/>
  <c r="V444"/>
  <c r="V376"/>
  <c r="T376"/>
  <c r="T89"/>
  <c r="V89"/>
  <c r="V383"/>
  <c r="T383"/>
  <c r="V458"/>
  <c r="T458"/>
  <c r="T481"/>
  <c r="V481"/>
  <c r="V142"/>
  <c r="T142"/>
  <c r="V312"/>
  <c r="T312"/>
  <c r="T27"/>
  <c r="V27"/>
  <c r="V331"/>
  <c r="T331"/>
  <c r="V174"/>
  <c r="T174"/>
  <c r="T146"/>
  <c r="V146"/>
  <c r="V28"/>
  <c r="T28"/>
  <c r="T214"/>
  <c r="V214"/>
  <c r="T217"/>
  <c r="V217"/>
  <c r="V457"/>
  <c r="T457"/>
  <c r="T359"/>
  <c r="V359"/>
  <c r="V410"/>
  <c r="T410"/>
  <c r="V324"/>
  <c r="T324"/>
  <c r="V201"/>
  <c r="T201"/>
  <c r="V256"/>
  <c r="T256"/>
  <c r="T207"/>
  <c r="T306"/>
  <c r="V306"/>
  <c r="V232"/>
  <c r="T232"/>
  <c r="T325"/>
  <c r="V325"/>
  <c r="V486"/>
  <c r="T486"/>
  <c r="V258"/>
  <c r="T258"/>
  <c r="T42"/>
  <c r="V42"/>
  <c r="V252"/>
  <c r="T252"/>
  <c r="V159"/>
  <c r="T159"/>
  <c r="V313"/>
  <c r="T313"/>
  <c r="V509"/>
  <c r="T509"/>
  <c r="V462"/>
  <c r="T462"/>
  <c r="T93"/>
  <c r="V93"/>
  <c r="V106"/>
  <c r="T106"/>
  <c r="V86"/>
  <c r="T86"/>
  <c r="T373"/>
  <c r="V373"/>
  <c r="T59"/>
  <c r="V59"/>
  <c r="V358"/>
  <c r="T358"/>
  <c r="V320"/>
  <c r="T320"/>
  <c r="T317"/>
  <c r="V317"/>
  <c r="T470"/>
  <c r="V470"/>
  <c r="T247"/>
  <c r="V247"/>
  <c r="V269"/>
  <c r="T269"/>
  <c r="T426"/>
  <c r="V426"/>
  <c r="V512"/>
  <c r="T512"/>
  <c r="V434"/>
  <c r="T434"/>
  <c r="V483"/>
  <c r="T483"/>
  <c r="V222"/>
  <c r="T222"/>
  <c r="V467"/>
  <c r="T467"/>
  <c r="V100"/>
  <c r="T100"/>
  <c r="T345"/>
  <c r="V345"/>
  <c r="V289"/>
  <c r="T289"/>
  <c r="T454"/>
  <c r="V454"/>
  <c r="V198"/>
  <c r="T198"/>
  <c r="V82"/>
  <c r="T82"/>
  <c r="T314"/>
  <c r="V314"/>
  <c r="V492"/>
  <c r="T492"/>
  <c r="V461"/>
  <c r="T461"/>
  <c r="V149"/>
  <c r="T149"/>
  <c r="T485"/>
  <c r="V485"/>
  <c r="V184"/>
  <c r="T184"/>
  <c r="T409"/>
  <c r="V409"/>
  <c r="V416"/>
  <c r="T416"/>
  <c r="V78"/>
  <c r="T78"/>
  <c r="T487"/>
  <c r="V487"/>
  <c r="T499"/>
  <c r="V499"/>
  <c r="T260"/>
  <c r="V260"/>
  <c r="V453"/>
  <c r="T453"/>
  <c r="V160"/>
  <c r="T160"/>
  <c r="T104"/>
  <c r="V104"/>
  <c r="V21"/>
  <c r="T21"/>
  <c r="T351"/>
  <c r="V351"/>
  <c r="T526"/>
  <c r="V526"/>
  <c r="V315"/>
  <c r="T315"/>
  <c r="V472"/>
  <c r="T472"/>
  <c r="T283"/>
  <c r="V283"/>
  <c r="T72"/>
  <c r="V72"/>
  <c r="T193"/>
  <c r="V193"/>
  <c r="V244"/>
  <c r="T244"/>
  <c r="V132"/>
  <c r="T132"/>
  <c r="V333"/>
  <c r="T333"/>
  <c r="V50"/>
  <c r="T50"/>
  <c r="T311"/>
  <c r="V311"/>
  <c r="T216"/>
  <c r="V216"/>
  <c r="T443"/>
  <c r="V443"/>
  <c r="V352"/>
  <c r="T352"/>
  <c r="T361"/>
  <c r="V361"/>
  <c r="T105"/>
  <c r="V105"/>
  <c r="V114"/>
  <c r="T114"/>
  <c r="V194"/>
  <c r="T194"/>
  <c r="V138"/>
  <c r="T138"/>
  <c r="V205"/>
  <c r="T205"/>
  <c r="V452"/>
  <c r="T452"/>
  <c r="T520"/>
  <c r="V520"/>
  <c r="T268"/>
  <c r="V268"/>
  <c r="T471"/>
  <c r="V471"/>
  <c r="T386"/>
  <c r="V386"/>
  <c r="V110"/>
  <c r="T110"/>
  <c r="V441"/>
  <c r="T441"/>
  <c r="V393"/>
  <c r="T393"/>
  <c r="T56"/>
  <c r="V56"/>
  <c r="T479"/>
  <c r="V479"/>
  <c r="V200"/>
  <c r="T200"/>
  <c r="V121"/>
  <c r="T121"/>
  <c r="V45"/>
  <c r="T45"/>
  <c r="V371"/>
  <c r="T371"/>
  <c r="V74"/>
  <c r="T74"/>
  <c r="T253"/>
  <c r="V253"/>
  <c r="T391"/>
  <c r="V391"/>
  <c r="V407"/>
  <c r="T407"/>
  <c r="V275"/>
  <c r="T275"/>
  <c r="T154"/>
  <c r="V154"/>
  <c r="V491"/>
  <c r="T491"/>
  <c r="V156"/>
  <c r="T156"/>
  <c r="T185"/>
  <c r="V185"/>
  <c r="V180"/>
  <c r="T180"/>
  <c r="V265"/>
  <c r="T265"/>
  <c r="V163"/>
  <c r="T163"/>
  <c r="T525"/>
  <c r="V525"/>
  <c r="V237"/>
  <c r="T237"/>
  <c r="V338"/>
  <c r="T338"/>
  <c r="T218"/>
  <c r="V218"/>
  <c r="V263"/>
  <c r="T263"/>
  <c r="V297"/>
  <c r="T297"/>
  <c r="T135"/>
  <c r="V135"/>
  <c r="V494"/>
  <c r="T494"/>
  <c r="V322"/>
  <c r="T322"/>
  <c r="V67"/>
  <c r="T67"/>
  <c r="V412"/>
  <c r="T412"/>
  <c r="V161"/>
  <c r="T161"/>
  <c r="V266"/>
  <c r="T266"/>
  <c r="T385"/>
  <c r="V385"/>
  <c r="V280"/>
  <c r="T280"/>
  <c r="T298"/>
  <c r="V298"/>
  <c r="V115"/>
  <c r="T115"/>
  <c r="T164"/>
  <c r="V164"/>
  <c r="T344"/>
  <c r="V344"/>
  <c r="V511"/>
  <c r="T511"/>
  <c r="V233"/>
  <c r="T233"/>
  <c r="V137"/>
  <c r="T137"/>
  <c r="T243"/>
  <c r="V243"/>
  <c r="T451"/>
  <c r="V451"/>
  <c r="V130"/>
  <c r="T130"/>
  <c r="V231"/>
  <c r="T231"/>
  <c r="T169"/>
  <c r="V169"/>
  <c r="V31"/>
  <c r="T31"/>
  <c r="V274"/>
  <c r="T274"/>
  <c r="V278"/>
  <c r="T278"/>
  <c r="V97"/>
  <c r="T97"/>
  <c r="T430"/>
  <c r="V430"/>
  <c r="V120"/>
  <c r="T120"/>
  <c r="V22"/>
  <c r="T22"/>
  <c r="V92"/>
  <c r="T92"/>
  <c r="T255"/>
  <c r="V255"/>
  <c r="V139"/>
  <c r="T139"/>
  <c r="V424"/>
  <c r="T424"/>
  <c r="T133"/>
  <c r="V133"/>
  <c r="V173"/>
  <c r="T173"/>
  <c r="T400"/>
  <c r="T112"/>
  <c r="T209"/>
  <c r="T529"/>
  <c r="T240"/>
  <c r="T282"/>
  <c r="V282"/>
  <c r="T372"/>
  <c r="V372"/>
  <c r="V32"/>
  <c r="T32"/>
  <c r="V210"/>
  <c r="T210"/>
  <c r="T153"/>
  <c r="V153"/>
  <c r="T398"/>
  <c r="V398"/>
  <c r="T99"/>
  <c r="V99"/>
  <c r="V321"/>
  <c r="T321"/>
  <c r="V249"/>
  <c r="T249"/>
  <c r="T118"/>
  <c r="V118"/>
  <c r="V504"/>
  <c r="T504"/>
  <c r="V478"/>
  <c r="T478"/>
  <c r="T473"/>
  <c r="V473"/>
  <c r="T155"/>
  <c r="V155"/>
  <c r="V384"/>
  <c r="T384"/>
  <c r="T242"/>
  <c r="V242"/>
  <c r="T439"/>
  <c r="V439"/>
  <c r="T362"/>
  <c r="V362"/>
  <c r="T23"/>
  <c r="V23"/>
  <c r="T413"/>
  <c r="V413"/>
  <c r="V109"/>
  <c r="T109"/>
  <c r="V250"/>
  <c r="T250"/>
  <c r="T33"/>
  <c r="V33"/>
  <c r="V323"/>
  <c r="T323"/>
  <c r="V354"/>
  <c r="T354"/>
  <c r="T63"/>
  <c r="V63"/>
  <c r="V380"/>
  <c r="T380"/>
  <c r="T202"/>
  <c r="V202"/>
  <c r="V347"/>
  <c r="T347"/>
  <c r="V68"/>
  <c r="T68"/>
  <c r="V136"/>
  <c r="T136"/>
  <c r="T523"/>
  <c r="V523"/>
  <c r="V447"/>
  <c r="T447"/>
  <c r="T215"/>
  <c r="V215"/>
  <c r="T64"/>
  <c r="V64"/>
  <c r="V270"/>
  <c r="T270"/>
  <c r="V148"/>
  <c r="T148"/>
  <c r="T420"/>
  <c r="V420"/>
  <c r="V87"/>
  <c r="T87"/>
  <c r="T381"/>
  <c r="V381"/>
  <c r="V77"/>
  <c r="T77"/>
  <c r="V428"/>
  <c r="T428"/>
  <c r="V505"/>
  <c r="T505"/>
  <c r="V405"/>
  <c r="T405"/>
  <c r="T220"/>
  <c r="V220"/>
  <c r="V228"/>
  <c r="T228"/>
  <c r="V235"/>
  <c r="T235"/>
  <c r="T223"/>
  <c r="V223"/>
  <c r="V224"/>
  <c r="T224"/>
  <c r="V341"/>
  <c r="T341"/>
  <c r="V35"/>
  <c r="T35"/>
  <c r="T395"/>
  <c r="V395"/>
  <c r="V513"/>
  <c r="T513"/>
  <c r="T116"/>
  <c r="V116"/>
  <c r="V101"/>
  <c r="T101"/>
  <c r="T374"/>
  <c r="V374"/>
  <c r="V330"/>
  <c r="T330"/>
  <c r="V522"/>
  <c r="T522"/>
  <c r="T459"/>
  <c r="V459"/>
  <c r="V52"/>
  <c r="T52"/>
  <c r="T221"/>
  <c r="V221"/>
  <c r="V57"/>
  <c r="T57"/>
  <c r="V390"/>
  <c r="T390"/>
  <c r="T335"/>
  <c r="N538" l="1"/>
  <c r="E127" i="23" s="1"/>
  <c r="E153" s="1"/>
  <c r="E155" s="1"/>
  <c r="K541" i="33"/>
  <c r="L540"/>
  <c r="K544" s="1"/>
  <c r="V531"/>
  <c r="T531"/>
  <c r="Q2" s="1"/>
  <c r="D276" i="23" s="1"/>
  <c r="B48" i="2" s="1"/>
  <c r="K543" i="33" l="1"/>
  <c r="K546"/>
  <c r="L545"/>
  <c r="L546"/>
  <c r="L544"/>
  <c r="L543"/>
  <c r="E159" i="23"/>
  <c r="E158"/>
  <c r="E166"/>
  <c r="E66"/>
  <c r="E154"/>
  <c r="E157" s="1"/>
  <c r="E137"/>
  <c r="E143" s="1"/>
  <c r="J7" i="33"/>
  <c r="B33" i="24"/>
  <c r="D277" i="23"/>
  <c r="B37" i="24" s="1"/>
  <c r="E161" i="23" l="1"/>
  <c r="E163" s="1"/>
  <c r="K8" i="33"/>
  <c r="L13" s="1"/>
  <c r="N5"/>
  <c r="D66" i="23" s="1"/>
  <c r="E74"/>
  <c r="E160"/>
  <c r="E156"/>
  <c r="E164" s="1"/>
  <c r="E150"/>
  <c r="E142"/>
  <c r="E138"/>
  <c r="E139"/>
  <c r="L7" i="33"/>
  <c r="D74" i="23" l="1"/>
  <c r="E144"/>
  <c r="E145"/>
  <c r="K10" i="33"/>
  <c r="K13"/>
  <c r="K11"/>
  <c r="J547"/>
  <c r="E92" i="23"/>
  <c r="E98" s="1"/>
  <c r="E76"/>
  <c r="E82" s="1"/>
  <c r="E140"/>
  <c r="E148" s="1"/>
  <c r="E162"/>
  <c r="E165" s="1"/>
  <c r="E141"/>
  <c r="D127"/>
  <c r="D137" s="1"/>
  <c r="D143" s="1"/>
  <c r="L12" i="33"/>
  <c r="L11"/>
  <c r="L10"/>
  <c r="E167" i="23" l="1"/>
  <c r="M548" i="33" s="1"/>
  <c r="E97" i="23"/>
  <c r="E94"/>
  <c r="E93"/>
  <c r="E78"/>
  <c r="E105"/>
  <c r="E77"/>
  <c r="E81"/>
  <c r="E89"/>
  <c r="J14" i="33"/>
  <c r="D76" i="23"/>
  <c r="D89" s="1"/>
  <c r="D92"/>
  <c r="D98" s="1"/>
  <c r="E146"/>
  <c r="E147"/>
  <c r="D153"/>
  <c r="D159" s="1"/>
  <c r="D142"/>
  <c r="D145" s="1"/>
  <c r="D139"/>
  <c r="D150"/>
  <c r="D138"/>
  <c r="E99" l="1"/>
  <c r="E100"/>
  <c r="E83"/>
  <c r="E84"/>
  <c r="E149"/>
  <c r="E96"/>
  <c r="E95"/>
  <c r="E103" s="1"/>
  <c r="E79"/>
  <c r="D97"/>
  <c r="D78"/>
  <c r="D81"/>
  <c r="D77"/>
  <c r="D82"/>
  <c r="E80"/>
  <c r="D94"/>
  <c r="D105"/>
  <c r="D93"/>
  <c r="D140"/>
  <c r="D166"/>
  <c r="D154"/>
  <c r="D155"/>
  <c r="D141"/>
  <c r="D147" s="1"/>
  <c r="D144"/>
  <c r="D158"/>
  <c r="D161" s="1"/>
  <c r="E151" l="1"/>
  <c r="L548" i="33" s="1"/>
  <c r="E85" i="23"/>
  <c r="D99"/>
  <c r="D100"/>
  <c r="D84"/>
  <c r="E101"/>
  <c r="E102"/>
  <c r="D79"/>
  <c r="D87" s="1"/>
  <c r="D80"/>
  <c r="D83"/>
  <c r="E87"/>
  <c r="E86"/>
  <c r="D96"/>
  <c r="D95"/>
  <c r="D103" s="1"/>
  <c r="D157"/>
  <c r="D163" s="1"/>
  <c r="D160"/>
  <c r="D146"/>
  <c r="D148" s="1"/>
  <c r="D156"/>
  <c r="D164" s="1"/>
  <c r="E88" l="1"/>
  <c r="E90" s="1"/>
  <c r="L547" i="33" s="1"/>
  <c r="E104" i="23"/>
  <c r="D149"/>
  <c r="D85"/>
  <c r="D102"/>
  <c r="D86"/>
  <c r="D101"/>
  <c r="D162"/>
  <c r="D165" s="1"/>
  <c r="D167" l="1"/>
  <c r="M15" i="33" s="1"/>
  <c r="D151" i="23"/>
  <c r="L15" i="33" s="1"/>
  <c r="E106" i="23"/>
  <c r="M547" i="33" s="1"/>
  <c r="W578" s="1"/>
  <c r="X578" s="1"/>
  <c r="D88" i="23"/>
  <c r="D104"/>
  <c r="W923" i="33" l="1"/>
  <c r="X923" s="1"/>
  <c r="W749"/>
  <c r="X749" s="1"/>
  <c r="W664"/>
  <c r="X664" s="1"/>
  <c r="W1039"/>
  <c r="X1039" s="1"/>
  <c r="W591"/>
  <c r="X591" s="1"/>
  <c r="W663"/>
  <c r="X663" s="1"/>
  <c r="W1020"/>
  <c r="X1020" s="1"/>
  <c r="W951"/>
  <c r="X951" s="1"/>
  <c r="W804"/>
  <c r="X804" s="1"/>
  <c r="W879"/>
  <c r="X879" s="1"/>
  <c r="W1033"/>
  <c r="X1033" s="1"/>
  <c r="W629"/>
  <c r="X629" s="1"/>
  <c r="W813"/>
  <c r="X813" s="1"/>
  <c r="W1034"/>
  <c r="X1034" s="1"/>
  <c r="W696"/>
  <c r="X696" s="1"/>
  <c r="W942"/>
  <c r="X942" s="1"/>
  <c r="W695"/>
  <c r="X695" s="1"/>
  <c r="W754"/>
  <c r="X754" s="1"/>
  <c r="W1062"/>
  <c r="X1062" s="1"/>
  <c r="W661"/>
  <c r="X661" s="1"/>
  <c r="W1022"/>
  <c r="X1022" s="1"/>
  <c r="W727"/>
  <c r="X727" s="1"/>
  <c r="W841"/>
  <c r="X841" s="1"/>
  <c r="W1029"/>
  <c r="X1029" s="1"/>
  <c r="W873"/>
  <c r="X873" s="1"/>
  <c r="W662"/>
  <c r="X662" s="1"/>
  <c r="W995"/>
  <c r="X995" s="1"/>
  <c r="W731"/>
  <c r="X731" s="1"/>
  <c r="W738"/>
  <c r="X738" s="1"/>
  <c r="W744"/>
  <c r="X744" s="1"/>
  <c r="W752"/>
  <c r="X752" s="1"/>
  <c r="W956"/>
  <c r="X956" s="1"/>
  <c r="W757"/>
  <c r="X757" s="1"/>
  <c r="W1024"/>
  <c r="X1024" s="1"/>
  <c r="W708"/>
  <c r="X708" s="1"/>
  <c r="W869"/>
  <c r="X869" s="1"/>
  <c r="W773"/>
  <c r="X773" s="1"/>
  <c r="W1026"/>
  <c r="X1026" s="1"/>
  <c r="W790"/>
  <c r="X790" s="1"/>
  <c r="W964"/>
  <c r="X964" s="1"/>
  <c r="W962"/>
  <c r="X962" s="1"/>
  <c r="W1049"/>
  <c r="X1049" s="1"/>
  <c r="W916"/>
  <c r="X916" s="1"/>
  <c r="W805"/>
  <c r="X805" s="1"/>
  <c r="W572"/>
  <c r="X572" s="1"/>
  <c r="W871"/>
  <c r="X871" s="1"/>
  <c r="W1045"/>
  <c r="X1045" s="1"/>
  <c r="W701"/>
  <c r="X701" s="1"/>
  <c r="W945"/>
  <c r="X945" s="1"/>
  <c r="W635"/>
  <c r="X635" s="1"/>
  <c r="W760"/>
  <c r="X760" s="1"/>
  <c r="W600"/>
  <c r="X600" s="1"/>
  <c r="W1035"/>
  <c r="X1035" s="1"/>
  <c r="W692"/>
  <c r="X692" s="1"/>
  <c r="W843"/>
  <c r="X843" s="1"/>
  <c r="W592"/>
  <c r="X592" s="1"/>
  <c r="W976"/>
  <c r="X976" s="1"/>
  <c r="W868"/>
  <c r="X868" s="1"/>
  <c r="W552"/>
  <c r="X552" s="1"/>
  <c r="W887"/>
  <c r="X887" s="1"/>
  <c r="W782"/>
  <c r="X782" s="1"/>
  <c r="W990"/>
  <c r="X990" s="1"/>
  <c r="W735"/>
  <c r="X735" s="1"/>
  <c r="W654"/>
  <c r="X654" s="1"/>
  <c r="W603"/>
  <c r="X603" s="1"/>
  <c r="W799"/>
  <c r="X799" s="1"/>
  <c r="W978"/>
  <c r="X978" s="1"/>
  <c r="W958"/>
  <c r="X958" s="1"/>
  <c r="W576"/>
  <c r="X576" s="1"/>
  <c r="W554"/>
  <c r="X554" s="1"/>
  <c r="W736"/>
  <c r="X736" s="1"/>
  <c r="W966"/>
  <c r="X966" s="1"/>
  <c r="W574"/>
  <c r="X574" s="1"/>
  <c r="W862"/>
  <c r="X862" s="1"/>
  <c r="W761"/>
  <c r="X761" s="1"/>
  <c r="W906"/>
  <c r="X906" s="1"/>
  <c r="W730"/>
  <c r="X730" s="1"/>
  <c r="W1047"/>
  <c r="X1047" s="1"/>
  <c r="W893"/>
  <c r="X893" s="1"/>
  <c r="W1030"/>
  <c r="X1030" s="1"/>
  <c r="W865"/>
  <c r="X865" s="1"/>
  <c r="W763"/>
  <c r="X763" s="1"/>
  <c r="W679"/>
  <c r="X679" s="1"/>
  <c r="W864"/>
  <c r="X864" s="1"/>
  <c r="W845"/>
  <c r="X845" s="1"/>
  <c r="W619"/>
  <c r="X619" s="1"/>
  <c r="W622"/>
  <c r="X622" s="1"/>
  <c r="W886"/>
  <c r="X886" s="1"/>
  <c r="W594"/>
  <c r="X594" s="1"/>
  <c r="W965"/>
  <c r="X965" s="1"/>
  <c r="W1001"/>
  <c r="X1001" s="1"/>
  <c r="W775"/>
  <c r="X775" s="1"/>
  <c r="W599"/>
  <c r="X599" s="1"/>
  <c r="W673"/>
  <c r="X673" s="1"/>
  <c r="W719"/>
  <c r="X719" s="1"/>
  <c r="W910"/>
  <c r="X910" s="1"/>
  <c r="W659"/>
  <c r="X659" s="1"/>
  <c r="W998"/>
  <c r="X998" s="1"/>
  <c r="W834"/>
  <c r="X834" s="1"/>
  <c r="W1057"/>
  <c r="X1057" s="1"/>
  <c r="W780"/>
  <c r="X780" s="1"/>
  <c r="W784"/>
  <c r="X784" s="1"/>
  <c r="W844"/>
  <c r="X844" s="1"/>
  <c r="W764"/>
  <c r="X764" s="1"/>
  <c r="W700"/>
  <c r="X700" s="1"/>
  <c r="W697"/>
  <c r="X697" s="1"/>
  <c r="W630"/>
  <c r="X630" s="1"/>
  <c r="W812"/>
  <c r="X812" s="1"/>
  <c r="W1042"/>
  <c r="X1042" s="1"/>
  <c r="W909"/>
  <c r="X909" s="1"/>
  <c r="W1019"/>
  <c r="X1019" s="1"/>
  <c r="W573"/>
  <c r="X573" s="1"/>
  <c r="W969"/>
  <c r="X969" s="1"/>
  <c r="W921"/>
  <c r="X921" s="1"/>
  <c r="W1023"/>
  <c r="X1023" s="1"/>
  <c r="W1056"/>
  <c r="X1056" s="1"/>
  <c r="W847"/>
  <c r="X847" s="1"/>
  <c r="W932"/>
  <c r="X932" s="1"/>
  <c r="W996"/>
  <c r="X996" s="1"/>
  <c r="W949"/>
  <c r="X949" s="1"/>
  <c r="W563"/>
  <c r="X563" s="1"/>
  <c r="W1051"/>
  <c r="X1051" s="1"/>
  <c r="W698"/>
  <c r="X698" s="1"/>
  <c r="W753"/>
  <c r="X753" s="1"/>
  <c r="W689"/>
  <c r="X689" s="1"/>
  <c r="W768"/>
  <c r="X768" s="1"/>
  <c r="W613"/>
  <c r="X613" s="1"/>
  <c r="W1031"/>
  <c r="X1031" s="1"/>
  <c r="W999"/>
  <c r="X999" s="1"/>
  <c r="W992"/>
  <c r="X992" s="1"/>
  <c r="W797"/>
  <c r="X797" s="1"/>
  <c r="W878"/>
  <c r="X878" s="1"/>
  <c r="W612"/>
  <c r="X612" s="1"/>
  <c r="W867"/>
  <c r="X867" s="1"/>
  <c r="W832"/>
  <c r="X832" s="1"/>
  <c r="W715"/>
  <c r="X715" s="1"/>
  <c r="W982"/>
  <c r="X982" s="1"/>
  <c r="W826"/>
  <c r="X826" s="1"/>
  <c r="W950"/>
  <c r="X950" s="1"/>
  <c r="W1002"/>
  <c r="X1002" s="1"/>
  <c r="W931"/>
  <c r="X931" s="1"/>
  <c r="W608"/>
  <c r="X608" s="1"/>
  <c r="W751"/>
  <c r="X751" s="1"/>
  <c r="W558"/>
  <c r="X558" s="1"/>
  <c r="W929"/>
  <c r="X929" s="1"/>
  <c r="W903"/>
  <c r="X903" s="1"/>
  <c r="W571"/>
  <c r="X571" s="1"/>
  <c r="W1046"/>
  <c r="X1046" s="1"/>
  <c r="W988"/>
  <c r="X988" s="1"/>
  <c r="W707"/>
  <c r="X707" s="1"/>
  <c r="W833"/>
  <c r="X833" s="1"/>
  <c r="W778"/>
  <c r="X778" s="1"/>
  <c r="W970"/>
  <c r="X970" s="1"/>
  <c r="W756"/>
  <c r="X756" s="1"/>
  <c r="W1061"/>
  <c r="X1061" s="1"/>
  <c r="W875"/>
  <c r="X875" s="1"/>
  <c r="W647"/>
  <c r="X647" s="1"/>
  <c r="W1058"/>
  <c r="X1058" s="1"/>
  <c r="W963"/>
  <c r="X963" s="1"/>
  <c r="W855"/>
  <c r="X855" s="1"/>
  <c r="W849"/>
  <c r="X849" s="1"/>
  <c r="W985"/>
  <c r="X985" s="1"/>
  <c r="W883"/>
  <c r="X883" s="1"/>
  <c r="W597"/>
  <c r="X597" s="1"/>
  <c r="W648"/>
  <c r="X648" s="1"/>
  <c r="W880"/>
  <c r="X880" s="1"/>
  <c r="W842"/>
  <c r="X842" s="1"/>
  <c r="W848"/>
  <c r="X848" s="1"/>
  <c r="W936"/>
  <c r="X936" s="1"/>
  <c r="W762"/>
  <c r="X762" s="1"/>
  <c r="W759"/>
  <c r="X759" s="1"/>
  <c r="W984"/>
  <c r="X984" s="1"/>
  <c r="W755"/>
  <c r="X755" s="1"/>
  <c r="W628"/>
  <c r="X628" s="1"/>
  <c r="W989"/>
  <c r="X989" s="1"/>
  <c r="W861"/>
  <c r="X861" s="1"/>
  <c r="W872"/>
  <c r="X872" s="1"/>
  <c r="W946"/>
  <c r="X946" s="1"/>
  <c r="W1040"/>
  <c r="X1040" s="1"/>
  <c r="W961"/>
  <c r="X961" s="1"/>
  <c r="W1055"/>
  <c r="X1055" s="1"/>
  <c r="W1007"/>
  <c r="X1007" s="1"/>
  <c r="W655"/>
  <c r="X655" s="1"/>
  <c r="W725"/>
  <c r="X725" s="1"/>
  <c r="W924"/>
  <c r="X924" s="1"/>
  <c r="W877"/>
  <c r="X877" s="1"/>
  <c r="W787"/>
  <c r="X787" s="1"/>
  <c r="W703"/>
  <c r="X703" s="1"/>
  <c r="W991"/>
  <c r="X991" s="1"/>
  <c r="W669"/>
  <c r="X669" s="1"/>
  <c r="W1041"/>
  <c r="X1041" s="1"/>
  <c r="W750"/>
  <c r="X750" s="1"/>
  <c r="W567"/>
  <c r="X567" s="1"/>
  <c r="W839"/>
  <c r="X839" s="1"/>
  <c r="W610"/>
  <c r="X610" s="1"/>
  <c r="W624"/>
  <c r="X624" s="1"/>
  <c r="W721"/>
  <c r="X721" s="1"/>
  <c r="W918"/>
  <c r="X918" s="1"/>
  <c r="W777"/>
  <c r="X777" s="1"/>
  <c r="W562"/>
  <c r="X562" s="1"/>
  <c r="W902"/>
  <c r="X902" s="1"/>
  <c r="W772"/>
  <c r="X772" s="1"/>
  <c r="W899"/>
  <c r="X899" s="1"/>
  <c r="W781"/>
  <c r="X781" s="1"/>
  <c r="W980"/>
  <c r="X980" s="1"/>
  <c r="W789"/>
  <c r="X789" s="1"/>
  <c r="W1032"/>
  <c r="X1032" s="1"/>
  <c r="W1054"/>
  <c r="X1054" s="1"/>
  <c r="W821"/>
  <c r="X821" s="1"/>
  <c r="W565"/>
  <c r="X565" s="1"/>
  <c r="W748"/>
  <c r="X748" s="1"/>
  <c r="W720"/>
  <c r="X720" s="1"/>
  <c r="W938"/>
  <c r="X938" s="1"/>
  <c r="W809"/>
  <c r="X809" s="1"/>
  <c r="W712"/>
  <c r="X712" s="1"/>
  <c r="W952"/>
  <c r="X952" s="1"/>
  <c r="W925"/>
  <c r="X925" s="1"/>
  <c r="W623"/>
  <c r="X623" s="1"/>
  <c r="W693"/>
  <c r="X693" s="1"/>
  <c r="W895"/>
  <c r="X895" s="1"/>
  <c r="W746"/>
  <c r="X746" s="1"/>
  <c r="W973"/>
  <c r="X973" s="1"/>
  <c r="W632"/>
  <c r="X632" s="1"/>
  <c r="W859"/>
  <c r="X859" s="1"/>
  <c r="W747"/>
  <c r="X747" s="1"/>
  <c r="W765"/>
  <c r="X765" s="1"/>
  <c r="W822"/>
  <c r="X822" s="1"/>
  <c r="W1005"/>
  <c r="X1005" s="1"/>
  <c r="W1021"/>
  <c r="X1021" s="1"/>
  <c r="W723"/>
  <c r="X723" s="1"/>
  <c r="W1025"/>
  <c r="X1025" s="1"/>
  <c r="W728"/>
  <c r="X728" s="1"/>
  <c r="W783"/>
  <c r="X783" s="1"/>
  <c r="W718"/>
  <c r="X718" s="1"/>
  <c r="W922"/>
  <c r="X922" s="1"/>
  <c r="W806"/>
  <c r="X806" s="1"/>
  <c r="W815"/>
  <c r="X815" s="1"/>
  <c r="W816"/>
  <c r="X816" s="1"/>
  <c r="W930"/>
  <c r="X930" s="1"/>
  <c r="W1059"/>
  <c r="X1059" s="1"/>
  <c r="W625"/>
  <c r="X625" s="1"/>
  <c r="W890"/>
  <c r="X890" s="1"/>
  <c r="W884"/>
  <c r="X884" s="1"/>
  <c r="W651"/>
  <c r="X651" s="1"/>
  <c r="W851"/>
  <c r="X851" s="1"/>
  <c r="W1014"/>
  <c r="X1014" s="1"/>
  <c r="W786"/>
  <c r="X786" s="1"/>
  <c r="W785"/>
  <c r="X785" s="1"/>
  <c r="W598"/>
  <c r="X598" s="1"/>
  <c r="W742"/>
  <c r="X742" s="1"/>
  <c r="W650"/>
  <c r="X650" s="1"/>
  <c r="W559"/>
  <c r="X559" s="1"/>
  <c r="W577"/>
  <c r="X577" s="1"/>
  <c r="W646"/>
  <c r="X646" s="1"/>
  <c r="W617"/>
  <c r="X617" s="1"/>
  <c r="W975"/>
  <c r="X975" s="1"/>
  <c r="W643"/>
  <c r="X643" s="1"/>
  <c r="W732"/>
  <c r="X732" s="1"/>
  <c r="W830"/>
  <c r="X830" s="1"/>
  <c r="W953"/>
  <c r="X953" s="1"/>
  <c r="W1008"/>
  <c r="X1008" s="1"/>
  <c r="W568"/>
  <c r="X568" s="1"/>
  <c r="W810"/>
  <c r="X810" s="1"/>
  <c r="W852"/>
  <c r="X852" s="1"/>
  <c r="W940"/>
  <c r="X940" s="1"/>
  <c r="W716"/>
  <c r="X716" s="1"/>
  <c r="W583"/>
  <c r="X583" s="1"/>
  <c r="W926"/>
  <c r="X926" s="1"/>
  <c r="W819"/>
  <c r="X819" s="1"/>
  <c r="W711"/>
  <c r="X711" s="1"/>
  <c r="W987"/>
  <c r="X987" s="1"/>
  <c r="W681"/>
  <c r="X681" s="1"/>
  <c r="W766"/>
  <c r="X766" s="1"/>
  <c r="W633"/>
  <c r="X633" s="1"/>
  <c r="W894"/>
  <c r="X894" s="1"/>
  <c r="W580"/>
  <c r="X580" s="1"/>
  <c r="W595"/>
  <c r="X595" s="1"/>
  <c r="W694"/>
  <c r="X694" s="1"/>
  <c r="W593"/>
  <c r="X593" s="1"/>
  <c r="W1006"/>
  <c r="X1006" s="1"/>
  <c r="W955"/>
  <c r="X955" s="1"/>
  <c r="W588"/>
  <c r="X588" s="1"/>
  <c r="W581"/>
  <c r="X581" s="1"/>
  <c r="W792"/>
  <c r="X792" s="1"/>
  <c r="W683"/>
  <c r="X683" s="1"/>
  <c r="W814"/>
  <c r="X814" s="1"/>
  <c r="W977"/>
  <c r="X977" s="1"/>
  <c r="W802"/>
  <c r="X802" s="1"/>
  <c r="W587"/>
  <c r="X587" s="1"/>
  <c r="W770"/>
  <c r="X770" s="1"/>
  <c r="W640"/>
  <c r="X640" s="1"/>
  <c r="W1053"/>
  <c r="X1053" s="1"/>
  <c r="W1036"/>
  <c r="X1036" s="1"/>
  <c r="W831"/>
  <c r="X831" s="1"/>
  <c r="W609"/>
  <c r="X609" s="1"/>
  <c r="W828"/>
  <c r="X828" s="1"/>
  <c r="W808"/>
  <c r="X808" s="1"/>
  <c r="W798"/>
  <c r="X798" s="1"/>
  <c r="W607"/>
  <c r="X607" s="1"/>
  <c r="W794"/>
  <c r="X794" s="1"/>
  <c r="W1043"/>
  <c r="X1043" s="1"/>
  <c r="W853"/>
  <c r="X853" s="1"/>
  <c r="W943"/>
  <c r="X943" s="1"/>
  <c r="W667"/>
  <c r="X667" s="1"/>
  <c r="W957"/>
  <c r="X957" s="1"/>
  <c r="W769"/>
  <c r="X769" s="1"/>
  <c r="W856"/>
  <c r="X856" s="1"/>
  <c r="W627"/>
  <c r="X627" s="1"/>
  <c r="W684"/>
  <c r="X684" s="1"/>
  <c r="W1017"/>
  <c r="X1017" s="1"/>
  <c r="W666"/>
  <c r="X666" s="1"/>
  <c r="W948"/>
  <c r="X948" s="1"/>
  <c r="W675"/>
  <c r="X675" s="1"/>
  <c r="W741"/>
  <c r="X741" s="1"/>
  <c r="W807"/>
  <c r="X807" s="1"/>
  <c r="W1048"/>
  <c r="X1048" s="1"/>
  <c r="W818"/>
  <c r="X818" s="1"/>
  <c r="W983"/>
  <c r="X983" s="1"/>
  <c r="W672"/>
  <c r="X672" s="1"/>
  <c r="W702"/>
  <c r="X702" s="1"/>
  <c r="W897"/>
  <c r="X897" s="1"/>
  <c r="W892"/>
  <c r="X892" s="1"/>
  <c r="W896"/>
  <c r="X896" s="1"/>
  <c r="W642"/>
  <c r="X642" s="1"/>
  <c r="W888"/>
  <c r="X888" s="1"/>
  <c r="W740"/>
  <c r="X740" s="1"/>
  <c r="W614"/>
  <c r="X614" s="1"/>
  <c r="W570"/>
  <c r="X570" s="1"/>
  <c r="W928"/>
  <c r="X928" s="1"/>
  <c r="W688"/>
  <c r="X688" s="1"/>
  <c r="W665"/>
  <c r="X665" s="1"/>
  <c r="W776"/>
  <c r="X776" s="1"/>
  <c r="W803"/>
  <c r="X803" s="1"/>
  <c r="W637"/>
  <c r="X637" s="1"/>
  <c r="W758"/>
  <c r="X758" s="1"/>
  <c r="W553"/>
  <c r="X553" s="1"/>
  <c r="W678"/>
  <c r="X678" s="1"/>
  <c r="W889"/>
  <c r="X889" s="1"/>
  <c r="W837"/>
  <c r="X837" s="1"/>
  <c r="W739"/>
  <c r="X739" s="1"/>
  <c r="W1003"/>
  <c r="X1003" s="1"/>
  <c r="W907"/>
  <c r="X907" s="1"/>
  <c r="W823"/>
  <c r="X823" s="1"/>
  <c r="W561"/>
  <c r="X561" s="1"/>
  <c r="W835"/>
  <c r="X835" s="1"/>
  <c r="W1010"/>
  <c r="X1010" s="1"/>
  <c r="W1052"/>
  <c r="X1052" s="1"/>
  <c r="W644"/>
  <c r="X644" s="1"/>
  <c r="W656"/>
  <c r="X656" s="1"/>
  <c r="W811"/>
  <c r="X811" s="1"/>
  <c r="W1004"/>
  <c r="X1004" s="1"/>
  <c r="W636"/>
  <c r="X636" s="1"/>
  <c r="W912"/>
  <c r="X912" s="1"/>
  <c r="W939"/>
  <c r="X939" s="1"/>
  <c r="W908"/>
  <c r="X908" s="1"/>
  <c r="W585"/>
  <c r="X585" s="1"/>
  <c r="W653"/>
  <c r="X653" s="1"/>
  <c r="W638"/>
  <c r="X638" s="1"/>
  <c r="W1015"/>
  <c r="X1015" s="1"/>
  <c r="W674"/>
  <c r="X674" s="1"/>
  <c r="W933"/>
  <c r="X933" s="1"/>
  <c r="W968"/>
  <c r="X968" s="1"/>
  <c r="W1013"/>
  <c r="X1013" s="1"/>
  <c r="W1027"/>
  <c r="X1027" s="1"/>
  <c r="W676"/>
  <c r="X676" s="1"/>
  <c r="W569"/>
  <c r="X569" s="1"/>
  <c r="W1012"/>
  <c r="X1012" s="1"/>
  <c r="W705"/>
  <c r="X705" s="1"/>
  <c r="W767"/>
  <c r="X767" s="1"/>
  <c r="W1000"/>
  <c r="X1000" s="1"/>
  <c r="W556"/>
  <c r="X556" s="1"/>
  <c r="W1028"/>
  <c r="X1028" s="1"/>
  <c r="W994"/>
  <c r="X994" s="1"/>
  <c r="W652"/>
  <c r="X652" s="1"/>
  <c r="W682"/>
  <c r="X682" s="1"/>
  <c r="W870"/>
  <c r="X870" s="1"/>
  <c r="W1038"/>
  <c r="X1038" s="1"/>
  <c r="W743"/>
  <c r="X743" s="1"/>
  <c r="W657"/>
  <c r="X657" s="1"/>
  <c r="W621"/>
  <c r="X621" s="1"/>
  <c r="W857"/>
  <c r="X857" s="1"/>
  <c r="W993"/>
  <c r="X993" s="1"/>
  <c r="W1044"/>
  <c r="X1044" s="1"/>
  <c r="W791"/>
  <c r="X791" s="1"/>
  <c r="W960"/>
  <c r="X960" s="1"/>
  <c r="W566"/>
  <c r="X566" s="1"/>
  <c r="W631"/>
  <c r="X631" s="1"/>
  <c r="W710"/>
  <c r="X710" s="1"/>
  <c r="W671"/>
  <c r="X671" s="1"/>
  <c r="W596"/>
  <c r="X596" s="1"/>
  <c r="W729"/>
  <c r="X729" s="1"/>
  <c r="W854"/>
  <c r="X854" s="1"/>
  <c r="W796"/>
  <c r="X796" s="1"/>
  <c r="W618"/>
  <c r="X618" s="1"/>
  <c r="W915"/>
  <c r="X915" s="1"/>
  <c r="W846"/>
  <c r="X846" s="1"/>
  <c r="W560"/>
  <c r="X560" s="1"/>
  <c r="W882"/>
  <c r="X882" s="1"/>
  <c r="W947"/>
  <c r="X947" s="1"/>
  <c r="W649"/>
  <c r="X649" s="1"/>
  <c r="W645"/>
  <c r="X645" s="1"/>
  <c r="W717"/>
  <c r="X717" s="1"/>
  <c r="W793"/>
  <c r="X793" s="1"/>
  <c r="W817"/>
  <c r="X817" s="1"/>
  <c r="W959"/>
  <c r="X959" s="1"/>
  <c r="W860"/>
  <c r="X860" s="1"/>
  <c r="W1018"/>
  <c r="X1018" s="1"/>
  <c r="W722"/>
  <c r="X722" s="1"/>
  <c r="W557"/>
  <c r="X557" s="1"/>
  <c r="W641"/>
  <c r="X641" s="1"/>
  <c r="W579"/>
  <c r="X579" s="1"/>
  <c r="W795"/>
  <c r="X795" s="1"/>
  <c r="W771"/>
  <c r="X771" s="1"/>
  <c r="W626"/>
  <c r="X626" s="1"/>
  <c r="W616"/>
  <c r="X616" s="1"/>
  <c r="W691"/>
  <c r="X691" s="1"/>
  <c r="W825"/>
  <c r="X825" s="1"/>
  <c r="W914"/>
  <c r="X914" s="1"/>
  <c r="W620"/>
  <c r="X620" s="1"/>
  <c r="W575"/>
  <c r="X575" s="1"/>
  <c r="W779"/>
  <c r="X779" s="1"/>
  <c r="W709"/>
  <c r="X709" s="1"/>
  <c r="W974"/>
  <c r="X974" s="1"/>
  <c r="W686"/>
  <c r="X686" s="1"/>
  <c r="W972"/>
  <c r="X972" s="1"/>
  <c r="W724"/>
  <c r="X724" s="1"/>
  <c r="W840"/>
  <c r="X840" s="1"/>
  <c r="W829"/>
  <c r="X829" s="1"/>
  <c r="W704"/>
  <c r="X704" s="1"/>
  <c r="W1050"/>
  <c r="X1050" s="1"/>
  <c r="W690"/>
  <c r="X690" s="1"/>
  <c r="W905"/>
  <c r="X905" s="1"/>
  <c r="W881"/>
  <c r="X881" s="1"/>
  <c r="W901"/>
  <c r="X901" s="1"/>
  <c r="W838"/>
  <c r="X838" s="1"/>
  <c r="W677"/>
  <c r="X677" s="1"/>
  <c r="W919"/>
  <c r="X919" s="1"/>
  <c r="W967"/>
  <c r="X967" s="1"/>
  <c r="W660"/>
  <c r="X660" s="1"/>
  <c r="W941"/>
  <c r="X941" s="1"/>
  <c r="W733"/>
  <c r="X733" s="1"/>
  <c r="W670"/>
  <c r="X670" s="1"/>
  <c r="W687"/>
  <c r="X687" s="1"/>
  <c r="W891"/>
  <c r="X891" s="1"/>
  <c r="W937"/>
  <c r="X937" s="1"/>
  <c r="W800"/>
  <c r="X800" s="1"/>
  <c r="W605"/>
  <c r="X605" s="1"/>
  <c r="W824"/>
  <c r="X824" s="1"/>
  <c r="W986"/>
  <c r="X986" s="1"/>
  <c r="W900"/>
  <c r="X900" s="1"/>
  <c r="W850"/>
  <c r="X850" s="1"/>
  <c r="W611"/>
  <c r="X611" s="1"/>
  <c r="W713"/>
  <c r="X713" s="1"/>
  <c r="W863"/>
  <c r="X863" s="1"/>
  <c r="W898"/>
  <c r="X898" s="1"/>
  <c r="W714"/>
  <c r="X714" s="1"/>
  <c r="W1016"/>
  <c r="X1016" s="1"/>
  <c r="W911"/>
  <c r="X911" s="1"/>
  <c r="W944"/>
  <c r="X944" s="1"/>
  <c r="W602"/>
  <c r="X602" s="1"/>
  <c r="W917"/>
  <c r="X917" s="1"/>
  <c r="W913"/>
  <c r="X913" s="1"/>
  <c r="W737"/>
  <c r="X737" s="1"/>
  <c r="W590"/>
  <c r="X590" s="1"/>
  <c r="W920"/>
  <c r="X920" s="1"/>
  <c r="W634"/>
  <c r="X634" s="1"/>
  <c r="W954"/>
  <c r="X954" s="1"/>
  <c r="W606"/>
  <c r="X606" s="1"/>
  <c r="W668"/>
  <c r="X668" s="1"/>
  <c r="W601"/>
  <c r="X601" s="1"/>
  <c r="W584"/>
  <c r="X584" s="1"/>
  <c r="W934"/>
  <c r="X934" s="1"/>
  <c r="W726"/>
  <c r="X726" s="1"/>
  <c r="W555"/>
  <c r="X555" s="1"/>
  <c r="W788"/>
  <c r="X788" s="1"/>
  <c r="W858"/>
  <c r="X858" s="1"/>
  <c r="W1009"/>
  <c r="X1009" s="1"/>
  <c r="W639"/>
  <c r="X639" s="1"/>
  <c r="W874"/>
  <c r="X874" s="1"/>
  <c r="W1037"/>
  <c r="X1037" s="1"/>
  <c r="W564"/>
  <c r="X564" s="1"/>
  <c r="W589"/>
  <c r="X589" s="1"/>
  <c r="W586"/>
  <c r="X586" s="1"/>
  <c r="W979"/>
  <c r="X979" s="1"/>
  <c r="W745"/>
  <c r="X745" s="1"/>
  <c r="W981"/>
  <c r="X981" s="1"/>
  <c r="W904"/>
  <c r="X904" s="1"/>
  <c r="W1060"/>
  <c r="X1060" s="1"/>
  <c r="W801"/>
  <c r="X801" s="1"/>
  <c r="W1011"/>
  <c r="X1011" s="1"/>
  <c r="W876"/>
  <c r="X876" s="1"/>
  <c r="W699"/>
  <c r="X699" s="1"/>
  <c r="W927"/>
  <c r="X927" s="1"/>
  <c r="W827"/>
  <c r="X827" s="1"/>
  <c r="W551"/>
  <c r="X551" s="1"/>
  <c r="W836"/>
  <c r="X836" s="1"/>
  <c r="W866"/>
  <c r="X866" s="1"/>
  <c r="W971"/>
  <c r="X971" s="1"/>
  <c r="W774"/>
  <c r="X774" s="1"/>
  <c r="W680"/>
  <c r="X680" s="1"/>
  <c r="W706"/>
  <c r="X706" s="1"/>
  <c r="W582"/>
  <c r="X582" s="1"/>
  <c r="W658"/>
  <c r="X658" s="1"/>
  <c r="W685"/>
  <c r="X685" s="1"/>
  <c r="W820"/>
  <c r="X820" s="1"/>
  <c r="W935"/>
  <c r="X935" s="1"/>
  <c r="W734"/>
  <c r="X734" s="1"/>
  <c r="W885"/>
  <c r="X885" s="1"/>
  <c r="W615"/>
  <c r="X615" s="1"/>
  <c r="W997"/>
  <c r="X997" s="1"/>
  <c r="W604"/>
  <c r="X604" s="1"/>
  <c r="D106" i="23"/>
  <c r="M14" i="33" s="1"/>
  <c r="D90" i="23"/>
  <c r="L14" i="33" s="1"/>
  <c r="X1064" l="1"/>
  <c r="R3" s="1"/>
  <c r="E275" i="23" s="1"/>
  <c r="Z47" i="2" s="1"/>
  <c r="W159" i="33"/>
  <c r="X159" s="1"/>
  <c r="W60"/>
  <c r="X60" s="1"/>
  <c r="W365"/>
  <c r="X365" s="1"/>
  <c r="W237"/>
  <c r="X237" s="1"/>
  <c r="W87"/>
  <c r="X87" s="1"/>
  <c r="W36"/>
  <c r="X36" s="1"/>
  <c r="W41"/>
  <c r="X41" s="1"/>
  <c r="W306"/>
  <c r="X306" s="1"/>
  <c r="W20"/>
  <c r="X20" s="1"/>
  <c r="W118"/>
  <c r="X118" s="1"/>
  <c r="W517"/>
  <c r="X517" s="1"/>
  <c r="W428"/>
  <c r="X428" s="1"/>
  <c r="W136"/>
  <c r="X136" s="1"/>
  <c r="W255"/>
  <c r="X255" s="1"/>
  <c r="W231"/>
  <c r="X231" s="1"/>
  <c r="W300"/>
  <c r="X300" s="1"/>
  <c r="W402"/>
  <c r="X402" s="1"/>
  <c r="W323"/>
  <c r="X323" s="1"/>
  <c r="W74"/>
  <c r="X74" s="1"/>
  <c r="W166"/>
  <c r="X166" s="1"/>
  <c r="W37"/>
  <c r="X37" s="1"/>
  <c r="W514"/>
  <c r="X514" s="1"/>
  <c r="W319"/>
  <c r="X319" s="1"/>
  <c r="W508"/>
  <c r="X508" s="1"/>
  <c r="W254"/>
  <c r="X254" s="1"/>
  <c r="W291"/>
  <c r="X291" s="1"/>
  <c r="W39"/>
  <c r="X39" s="1"/>
  <c r="W302"/>
  <c r="X302" s="1"/>
  <c r="W69"/>
  <c r="X69" s="1"/>
  <c r="W351"/>
  <c r="X351" s="1"/>
  <c r="W186"/>
  <c r="X186" s="1"/>
  <c r="W375"/>
  <c r="X375" s="1"/>
  <c r="W157"/>
  <c r="X157" s="1"/>
  <c r="W174"/>
  <c r="X174" s="1"/>
  <c r="W92"/>
  <c r="X92" s="1"/>
  <c r="W47"/>
  <c r="X47" s="1"/>
  <c r="W439"/>
  <c r="X439" s="1"/>
  <c r="W516"/>
  <c r="X516" s="1"/>
  <c r="W155"/>
  <c r="X155" s="1"/>
  <c r="W518"/>
  <c r="X518" s="1"/>
  <c r="W325"/>
  <c r="X325" s="1"/>
  <c r="W131"/>
  <c r="X131" s="1"/>
  <c r="W315"/>
  <c r="X315" s="1"/>
  <c r="W134"/>
  <c r="X134" s="1"/>
  <c r="W332"/>
  <c r="X332" s="1"/>
  <c r="W236"/>
  <c r="X236" s="1"/>
  <c r="W322"/>
  <c r="X322" s="1"/>
  <c r="W409"/>
  <c r="X409" s="1"/>
  <c r="W432"/>
  <c r="X432" s="1"/>
  <c r="W379"/>
  <c r="X379" s="1"/>
  <c r="W113"/>
  <c r="X113" s="1"/>
  <c r="W130"/>
  <c r="X130" s="1"/>
  <c r="W420"/>
  <c r="X420" s="1"/>
  <c r="W349"/>
  <c r="X349" s="1"/>
  <c r="W81"/>
  <c r="X81" s="1"/>
  <c r="W362"/>
  <c r="X362" s="1"/>
  <c r="W154"/>
  <c r="X154" s="1"/>
  <c r="W314"/>
  <c r="X314" s="1"/>
  <c r="W274"/>
  <c r="X274" s="1"/>
  <c r="W489"/>
  <c r="X489" s="1"/>
  <c r="W142"/>
  <c r="X142" s="1"/>
  <c r="W18"/>
  <c r="X18" s="1"/>
  <c r="W469"/>
  <c r="X469" s="1"/>
  <c r="W241"/>
  <c r="X241" s="1"/>
  <c r="W29"/>
  <c r="X29" s="1"/>
  <c r="W252"/>
  <c r="X252" s="1"/>
  <c r="W188"/>
  <c r="X188" s="1"/>
  <c r="W124"/>
  <c r="X124" s="1"/>
  <c r="W391"/>
  <c r="X391" s="1"/>
  <c r="W483"/>
  <c r="X483" s="1"/>
  <c r="W126"/>
  <c r="X126" s="1"/>
  <c r="W286"/>
  <c r="X286" s="1"/>
  <c r="W61"/>
  <c r="X61" s="1"/>
  <c r="W310"/>
  <c r="X310" s="1"/>
  <c r="W426"/>
  <c r="X426" s="1"/>
  <c r="W455"/>
  <c r="X455" s="1"/>
  <c r="W312"/>
  <c r="X312" s="1"/>
  <c r="W434"/>
  <c r="X434" s="1"/>
  <c r="W197"/>
  <c r="X197" s="1"/>
  <c r="W341"/>
  <c r="X341" s="1"/>
  <c r="W132"/>
  <c r="X132" s="1"/>
  <c r="W258"/>
  <c r="X258" s="1"/>
  <c r="W407"/>
  <c r="X407" s="1"/>
  <c r="W450"/>
  <c r="X450" s="1"/>
  <c r="W502"/>
  <c r="X502" s="1"/>
  <c r="W321"/>
  <c r="X321" s="1"/>
  <c r="W54"/>
  <c r="X54" s="1"/>
  <c r="W83"/>
  <c r="X83" s="1"/>
  <c r="W390"/>
  <c r="X390" s="1"/>
  <c r="W366"/>
  <c r="X366" s="1"/>
  <c r="W386"/>
  <c r="X386" s="1"/>
  <c r="W239"/>
  <c r="X239" s="1"/>
  <c r="W449"/>
  <c r="X449" s="1"/>
  <c r="W492"/>
  <c r="X492" s="1"/>
  <c r="W171"/>
  <c r="X171" s="1"/>
  <c r="W336"/>
  <c r="X336" s="1"/>
  <c r="W250"/>
  <c r="X250" s="1"/>
  <c r="W247"/>
  <c r="X247" s="1"/>
  <c r="W467"/>
  <c r="X467" s="1"/>
  <c r="W133"/>
  <c r="X133" s="1"/>
  <c r="W307"/>
  <c r="X307" s="1"/>
  <c r="W474"/>
  <c r="X474" s="1"/>
  <c r="W525"/>
  <c r="X525" s="1"/>
  <c r="W232"/>
  <c r="X232" s="1"/>
  <c r="W466"/>
  <c r="X466" s="1"/>
  <c r="W145"/>
  <c r="X145" s="1"/>
  <c r="W175"/>
  <c r="X175" s="1"/>
  <c r="W316"/>
  <c r="X316" s="1"/>
  <c r="W79"/>
  <c r="X79" s="1"/>
  <c r="W129"/>
  <c r="X129" s="1"/>
  <c r="W146"/>
  <c r="X146" s="1"/>
  <c r="W354"/>
  <c r="X354" s="1"/>
  <c r="W248"/>
  <c r="X248" s="1"/>
  <c r="W404"/>
  <c r="X404" s="1"/>
  <c r="W203"/>
  <c r="X203" s="1"/>
  <c r="W299"/>
  <c r="X299" s="1"/>
  <c r="W417"/>
  <c r="X417" s="1"/>
  <c r="W397"/>
  <c r="X397" s="1"/>
  <c r="W392"/>
  <c r="X392" s="1"/>
  <c r="W21"/>
  <c r="X21" s="1"/>
  <c r="W150"/>
  <c r="X150" s="1"/>
  <c r="W253"/>
  <c r="X253" s="1"/>
  <c r="W348"/>
  <c r="X348" s="1"/>
  <c r="W381"/>
  <c r="X381" s="1"/>
  <c r="W224"/>
  <c r="X224" s="1"/>
  <c r="W264"/>
  <c r="X264" s="1"/>
  <c r="W363"/>
  <c r="X363" s="1"/>
  <c r="W67"/>
  <c r="X67" s="1"/>
  <c r="W485"/>
  <c r="X485" s="1"/>
  <c r="W202"/>
  <c r="X202" s="1"/>
  <c r="W33"/>
  <c r="X33" s="1"/>
  <c r="W77"/>
  <c r="X77" s="1"/>
  <c r="W458"/>
  <c r="X458" s="1"/>
  <c r="W394"/>
  <c r="X394" s="1"/>
  <c r="W340"/>
  <c r="X340" s="1"/>
  <c r="W279"/>
  <c r="X279" s="1"/>
  <c r="W520"/>
  <c r="X520" s="1"/>
  <c r="W331"/>
  <c r="X331" s="1"/>
  <c r="W111"/>
  <c r="X111" s="1"/>
  <c r="W158"/>
  <c r="X158" s="1"/>
  <c r="W283"/>
  <c r="X283" s="1"/>
  <c r="W100"/>
  <c r="X100" s="1"/>
  <c r="W200"/>
  <c r="X200" s="1"/>
  <c r="W356"/>
  <c r="X356" s="1"/>
  <c r="W290"/>
  <c r="X290" s="1"/>
  <c r="W440"/>
  <c r="X440" s="1"/>
  <c r="W44"/>
  <c r="X44" s="1"/>
  <c r="W221"/>
  <c r="X221" s="1"/>
  <c r="W329"/>
  <c r="X329" s="1"/>
  <c r="W27"/>
  <c r="X27" s="1"/>
  <c r="W244"/>
  <c r="X244" s="1"/>
  <c r="W122"/>
  <c r="X122" s="1"/>
  <c r="W210"/>
  <c r="X210" s="1"/>
  <c r="W23"/>
  <c r="X23" s="1"/>
  <c r="W503"/>
  <c r="X503" s="1"/>
  <c r="W170"/>
  <c r="X170" s="1"/>
  <c r="W120"/>
  <c r="X120" s="1"/>
  <c r="W330"/>
  <c r="X330" s="1"/>
  <c r="W104"/>
  <c r="X104" s="1"/>
  <c r="W270"/>
  <c r="X270" s="1"/>
  <c r="W140"/>
  <c r="X140" s="1"/>
  <c r="W443"/>
  <c r="X443" s="1"/>
  <c r="W494"/>
  <c r="X494" s="1"/>
  <c r="W219"/>
  <c r="X219" s="1"/>
  <c r="W65"/>
  <c r="X65" s="1"/>
  <c r="W384"/>
  <c r="X384" s="1"/>
  <c r="W32"/>
  <c r="X32" s="1"/>
  <c r="W260"/>
  <c r="X260" s="1"/>
  <c r="W468"/>
  <c r="X468" s="1"/>
  <c r="W471"/>
  <c r="X471" s="1"/>
  <c r="W262"/>
  <c r="X262" s="1"/>
  <c r="W135"/>
  <c r="X135" s="1"/>
  <c r="W367"/>
  <c r="X367" s="1"/>
  <c r="W399"/>
  <c r="X399" s="1"/>
  <c r="W123"/>
  <c r="X123" s="1"/>
  <c r="W346"/>
  <c r="X346" s="1"/>
  <c r="W190"/>
  <c r="X190" s="1"/>
  <c r="W242"/>
  <c r="X242" s="1"/>
  <c r="W507"/>
  <c r="X507" s="1"/>
  <c r="W308"/>
  <c r="X308" s="1"/>
  <c r="W265"/>
  <c r="X265" s="1"/>
  <c r="W421"/>
  <c r="X421" s="1"/>
  <c r="W108"/>
  <c r="X108" s="1"/>
  <c r="W400"/>
  <c r="X400" s="1"/>
  <c r="W515"/>
  <c r="X515" s="1"/>
  <c r="W352"/>
  <c r="X352" s="1"/>
  <c r="W369"/>
  <c r="X369" s="1"/>
  <c r="W230"/>
  <c r="X230" s="1"/>
  <c r="W95"/>
  <c r="X95" s="1"/>
  <c r="W71"/>
  <c r="X71" s="1"/>
  <c r="W309"/>
  <c r="X309" s="1"/>
  <c r="W510"/>
  <c r="X510" s="1"/>
  <c r="W62"/>
  <c r="X62" s="1"/>
  <c r="W212"/>
  <c r="X212" s="1"/>
  <c r="W301"/>
  <c r="X301" s="1"/>
  <c r="W372"/>
  <c r="X372" s="1"/>
  <c r="W405"/>
  <c r="X405" s="1"/>
  <c r="W335"/>
  <c r="X335" s="1"/>
  <c r="W373"/>
  <c r="X373" s="1"/>
  <c r="W521"/>
  <c r="X521" s="1"/>
  <c r="W38"/>
  <c r="X38" s="1"/>
  <c r="W512"/>
  <c r="X512" s="1"/>
  <c r="W368"/>
  <c r="X368" s="1"/>
  <c r="W486"/>
  <c r="X486" s="1"/>
  <c r="W470"/>
  <c r="X470" s="1"/>
  <c r="W350"/>
  <c r="X350" s="1"/>
  <c r="W68"/>
  <c r="X68" s="1"/>
  <c r="W435"/>
  <c r="X435" s="1"/>
  <c r="W487"/>
  <c r="X487" s="1"/>
  <c r="W137"/>
  <c r="X137" s="1"/>
  <c r="W462"/>
  <c r="X462" s="1"/>
  <c r="W160"/>
  <c r="X160" s="1"/>
  <c r="W425"/>
  <c r="X425" s="1"/>
  <c r="W217"/>
  <c r="X217" s="1"/>
  <c r="W235"/>
  <c r="X235" s="1"/>
  <c r="W55"/>
  <c r="X55" s="1"/>
  <c r="W192"/>
  <c r="X192" s="1"/>
  <c r="W162"/>
  <c r="X162" s="1"/>
  <c r="W165"/>
  <c r="X165" s="1"/>
  <c r="W463"/>
  <c r="X463" s="1"/>
  <c r="W128"/>
  <c r="X128" s="1"/>
  <c r="W288"/>
  <c r="X288" s="1"/>
  <c r="W48"/>
  <c r="X48" s="1"/>
  <c r="W164"/>
  <c r="X164" s="1"/>
  <c r="W389"/>
  <c r="X389" s="1"/>
  <c r="W311"/>
  <c r="X311" s="1"/>
  <c r="W229"/>
  <c r="X229" s="1"/>
  <c r="W49"/>
  <c r="X49" s="1"/>
  <c r="W436"/>
  <c r="X436" s="1"/>
  <c r="W34"/>
  <c r="X34" s="1"/>
  <c r="W167"/>
  <c r="X167" s="1"/>
  <c r="W528"/>
  <c r="X528" s="1"/>
  <c r="W149"/>
  <c r="X149" s="1"/>
  <c r="W429"/>
  <c r="X429" s="1"/>
  <c r="W168"/>
  <c r="X168" s="1"/>
  <c r="W459"/>
  <c r="X459" s="1"/>
  <c r="W418"/>
  <c r="X418" s="1"/>
  <c r="W328"/>
  <c r="X328" s="1"/>
  <c r="W103"/>
  <c r="X103" s="1"/>
  <c r="W86"/>
  <c r="X86" s="1"/>
  <c r="W493"/>
  <c r="X493" s="1"/>
  <c r="W144"/>
  <c r="X144" s="1"/>
  <c r="W214"/>
  <c r="X214" s="1"/>
  <c r="W147"/>
  <c r="X147" s="1"/>
  <c r="W215"/>
  <c r="X215" s="1"/>
  <c r="W193"/>
  <c r="X193" s="1"/>
  <c r="W523"/>
  <c r="X523" s="1"/>
  <c r="W90"/>
  <c r="X90" s="1"/>
  <c r="W139"/>
  <c r="X139" s="1"/>
  <c r="W457"/>
  <c r="X457" s="1"/>
  <c r="W472"/>
  <c r="X472" s="1"/>
  <c r="W333"/>
  <c r="X333" s="1"/>
  <c r="W182"/>
  <c r="X182" s="1"/>
  <c r="W180"/>
  <c r="X180" s="1"/>
  <c r="W143"/>
  <c r="X143" s="1"/>
  <c r="W355"/>
  <c r="X355" s="1"/>
  <c r="W293"/>
  <c r="X293" s="1"/>
  <c r="W496"/>
  <c r="X496" s="1"/>
  <c r="W66"/>
  <c r="X66" s="1"/>
  <c r="W353"/>
  <c r="X353" s="1"/>
  <c r="W109"/>
  <c r="X109" s="1"/>
  <c r="W172"/>
  <c r="X172" s="1"/>
  <c r="W506"/>
  <c r="X506" s="1"/>
  <c r="W222"/>
  <c r="X222" s="1"/>
  <c r="W213"/>
  <c r="X213" s="1"/>
  <c r="W227"/>
  <c r="X227" s="1"/>
  <c r="W324"/>
  <c r="X324" s="1"/>
  <c r="W228"/>
  <c r="X228" s="1"/>
  <c r="W484"/>
  <c r="X484" s="1"/>
  <c r="W153"/>
  <c r="X153" s="1"/>
  <c r="W380"/>
  <c r="X380" s="1"/>
  <c r="W339"/>
  <c r="X339" s="1"/>
  <c r="W107"/>
  <c r="X107" s="1"/>
  <c r="W112"/>
  <c r="X112" s="1"/>
  <c r="W403"/>
  <c r="X403" s="1"/>
  <c r="W194"/>
  <c r="X194" s="1"/>
  <c r="W292"/>
  <c r="X292" s="1"/>
  <c r="W383"/>
  <c r="X383" s="1"/>
  <c r="W216"/>
  <c r="X216" s="1"/>
  <c r="W43"/>
  <c r="X43" s="1"/>
  <c r="W423"/>
  <c r="X423" s="1"/>
  <c r="W220"/>
  <c r="X220" s="1"/>
  <c r="W327"/>
  <c r="X327" s="1"/>
  <c r="W359"/>
  <c r="X359" s="1"/>
  <c r="W169"/>
  <c r="X169" s="1"/>
  <c r="W410"/>
  <c r="X410" s="1"/>
  <c r="W393"/>
  <c r="X393" s="1"/>
  <c r="W281"/>
  <c r="X281" s="1"/>
  <c r="W441"/>
  <c r="X441" s="1"/>
  <c r="W317"/>
  <c r="X317" s="1"/>
  <c r="W198"/>
  <c r="X198" s="1"/>
  <c r="W233"/>
  <c r="X233" s="1"/>
  <c r="W357"/>
  <c r="X357" s="1"/>
  <c r="W464"/>
  <c r="X464" s="1"/>
  <c r="W376"/>
  <c r="X376" s="1"/>
  <c r="W478"/>
  <c r="X478" s="1"/>
  <c r="W257"/>
  <c r="X257" s="1"/>
  <c r="W119"/>
  <c r="X119" s="1"/>
  <c r="W406"/>
  <c r="X406" s="1"/>
  <c r="W127"/>
  <c r="X127" s="1"/>
  <c r="W205"/>
  <c r="X205" s="1"/>
  <c r="W438"/>
  <c r="X438" s="1"/>
  <c r="W437"/>
  <c r="X437" s="1"/>
  <c r="W138"/>
  <c r="X138" s="1"/>
  <c r="W179"/>
  <c r="X179" s="1"/>
  <c r="W243"/>
  <c r="X243" s="1"/>
  <c r="W91"/>
  <c r="X91" s="1"/>
  <c r="W491"/>
  <c r="X491" s="1"/>
  <c r="W305"/>
  <c r="X305" s="1"/>
  <c r="W99"/>
  <c r="X99" s="1"/>
  <c r="W42"/>
  <c r="X42" s="1"/>
  <c r="W240"/>
  <c r="X240" s="1"/>
  <c r="W298"/>
  <c r="X298" s="1"/>
  <c r="W161"/>
  <c r="X161" s="1"/>
  <c r="W318"/>
  <c r="X318" s="1"/>
  <c r="W96"/>
  <c r="X96" s="1"/>
  <c r="W75"/>
  <c r="X75" s="1"/>
  <c r="W114"/>
  <c r="X114" s="1"/>
  <c r="W499"/>
  <c r="X499" s="1"/>
  <c r="W446"/>
  <c r="X446" s="1"/>
  <c r="W84"/>
  <c r="X84" s="1"/>
  <c r="W273"/>
  <c r="X273" s="1"/>
  <c r="W413"/>
  <c r="X413" s="1"/>
  <c r="W141"/>
  <c r="X141" s="1"/>
  <c r="W385"/>
  <c r="X385" s="1"/>
  <c r="W398"/>
  <c r="X398" s="1"/>
  <c r="W195"/>
  <c r="X195" s="1"/>
  <c r="W527"/>
  <c r="X527" s="1"/>
  <c r="W31"/>
  <c r="X31" s="1"/>
  <c r="W285"/>
  <c r="X285" s="1"/>
  <c r="W304"/>
  <c r="X304" s="1"/>
  <c r="W278"/>
  <c r="X278" s="1"/>
  <c r="W419"/>
  <c r="X419" s="1"/>
  <c r="W156"/>
  <c r="X156" s="1"/>
  <c r="W337"/>
  <c r="X337" s="1"/>
  <c r="W76"/>
  <c r="X76" s="1"/>
  <c r="W246"/>
  <c r="X246" s="1"/>
  <c r="W226"/>
  <c r="X226" s="1"/>
  <c r="W245"/>
  <c r="X245" s="1"/>
  <c r="W424"/>
  <c r="X424" s="1"/>
  <c r="W225"/>
  <c r="X225" s="1"/>
  <c r="W117"/>
  <c r="X117" s="1"/>
  <c r="W94"/>
  <c r="X94" s="1"/>
  <c r="W453"/>
  <c r="X453" s="1"/>
  <c r="W249"/>
  <c r="X249" s="1"/>
  <c r="W26"/>
  <c r="X26" s="1"/>
  <c r="W529"/>
  <c r="X529" s="1"/>
  <c r="W185"/>
  <c r="X185" s="1"/>
  <c r="W370"/>
  <c r="X370" s="1"/>
  <c r="W358"/>
  <c r="X358" s="1"/>
  <c r="W378"/>
  <c r="X378" s="1"/>
  <c r="W461"/>
  <c r="X461" s="1"/>
  <c r="W85"/>
  <c r="X85" s="1"/>
  <c r="W116"/>
  <c r="X116" s="1"/>
  <c r="W64"/>
  <c r="X64" s="1"/>
  <c r="W488"/>
  <c r="X488" s="1"/>
  <c r="W184"/>
  <c r="X184" s="1"/>
  <c r="W72"/>
  <c r="X72" s="1"/>
  <c r="W24"/>
  <c r="X24" s="1"/>
  <c r="W526"/>
  <c r="X526" s="1"/>
  <c r="W360"/>
  <c r="X360" s="1"/>
  <c r="W269"/>
  <c r="X269" s="1"/>
  <c r="W338"/>
  <c r="X338" s="1"/>
  <c r="W401"/>
  <c r="X401" s="1"/>
  <c r="W415"/>
  <c r="X415" s="1"/>
  <c r="W163"/>
  <c r="X163" s="1"/>
  <c r="W479"/>
  <c r="X479" s="1"/>
  <c r="W513"/>
  <c r="X513" s="1"/>
  <c r="W152"/>
  <c r="X152" s="1"/>
  <c r="W238"/>
  <c r="X238" s="1"/>
  <c r="W46"/>
  <c r="X46" s="1"/>
  <c r="W395"/>
  <c r="X395" s="1"/>
  <c r="W106"/>
  <c r="X106" s="1"/>
  <c r="W276"/>
  <c r="X276" s="1"/>
  <c r="W377"/>
  <c r="X377" s="1"/>
  <c r="W196"/>
  <c r="X196" s="1"/>
  <c r="W442"/>
  <c r="X442" s="1"/>
  <c r="W199"/>
  <c r="X199" s="1"/>
  <c r="W115"/>
  <c r="X115" s="1"/>
  <c r="W110"/>
  <c r="X110" s="1"/>
  <c r="W431"/>
  <c r="X431" s="1"/>
  <c r="W204"/>
  <c r="X204" s="1"/>
  <c r="W209"/>
  <c r="X209" s="1"/>
  <c r="W342"/>
  <c r="X342" s="1"/>
  <c r="W511"/>
  <c r="X511" s="1"/>
  <c r="W412"/>
  <c r="X412" s="1"/>
  <c r="W371"/>
  <c r="X371" s="1"/>
  <c r="W509"/>
  <c r="X509" s="1"/>
  <c r="W495"/>
  <c r="X495" s="1"/>
  <c r="W347"/>
  <c r="X347" s="1"/>
  <c r="W63"/>
  <c r="X63" s="1"/>
  <c r="W411"/>
  <c r="X411" s="1"/>
  <c r="W25"/>
  <c r="X25" s="1"/>
  <c r="W501"/>
  <c r="X501" s="1"/>
  <c r="W481"/>
  <c r="X481" s="1"/>
  <c r="W266"/>
  <c r="X266" s="1"/>
  <c r="W82"/>
  <c r="X82" s="1"/>
  <c r="W53"/>
  <c r="X53" s="1"/>
  <c r="W191"/>
  <c r="X191" s="1"/>
  <c r="W234"/>
  <c r="X234" s="1"/>
  <c r="W497"/>
  <c r="X497" s="1"/>
  <c r="W177"/>
  <c r="X177" s="1"/>
  <c r="W313"/>
  <c r="X313" s="1"/>
  <c r="W490"/>
  <c r="X490" s="1"/>
  <c r="W326"/>
  <c r="X326" s="1"/>
  <c r="W343"/>
  <c r="X343" s="1"/>
  <c r="W473"/>
  <c r="X473" s="1"/>
  <c r="W414"/>
  <c r="X414" s="1"/>
  <c r="W452"/>
  <c r="X452" s="1"/>
  <c r="W422"/>
  <c r="X422" s="1"/>
  <c r="W361"/>
  <c r="X361" s="1"/>
  <c r="W519"/>
  <c r="X519" s="1"/>
  <c r="W56"/>
  <c r="X56" s="1"/>
  <c r="W504"/>
  <c r="X504" s="1"/>
  <c r="W59"/>
  <c r="X59" s="1"/>
  <c r="W477"/>
  <c r="X477" s="1"/>
  <c r="W476"/>
  <c r="X476" s="1"/>
  <c r="W173"/>
  <c r="X173" s="1"/>
  <c r="W465"/>
  <c r="X465" s="1"/>
  <c r="W396"/>
  <c r="X396" s="1"/>
  <c r="W88"/>
  <c r="X88" s="1"/>
  <c r="W52"/>
  <c r="X52" s="1"/>
  <c r="W416"/>
  <c r="X416" s="1"/>
  <c r="W251"/>
  <c r="X251" s="1"/>
  <c r="W500"/>
  <c r="X500" s="1"/>
  <c r="W207"/>
  <c r="X207" s="1"/>
  <c r="W201"/>
  <c r="X201" s="1"/>
  <c r="W78"/>
  <c r="X78" s="1"/>
  <c r="W211"/>
  <c r="X211" s="1"/>
  <c r="W287"/>
  <c r="X287" s="1"/>
  <c r="W454"/>
  <c r="X454" s="1"/>
  <c r="W364"/>
  <c r="X364" s="1"/>
  <c r="W151"/>
  <c r="X151" s="1"/>
  <c r="W57"/>
  <c r="X57" s="1"/>
  <c r="W93"/>
  <c r="X93" s="1"/>
  <c r="W261"/>
  <c r="X261" s="1"/>
  <c r="W295"/>
  <c r="X295" s="1"/>
  <c r="W45"/>
  <c r="X45" s="1"/>
  <c r="W427"/>
  <c r="X427" s="1"/>
  <c r="W30"/>
  <c r="X30" s="1"/>
  <c r="W289"/>
  <c r="X289" s="1"/>
  <c r="W296"/>
  <c r="X296" s="1"/>
  <c r="W387"/>
  <c r="X387" s="1"/>
  <c r="W189"/>
  <c r="X189" s="1"/>
  <c r="W447"/>
  <c r="X447" s="1"/>
  <c r="W80"/>
  <c r="X80" s="1"/>
  <c r="W282"/>
  <c r="X282" s="1"/>
  <c r="W334"/>
  <c r="X334" s="1"/>
  <c r="W208"/>
  <c r="X208" s="1"/>
  <c r="W181"/>
  <c r="X181" s="1"/>
  <c r="W280"/>
  <c r="X280" s="1"/>
  <c r="W125"/>
  <c r="X125" s="1"/>
  <c r="W480"/>
  <c r="X480" s="1"/>
  <c r="W448"/>
  <c r="X448" s="1"/>
  <c r="W482"/>
  <c r="X482" s="1"/>
  <c r="W451"/>
  <c r="X451" s="1"/>
  <c r="W102"/>
  <c r="X102" s="1"/>
  <c r="W178"/>
  <c r="X178" s="1"/>
  <c r="W460"/>
  <c r="X460" s="1"/>
  <c r="W271"/>
  <c r="X271" s="1"/>
  <c r="W445"/>
  <c r="X445" s="1"/>
  <c r="W70"/>
  <c r="X70" s="1"/>
  <c r="W388"/>
  <c r="X388" s="1"/>
  <c r="W382"/>
  <c r="X382" s="1"/>
  <c r="W259"/>
  <c r="X259" s="1"/>
  <c r="W50"/>
  <c r="X50" s="1"/>
  <c r="W444"/>
  <c r="X444" s="1"/>
  <c r="W268"/>
  <c r="X268" s="1"/>
  <c r="W28"/>
  <c r="X28" s="1"/>
  <c r="W206"/>
  <c r="X206" s="1"/>
  <c r="W218"/>
  <c r="X218" s="1"/>
  <c r="W22"/>
  <c r="X22" s="1"/>
  <c r="W187"/>
  <c r="X187" s="1"/>
  <c r="W456"/>
  <c r="X456" s="1"/>
  <c r="W297"/>
  <c r="X297" s="1"/>
  <c r="W374"/>
  <c r="X374" s="1"/>
  <c r="W522"/>
  <c r="X522" s="1"/>
  <c r="W263"/>
  <c r="X263" s="1"/>
  <c r="W320"/>
  <c r="X320" s="1"/>
  <c r="W344"/>
  <c r="X344" s="1"/>
  <c r="W430"/>
  <c r="X430" s="1"/>
  <c r="W275"/>
  <c r="X275" s="1"/>
  <c r="W256"/>
  <c r="X256" s="1"/>
  <c r="W345"/>
  <c r="X345" s="1"/>
  <c r="W284"/>
  <c r="X284" s="1"/>
  <c r="W176"/>
  <c r="X176" s="1"/>
  <c r="W73"/>
  <c r="X73" s="1"/>
  <c r="W223"/>
  <c r="X223" s="1"/>
  <c r="W498"/>
  <c r="X498" s="1"/>
  <c r="W408"/>
  <c r="X408" s="1"/>
  <c r="W40"/>
  <c r="X40" s="1"/>
  <c r="W51"/>
  <c r="X51" s="1"/>
  <c r="W294"/>
  <c r="X294" s="1"/>
  <c r="W148"/>
  <c r="X148" s="1"/>
  <c r="W505"/>
  <c r="X505" s="1"/>
  <c r="W58"/>
  <c r="X58" s="1"/>
  <c r="W267"/>
  <c r="X267" s="1"/>
  <c r="W475"/>
  <c r="X475" s="1"/>
  <c r="W98"/>
  <c r="X98" s="1"/>
  <c r="W524"/>
  <c r="X524" s="1"/>
  <c r="W272"/>
  <c r="X272" s="1"/>
  <c r="W97"/>
  <c r="X97" s="1"/>
  <c r="W183"/>
  <c r="X183" s="1"/>
  <c r="W303"/>
  <c r="X303" s="1"/>
  <c r="W433"/>
  <c r="X433" s="1"/>
  <c r="W105"/>
  <c r="X105" s="1"/>
  <c r="W277"/>
  <c r="X277" s="1"/>
  <c r="W35"/>
  <c r="X35" s="1"/>
  <c r="W121"/>
  <c r="X121" s="1"/>
  <c r="W89"/>
  <c r="X89" s="1"/>
  <c r="W101"/>
  <c r="X101" s="1"/>
  <c r="W19"/>
  <c r="X19" s="1"/>
  <c r="C34" i="24" l="1"/>
  <c r="E278" i="23"/>
  <c r="E279" s="1"/>
  <c r="C39" i="24" s="1"/>
  <c r="X531" i="33"/>
  <c r="Q3" s="1"/>
  <c r="D275" i="23" s="1"/>
  <c r="B34" i="24" s="1"/>
  <c r="Z23" i="2" l="1"/>
  <c r="C36" i="24"/>
  <c r="D278" i="23"/>
  <c r="D279" s="1"/>
  <c r="B23" i="2" s="1"/>
  <c r="B47"/>
  <c r="B36" i="24" l="1"/>
  <c r="B39"/>
  <c r="B44" s="1"/>
</calcChain>
</file>

<file path=xl/sharedStrings.xml><?xml version="1.0" encoding="utf-8"?>
<sst xmlns="http://schemas.openxmlformats.org/spreadsheetml/2006/main" count="2523" uniqueCount="809">
  <si>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</si>
  <si>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</si>
  <si>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</si>
  <si>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</si>
  <si>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</si>
  <si>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</si>
  <si>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</si>
  <si>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</si>
  <si>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</si>
  <si>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</si>
  <si>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</si>
  <si>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</si>
  <si>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</si>
  <si>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</si>
  <si>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</si>
  <si>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</si>
  <si>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</si>
  <si>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</si>
  <si>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</si>
  <si>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</si>
  <si>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</si>
  <si>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</si>
  <si>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</si>
  <si>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</si>
  <si>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</si>
  <si>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</si>
  <si>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</si>
  <si>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</si>
  <si>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</si>
  <si>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</si>
  <si>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</si>
  <si>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</si>
  <si>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</si>
  <si>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</si>
  <si>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</si>
  <si>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</si>
  <si>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</si>
  <si>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</si>
  <si>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</si>
  <si>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</si>
  <si>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</si>
  <si>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</si>
  <si>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</si>
  <si>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</si>
  <si>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</si>
  <si>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</si>
  <si>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</si>
  <si>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</si>
  <si>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</si>
  <si>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</si>
  <si>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</si>
  <si>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</si>
  <si>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</si>
  <si>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</si>
  <si>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</si>
  <si>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Aesir</t>
  </si>
  <si>
    <t>Warwolf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</si>
  <si>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</si>
  <si>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</si>
  <si>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</si>
  <si>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</si>
  <si>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</si>
  <si>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</si>
  <si>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</si>
  <si>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</si>
  <si>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</si>
  <si>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</si>
  <si>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</si>
  <si>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</si>
  <si>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</si>
  <si>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</si>
  <si>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</si>
  <si>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</si>
  <si>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</si>
  <si>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Virtuoso</t>
  </si>
  <si>
    <t>Aurore</t>
  </si>
  <si>
    <t>Coral</t>
  </si>
  <si>
    <t>Denali</t>
  </si>
  <si>
    <t>Swift</t>
  </si>
  <si>
    <t>Hollow</t>
  </si>
  <si>
    <t>White Tathlum</t>
  </si>
  <si>
    <t>Triumph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</si>
  <si>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</si>
  <si>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</si>
  <si>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</si>
  <si>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</si>
  <si>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</si>
  <si>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</si>
  <si>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</si>
  <si>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</si>
  <si>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</si>
  <si>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</si>
  <si>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</si>
  <si>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</si>
  <si>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</si>
  <si>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</si>
  <si>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</si>
  <si>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</si>
  <si>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</si>
  <si>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</si>
  <si>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</si>
  <si>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</si>
  <si>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</si>
  <si>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Tiphia Sting</t>
  </si>
  <si>
    <t>Backlash</t>
  </si>
  <si>
    <t>Kemas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</si>
  <si>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</si>
  <si>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</si>
  <si>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</si>
  <si>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</si>
  <si>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</si>
  <si>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</si>
  <si>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</si>
  <si>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</si>
  <si>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</si>
  <si>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</si>
  <si>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</si>
  <si>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</si>
  <si>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</si>
  <si>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</si>
  <si>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</si>
  <si>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</si>
  <si>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</si>
  <si>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</si>
  <si>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</si>
  <si>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</si>
  <si>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</si>
  <si>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</si>
  <si>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Potent</t>
  </si>
  <si>
    <t>Berserk</t>
  </si>
  <si>
    <t>Chaos</t>
  </si>
  <si>
    <t>DW</t>
  </si>
  <si>
    <t>Avg W1</t>
  </si>
  <si>
    <t>Avg W2</t>
  </si>
  <si>
    <t>Blade: Jin</t>
  </si>
  <si>
    <t>Blade: Hi</t>
  </si>
  <si>
    <t>Ranged</t>
  </si>
  <si>
    <t>Ungur</t>
  </si>
  <si>
    <t>Ifrit's Bow</t>
  </si>
  <si>
    <t>Bomb Core</t>
  </si>
  <si>
    <t>Fire Bomblet</t>
  </si>
  <si>
    <t>Lucky Coin</t>
  </si>
  <si>
    <t>Iga</t>
  </si>
  <si>
    <t>Suppanomimi</t>
  </si>
  <si>
    <t>Speed</t>
  </si>
  <si>
    <t>Goading</t>
  </si>
  <si>
    <t>Koga</t>
  </si>
  <si>
    <t>Nusku's Sash</t>
  </si>
  <si>
    <t>Offhand</t>
  </si>
  <si>
    <t>Off</t>
  </si>
  <si>
    <t>Main</t>
  </si>
  <si>
    <t>D</t>
  </si>
  <si>
    <t>Sveltesse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</si>
  <si>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</si>
  <si>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</si>
  <si>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</si>
  <si>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</si>
  <si>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</si>
  <si>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</si>
  <si>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</si>
  <si>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</si>
  <si>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</si>
  <si>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</si>
  <si>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</si>
  <si>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</si>
  <si>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</si>
  <si>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</si>
  <si>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</si>
  <si>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</si>
  <si>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</si>
  <si>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</si>
  <si>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</si>
  <si>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</si>
  <si>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</si>
  <si>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</si>
  <si>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</si>
  <si>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</si>
  <si>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</si>
  <si>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Centaurus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</si>
  <si>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</si>
  <si>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</si>
  <si>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</si>
  <si>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</si>
  <si>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</si>
  <si>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</si>
  <si>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</si>
  <si>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</si>
  <si>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</si>
  <si>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</si>
  <si>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</si>
  <si>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</si>
  <si>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</si>
  <si>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</si>
  <si>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</si>
  <si>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</si>
  <si>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</si>
  <si>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</si>
  <si>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</si>
  <si>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</si>
  <si>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</si>
  <si>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</si>
  <si>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</si>
  <si>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</si>
  <si>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</si>
  <si>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</si>
  <si>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</si>
  <si>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</si>
  <si>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</si>
  <si>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</si>
  <si>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</si>
  <si>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</si>
  <si>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</si>
  <si>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</si>
  <si>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</si>
  <si>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</si>
  <si>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</si>
  <si>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</si>
  <si>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</si>
  <si>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</si>
  <si>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</si>
  <si>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</si>
  <si>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</si>
  <si>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</si>
  <si>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</si>
  <si>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</si>
  <si>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</si>
  <si>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</si>
  <si>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</si>
  <si>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</si>
  <si>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</si>
  <si>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</si>
  <si>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</si>
  <si>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</si>
  <si>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</si>
  <si>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</si>
  <si>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</si>
  <si>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</si>
  <si>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</si>
  <si>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</si>
  <si>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</si>
  <si>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</si>
  <si>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</si>
  <si>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</si>
  <si>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</si>
  <si>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</si>
  <si>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</si>
  <si>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</si>
  <si>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</si>
  <si>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</si>
  <si>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</si>
  <si>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</si>
  <si>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</si>
  <si>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</si>
  <si>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</si>
  <si>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</si>
  <si>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</si>
  <si>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</si>
  <si>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</si>
  <si>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</si>
  <si>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</si>
  <si>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</si>
  <si>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</si>
  <si>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</si>
  <si>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</si>
  <si>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</si>
  <si>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</si>
  <si>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</si>
  <si>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</si>
  <si>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</si>
  <si>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</si>
  <si>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</si>
  <si>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</si>
  <si>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</si>
  <si>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</si>
  <si>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</si>
  <si>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</si>
  <si>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</si>
  <si>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</si>
  <si>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</si>
  <si>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</si>
  <si>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</si>
  <si>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</si>
  <si>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</si>
  <si>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</si>
  <si>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</si>
  <si>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</si>
  <si>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</si>
  <si>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</si>
  <si>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</si>
  <si>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</si>
  <si>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</si>
  <si>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</si>
  <si>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</si>
  <si>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</si>
  <si>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</si>
  <si>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</si>
  <si>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</si>
  <si>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</si>
  <si>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</si>
  <si>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</si>
  <si>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</si>
  <si>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</si>
  <si>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</si>
  <si>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</si>
  <si>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</si>
  <si>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</si>
  <si>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</si>
  <si>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</si>
  <si>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Anger Bomblet</t>
  </si>
  <si>
    <t>Fracas Grenade</t>
  </si>
  <si>
    <t>Breeze Sachet</t>
  </si>
  <si>
    <t>Thunder Sachet</t>
  </si>
  <si>
    <t>Ocelomeh</t>
  </si>
  <si>
    <t>Ocelomeh +1</t>
  </si>
  <si>
    <t>Toci's</t>
  </si>
  <si>
    <t>Tjukurrpa</t>
  </si>
  <si>
    <t>Pipilaka</t>
  </si>
  <si>
    <t>Beir +1</t>
  </si>
  <si>
    <t>Aliyat</t>
  </si>
  <si>
    <t>Demonry Core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</si>
  <si>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</si>
  <si>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</si>
  <si>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</si>
  <si>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</si>
  <si>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</si>
  <si>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</si>
  <si>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</si>
  <si>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</si>
  <si>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</si>
  <si>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</si>
  <si>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</si>
  <si>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</si>
  <si>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</si>
  <si>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</si>
  <si>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</si>
  <si>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</si>
  <si>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</si>
  <si>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</si>
  <si>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</si>
  <si>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</si>
  <si>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</si>
  <si>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</si>
  <si>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</si>
  <si>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</si>
  <si>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</si>
  <si>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</si>
  <si>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</si>
  <si>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</si>
  <si>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</si>
  <si>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</si>
  <si>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</si>
  <si>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</si>
  <si>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</si>
  <si>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</si>
  <si>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</si>
  <si>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</si>
  <si>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</si>
  <si>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</si>
  <si>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</si>
  <si>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</si>
  <si>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</si>
  <si>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</si>
  <si>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</si>
  <si>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</si>
  <si>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</si>
  <si>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</si>
  <si>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</si>
  <si>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Athos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</si>
  <si>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</si>
  <si>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</si>
  <si>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</si>
  <si>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</si>
  <si>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</si>
  <si>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</si>
  <si>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</si>
  <si>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</si>
  <si>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</si>
  <si>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</si>
  <si>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</si>
  <si>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</si>
  <si>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</si>
  <si>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</si>
  <si>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</si>
  <si>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</si>
  <si>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</si>
  <si>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</si>
  <si>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</si>
  <si>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</si>
  <si>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</si>
  <si>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</si>
  <si>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</si>
  <si>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</si>
  <si>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</si>
  <si>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</si>
  <si>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</si>
  <si>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</si>
  <si>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</si>
  <si>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</si>
  <si>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</si>
  <si>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</si>
  <si>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</si>
  <si>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</si>
  <si>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</si>
  <si>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</si>
  <si>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</si>
  <si>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</si>
  <si>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</si>
  <si>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</si>
  <si>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</si>
  <si>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</si>
  <si>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</si>
  <si>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</si>
  <si>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</si>
  <si>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</si>
  <si>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</si>
  <si>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</si>
  <si>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</si>
  <si>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</si>
  <si>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</si>
  <si>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</si>
  <si>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</si>
  <si>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</si>
  <si>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</si>
  <si>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</si>
  <si>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</si>
  <si>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</si>
  <si>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</si>
  <si>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</si>
  <si>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</si>
  <si>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</si>
  <si>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</si>
  <si>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</si>
  <si>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</si>
  <si>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</si>
  <si>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</si>
  <si>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</si>
  <si>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</si>
  <si>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</si>
  <si>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</si>
  <si>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</si>
  <si>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</si>
  <si>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</si>
  <si>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</si>
  <si>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</si>
  <si>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</si>
  <si>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</si>
  <si>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</si>
  <si>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</si>
  <si>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</si>
  <si>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</si>
  <si>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</si>
  <si>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</si>
  <si>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</si>
  <si>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</si>
  <si>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</si>
  <si>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</si>
  <si>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</si>
  <si>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</si>
  <si>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</si>
  <si>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</si>
  <si>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</si>
  <si>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</si>
  <si>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</si>
  <si>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</si>
  <si>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</si>
  <si>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</si>
  <si>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</si>
  <si>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</si>
  <si>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</si>
  <si>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</si>
  <si>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</si>
  <si>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</si>
  <si>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</si>
  <si>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</si>
  <si>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</si>
  <si>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Ghillie +1</t>
  </si>
  <si>
    <t>Arrabbiata</t>
  </si>
  <si>
    <t>Usukane +1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</si>
  <si>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</si>
  <si>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</si>
  <si>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</si>
  <si>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</si>
  <si>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</si>
  <si>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</si>
  <si>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</si>
  <si>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</si>
  <si>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</si>
  <si>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</si>
  <si>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</si>
  <si>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</si>
  <si>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</si>
  <si>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Gear2</t>
  </si>
  <si>
    <t>Kusha's</t>
  </si>
  <si>
    <t>Lava's</t>
  </si>
  <si>
    <t>Att%</t>
  </si>
  <si>
    <t>KA</t>
  </si>
  <si>
    <t>Zan</t>
  </si>
  <si>
    <t>Hurch'lan</t>
  </si>
  <si>
    <t>Asperity</t>
  </si>
  <si>
    <t>S3</t>
  </si>
  <si>
    <t>Pya'ekue</t>
  </si>
  <si>
    <t>Tati</t>
  </si>
  <si>
    <t>Tati +1</t>
  </si>
  <si>
    <t>Dudgeon</t>
  </si>
  <si>
    <t>Heartseeker</t>
  </si>
  <si>
    <t>Bladeborn</t>
  </si>
  <si>
    <t>Steelflash</t>
  </si>
  <si>
    <t>Delve Fodder</t>
  </si>
  <si>
    <t>Moonshade AccTP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</si>
  <si>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</si>
  <si>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</si>
  <si>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</si>
  <si>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</si>
  <si>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</si>
  <si>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</si>
  <si>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</si>
  <si>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</si>
  <si>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</si>
  <si>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</si>
  <si>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</si>
  <si>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</si>
  <si>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</si>
  <si>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</si>
  <si>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</si>
  <si>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</si>
  <si>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Yokaze</t>
  </si>
  <si>
    <t>Tojil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</si>
  <si>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</si>
  <si>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</si>
  <si>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</si>
  <si>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</si>
  <si>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</si>
  <si>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</si>
  <si>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</si>
  <si>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</si>
  <si>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Aphotic</t>
  </si>
  <si>
    <t>Aphotic R2 Str</t>
  </si>
  <si>
    <t>Aphotic R2 Dex</t>
  </si>
  <si>
    <t>Aphotic R15 Str</t>
  </si>
  <si>
    <t>Aphotic R15 Dex</t>
  </si>
  <si>
    <t>Weapon 1</t>
  </si>
  <si>
    <t>AE Dmg</t>
  </si>
  <si>
    <t>Weapon 2</t>
  </si>
  <si>
    <t>Rounds/WS:</t>
  </si>
  <si>
    <t>Blitto Needle</t>
  </si>
  <si>
    <t>Adoulin</t>
  </si>
  <si>
    <t>Ionis</t>
  </si>
  <si>
    <t>Ionis C.Rate</t>
  </si>
  <si>
    <t>Ionis Att</t>
  </si>
  <si>
    <t>Ionis Acc</t>
  </si>
  <si>
    <t>Kannagi 119</t>
  </si>
  <si>
    <t>Kikoku 119</t>
  </si>
  <si>
    <t>Nagi 119</t>
  </si>
  <si>
    <t>Aqreaqa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</si>
  <si>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</si>
  <si>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</si>
  <si>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</si>
  <si>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</si>
  <si>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</si>
  <si>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</si>
  <si>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</si>
  <si>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</si>
  <si>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</si>
  <si>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</si>
  <si>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</si>
  <si>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</si>
  <si>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</si>
  <si>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</si>
  <si>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</si>
  <si>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</si>
  <si>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</si>
  <si>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</si>
  <si>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</si>
  <si>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</si>
  <si>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</si>
  <si>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</si>
  <si>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</si>
  <si>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</si>
  <si>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</si>
  <si>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</si>
  <si>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</si>
  <si>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</si>
  <si>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Eminent</t>
  </si>
  <si>
    <t>Eminent (latent)</t>
  </si>
  <si>
    <t>Raimitsukane</t>
  </si>
  <si>
    <t>Felistris Mask</t>
  </si>
  <si>
    <t>Hachiya +1</t>
  </si>
  <si>
    <t>Tripudio</t>
  </si>
  <si>
    <t>Trux</t>
  </si>
  <si>
    <t>Vanir</t>
  </si>
  <si>
    <t>Kuwunga (latent)</t>
  </si>
  <si>
    <t>Yetshila</t>
  </si>
  <si>
    <t>Yetshila +1</t>
  </si>
  <si>
    <t>Nanti</t>
  </si>
  <si>
    <t>Nanti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</si>
  <si>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</si>
  <si>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</si>
  <si>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</si>
  <si>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</si>
  <si>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</si>
  <si>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</si>
  <si>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</si>
  <si>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</si>
  <si>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</si>
  <si>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</si>
  <si>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</si>
  <si>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</si>
  <si>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</si>
  <si>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</si>
  <si>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Aetosaur +1</t>
  </si>
  <si>
    <t>Minuet 3</t>
  </si>
  <si>
    <t>AF3+2 Set</t>
  </si>
  <si>
    <t>March</t>
  </si>
  <si>
    <t>Minuet Merit</t>
  </si>
  <si>
    <t>Madrigal Merit</t>
  </si>
  <si>
    <t>Ptica</t>
  </si>
  <si>
    <t>Tengu-no-Hane (Day)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</si>
  <si>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</si>
  <si>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</si>
  <si>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</si>
  <si>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</si>
  <si>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</si>
  <si>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</si>
  <si>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</si>
  <si>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</si>
  <si>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Taikogane (OAT/ws)</t>
  </si>
  <si>
    <t>Taikogane (OAT/crit)</t>
  </si>
  <si>
    <t>Ifrit</t>
  </si>
  <si>
    <t>Ifrit +1</t>
  </si>
  <si>
    <t>Ramuh</t>
  </si>
  <si>
    <t>Ramuh +1</t>
  </si>
  <si>
    <t>Garuda</t>
  </si>
  <si>
    <t>Garuda +1</t>
  </si>
  <si>
    <t>Shiva</t>
  </si>
  <si>
    <t>Shiva +1</t>
  </si>
  <si>
    <t>Sweordfaetels</t>
  </si>
  <si>
    <t>Sweordfaetels +1</t>
  </si>
  <si>
    <t>Mes'yosi</t>
  </si>
  <si>
    <t>Ombre Tathlum +1</t>
  </si>
  <si>
    <t>Hasty Pinion +1</t>
  </si>
  <si>
    <t>Fugacity +1</t>
  </si>
  <si>
    <t>Gallian +1</t>
  </si>
  <si>
    <t>Gavialis</t>
  </si>
  <si>
    <t>R.Acc</t>
  </si>
  <si>
    <t>R.Att</t>
  </si>
  <si>
    <t>M.Acc</t>
  </si>
  <si>
    <t>MAB</t>
  </si>
  <si>
    <t>MDmg</t>
  </si>
  <si>
    <t>Prosilio +1 (ws)</t>
  </si>
  <si>
    <t>Windbuffet +1</t>
  </si>
  <si>
    <t>Olseni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</si>
  <si>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</si>
  <si>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</si>
  <si>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</si>
  <si>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</si>
  <si>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</si>
  <si>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</si>
  <si>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</si>
  <si>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</si>
  <si>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</si>
  <si>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Nokizaru</t>
  </si>
  <si>
    <t>Manji</t>
  </si>
  <si>
    <t>Roppo</t>
  </si>
  <si>
    <t>Roppo +1</t>
  </si>
  <si>
    <t>Happo</t>
  </si>
  <si>
    <t>Happo +1</t>
  </si>
  <si>
    <t>Suppa</t>
  </si>
  <si>
    <t>Togakushi</t>
  </si>
  <si>
    <t>Shurikens</t>
  </si>
  <si>
    <t>Gaudryi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</si>
  <si>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</si>
  <si>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</si>
  <si>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</si>
  <si>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</si>
  <si>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</si>
  <si>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</si>
  <si>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</si>
  <si>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</si>
  <si>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</si>
  <si>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</si>
  <si>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</si>
  <si>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</si>
  <si>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</si>
  <si>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</si>
  <si>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</si>
  <si>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</si>
  <si>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</si>
  <si>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</si>
  <si>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</si>
  <si>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</si>
  <si>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</si>
  <si>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Enervating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</si>
  <si>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</si>
  <si>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</si>
  <si>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</si>
  <si>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</si>
  <si>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</si>
  <si>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</si>
  <si>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</si>
  <si>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</si>
  <si>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</si>
  <si>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Eschan</t>
  </si>
  <si>
    <t>Grunfeld</t>
  </si>
  <si>
    <t>Samnuha</t>
  </si>
  <si>
    <t>Ta'lab</t>
  </si>
  <si>
    <t>Loyalist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</si>
  <si>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</si>
  <si>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</si>
  <si>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</si>
  <si>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</si>
  <si>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</si>
  <si>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</si>
  <si>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</si>
  <si>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</si>
  <si>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</si>
  <si>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</si>
  <si>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</si>
  <si>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</si>
  <si>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</si>
  <si>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</si>
  <si>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Ryuo A</t>
  </si>
  <si>
    <t>Ryuo A HQ</t>
  </si>
  <si>
    <t>Ryuo C</t>
  </si>
  <si>
    <t>Ryuo C HQ</t>
  </si>
  <si>
    <t>Caro Necklace</t>
  </si>
  <si>
    <t>Clotharius</t>
  </si>
  <si>
    <t>Assuage Earring</t>
  </si>
  <si>
    <t>Cessance Earring</t>
  </si>
  <si>
    <t>Passion Jacket</t>
  </si>
  <si>
    <t>Rawhide B</t>
  </si>
  <si>
    <t>Ryuo D</t>
  </si>
  <si>
    <t>Ryuo D HQ</t>
  </si>
  <si>
    <t>Apate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</si>
  <si>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</si>
  <si>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</si>
  <si>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</si>
  <si>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</si>
  <si>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</si>
  <si>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</si>
  <si>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</si>
  <si>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</si>
  <si>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</si>
  <si>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</si>
  <si>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</si>
  <si>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</si>
  <si>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</si>
  <si>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</si>
  <si>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</si>
  <si>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</si>
  <si>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</si>
  <si>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</si>
  <si>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</si>
  <si>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</si>
  <si>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</si>
  <si>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</si>
  <si>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</si>
  <si>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</si>
  <si>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</si>
  <si>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</si>
  <si>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</si>
  <si>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</si>
  <si>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</si>
  <si>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</si>
  <si>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</si>
  <si>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</si>
  <si>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</si>
  <si>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</si>
  <si>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</si>
  <si>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</si>
  <si>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</si>
  <si>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Ryuo A NQ</t>
  </si>
  <si>
    <t>Ryuo C NQ</t>
  </si>
  <si>
    <t>Adhemar A HQ</t>
  </si>
  <si>
    <t>Adhemar B HQ</t>
  </si>
  <si>
    <t>Adhemar A NQ</t>
  </si>
  <si>
    <t>Adhemar B NQ</t>
  </si>
  <si>
    <t>Rao A NQ</t>
  </si>
  <si>
    <t>Aftermath Attk</t>
  </si>
  <si>
    <t>Ecliptic</t>
  </si>
  <si>
    <t>ilvl122</t>
  </si>
  <si>
    <t>ilvl130</t>
  </si>
  <si>
    <t>ilvl135</t>
  </si>
  <si>
    <t>Heishi Shorinken</t>
  </si>
  <si>
    <t>Shigi</t>
  </si>
  <si>
    <t>Kanaria TA</t>
  </si>
  <si>
    <t>Ken</t>
  </si>
  <si>
    <t>Ken +1</t>
  </si>
  <si>
    <t>Hizamaru +1</t>
  </si>
  <si>
    <t>Mummu +1</t>
  </si>
  <si>
    <t>Ilabrat</t>
  </si>
  <si>
    <t>Regal</t>
  </si>
  <si>
    <t>Regal (set bonus)</t>
  </si>
  <si>
    <t>Dingir</t>
  </si>
  <si>
    <t>Andartia DEX/DA</t>
  </si>
  <si>
    <t>Andartia DEX/WSD</t>
  </si>
  <si>
    <t>Yamarang</t>
  </si>
  <si>
    <t>Hachiya +2</t>
  </si>
  <si>
    <t>Hetairaoi</t>
  </si>
  <si>
    <t>Herc. Dex WSD</t>
  </si>
  <si>
    <t>Herc. Dex WSD`</t>
  </si>
  <si>
    <t>Ilabrat ws</t>
  </si>
  <si>
    <t>Odium</t>
  </si>
  <si>
    <t>Ternion +1</t>
  </si>
  <si>
    <t>Ternion</t>
  </si>
  <si>
    <t>Mache</t>
  </si>
  <si>
    <t>Evisceration</t>
  </si>
  <si>
    <t>Andartia DEX/Crit</t>
  </si>
  <si>
    <t>Mummu +2</t>
  </si>
  <si>
    <t>Moonbeam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</si>
</sst>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0" applyNumberFormat="1" applyFont="1" applyAlignment="1">
      <alignment horizontal="left" wrapText="1"/>
    </xf>
    <xf numFmtId="0" fontId="4" fillId="0" borderId="0" xfId="0" applyFont="1" applyAlignment="1">
      <alignment horizontal="right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CCFFFF"/>
      <color rgb="FF00FFFF"/>
      <color rgb="FF66FF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2"/>
  </sheetPr>
  <dimension ref="A1:N49"/>
  <sheetViews>
    <sheetView workbookViewId="0">
      <selection activeCell="J5" sqref="J5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4">
      <c r="A1" s="9"/>
      <c r="B1" s="9" t="s">
        <v>161</v>
      </c>
      <c r="C1" s="9" t="s">
        <v>163</v>
      </c>
      <c r="D1" s="9"/>
      <c r="E1" s="101" t="s">
        <v>409</v>
      </c>
      <c r="F1" s="9" t="s">
        <v>161</v>
      </c>
      <c r="G1" s="9" t="s">
        <v>163</v>
      </c>
      <c r="H1" s="9"/>
      <c r="I1" s="9" t="s">
        <v>410</v>
      </c>
      <c r="J1" s="9" t="s">
        <v>161</v>
      </c>
      <c r="K1" s="9" t="s">
        <v>163</v>
      </c>
      <c r="L1" s="9"/>
      <c r="M1" s="9" t="s">
        <v>31</v>
      </c>
      <c r="N1" s="10" t="s">
        <v>780</v>
      </c>
    </row>
    <row r="2" spans="1:14">
      <c r="E2" s="102"/>
      <c r="F2" s="102"/>
      <c r="G2" s="102"/>
      <c r="M2" t="s">
        <v>32</v>
      </c>
      <c r="N2" s="31">
        <f>VLOOKUP($N$1,Mobs,MATCH($M2,MobHeader,0), FALSE)</f>
        <v>130</v>
      </c>
    </row>
    <row r="3" spans="1:14">
      <c r="A3" s="9" t="s">
        <v>180</v>
      </c>
      <c r="E3" s="101" t="s">
        <v>411</v>
      </c>
      <c r="F3" s="102"/>
      <c r="G3" s="102"/>
      <c r="I3" s="9" t="s">
        <v>412</v>
      </c>
      <c r="M3" t="s">
        <v>33</v>
      </c>
      <c r="N3" s="31">
        <f>VLOOKUP($N$1,Mobs,MATCH($M3,MobHeader,0), FALSE)</f>
        <v>1239</v>
      </c>
    </row>
    <row r="4" spans="1:14">
      <c r="A4" s="22" t="s">
        <v>0</v>
      </c>
      <c r="B4" s="10" t="s">
        <v>1</v>
      </c>
      <c r="C4" t="str">
        <f>B4</f>
        <v>Hume</v>
      </c>
      <c r="E4" t="s">
        <v>265</v>
      </c>
      <c r="F4" s="10">
        <v>1</v>
      </c>
      <c r="G4" s="10">
        <v>1</v>
      </c>
      <c r="I4" s="149" t="s">
        <v>623</v>
      </c>
      <c r="J4" s="10">
        <v>1</v>
      </c>
      <c r="K4" s="10">
        <v>1</v>
      </c>
      <c r="M4" t="s">
        <v>439</v>
      </c>
      <c r="N4" s="11">
        <v>0.15</v>
      </c>
    </row>
    <row r="5" spans="1:14">
      <c r="A5" s="22" t="s">
        <v>32</v>
      </c>
      <c r="B5" s="51">
        <v>99</v>
      </c>
      <c r="C5" s="52">
        <f>B5</f>
        <v>99</v>
      </c>
      <c r="D5" s="52"/>
      <c r="E5" t="s">
        <v>266</v>
      </c>
      <c r="F5" s="10">
        <v>0</v>
      </c>
      <c r="G5" s="10">
        <v>0</v>
      </c>
      <c r="L5" s="52"/>
      <c r="M5" t="s">
        <v>188</v>
      </c>
      <c r="N5" s="212">
        <f>N3-FLOOR(N3*(N4+(IF($J$47=1, Setup!$M$47, 0))), 1)</f>
        <v>703</v>
      </c>
    </row>
    <row r="6" spans="1:14">
      <c r="A6" t="s">
        <v>185</v>
      </c>
      <c r="B6" s="10" t="s">
        <v>186</v>
      </c>
      <c r="C6" s="31" t="str">
        <f>B6</f>
        <v>War</v>
      </c>
      <c r="D6" s="31"/>
      <c r="E6" t="s">
        <v>653</v>
      </c>
      <c r="F6" s="10">
        <v>0</v>
      </c>
      <c r="G6" s="10">
        <v>0</v>
      </c>
      <c r="I6" s="9" t="s">
        <v>413</v>
      </c>
      <c r="L6" s="31"/>
      <c r="M6" t="s">
        <v>34</v>
      </c>
      <c r="N6" s="200">
        <f>(VLOOKUP($N$1,Mobs,MATCH($M6,MobHeader,0),FALSE)-(IF($J$46=1,Setup!$M$46,0)))</f>
        <v>1219</v>
      </c>
    </row>
    <row r="7" spans="1:14">
      <c r="A7" t="s">
        <v>83</v>
      </c>
      <c r="B7" s="10" t="s">
        <v>759</v>
      </c>
      <c r="C7" s="31" t="str">
        <f>B7</f>
        <v>Sublime Sushi</v>
      </c>
      <c r="D7" s="31"/>
      <c r="F7" s="106"/>
      <c r="G7" s="10"/>
      <c r="I7" s="103" t="s">
        <v>414</v>
      </c>
      <c r="J7" s="104">
        <v>500</v>
      </c>
      <c r="K7" s="105">
        <v>500</v>
      </c>
      <c r="L7" s="31"/>
      <c r="M7" t="s">
        <v>5</v>
      </c>
      <c r="N7" s="31">
        <f>VLOOKUP($N$1,Mobs,MATCH($M7,MobHeader,0), FALSE)</f>
        <v>271</v>
      </c>
    </row>
    <row r="8" spans="1:14">
      <c r="E8" s="101" t="s">
        <v>417</v>
      </c>
      <c r="F8" s="102"/>
      <c r="G8" s="102"/>
      <c r="I8" s="149" t="s">
        <v>416</v>
      </c>
      <c r="J8" s="10">
        <v>1</v>
      </c>
      <c r="K8" s="10">
        <v>1</v>
      </c>
      <c r="M8" t="s">
        <v>42</v>
      </c>
      <c r="N8" s="31">
        <f>VLOOKUP($N$1,Mobs,MATCH($M8,MobHeader,0), FALSE)</f>
        <v>272</v>
      </c>
    </row>
    <row r="9" spans="1:14">
      <c r="A9" s="9" t="s">
        <v>6</v>
      </c>
      <c r="E9" t="s">
        <v>129</v>
      </c>
      <c r="F9" s="10">
        <v>1</v>
      </c>
      <c r="G9" s="10">
        <v>1</v>
      </c>
      <c r="M9" t="s">
        <v>444</v>
      </c>
      <c r="N9" s="91">
        <f>VLOOKUP($N$1,Mobs,MATCH("CritDef",MobHeader,0), FALSE)</f>
        <v>0</v>
      </c>
    </row>
    <row r="10" spans="1:14">
      <c r="A10" t="s">
        <v>3</v>
      </c>
      <c r="B10" s="10">
        <v>15</v>
      </c>
      <c r="C10">
        <f t="shared" ref="C10:C17" si="0">B10</f>
        <v>15</v>
      </c>
      <c r="E10" t="s">
        <v>194</v>
      </c>
      <c r="F10" s="10">
        <v>1</v>
      </c>
      <c r="G10" s="10">
        <v>1</v>
      </c>
      <c r="I10" s="9" t="s">
        <v>426</v>
      </c>
      <c r="M10" t="s">
        <v>445</v>
      </c>
      <c r="N10" s="91">
        <f>VLOOKUP($N$1,Mobs,MATCH("CritRate",MobHeader,0), FALSE)</f>
        <v>0</v>
      </c>
    </row>
    <row r="11" spans="1:14">
      <c r="A11" t="s">
        <v>4</v>
      </c>
      <c r="B11" s="10">
        <v>15</v>
      </c>
      <c r="C11">
        <f t="shared" si="0"/>
        <v>15</v>
      </c>
      <c r="E11" t="s">
        <v>420</v>
      </c>
      <c r="F11" s="10">
        <v>0</v>
      </c>
      <c r="G11" s="10">
        <v>0</v>
      </c>
      <c r="I11" s="31" t="s">
        <v>427</v>
      </c>
      <c r="J11" s="104">
        <v>450</v>
      </c>
      <c r="K11" s="105">
        <v>450</v>
      </c>
    </row>
    <row r="12" spans="1:14">
      <c r="A12" t="s">
        <v>42</v>
      </c>
      <c r="B12" s="10">
        <v>15</v>
      </c>
      <c r="C12">
        <f t="shared" si="0"/>
        <v>15</v>
      </c>
      <c r="I12" s="31" t="s">
        <v>429</v>
      </c>
      <c r="J12" s="10">
        <v>0</v>
      </c>
      <c r="K12" s="10">
        <v>0</v>
      </c>
    </row>
    <row r="13" spans="1:14">
      <c r="A13" t="s">
        <v>192</v>
      </c>
      <c r="B13" s="11">
        <v>0.05</v>
      </c>
      <c r="C13" s="2">
        <f t="shared" si="0"/>
        <v>0.05</v>
      </c>
      <c r="D13" s="2"/>
    </row>
    <row r="14" spans="1:14">
      <c r="A14" s="31" t="s">
        <v>653</v>
      </c>
      <c r="B14" s="10">
        <v>5</v>
      </c>
      <c r="C14">
        <f t="shared" ref="C14" si="1">B14</f>
        <v>5</v>
      </c>
      <c r="D14" s="2"/>
      <c r="E14" s="101" t="s">
        <v>421</v>
      </c>
      <c r="F14" s="9" t="s">
        <v>161</v>
      </c>
      <c r="G14" s="9" t="s">
        <v>163</v>
      </c>
      <c r="I14" s="9" t="s">
        <v>432</v>
      </c>
    </row>
    <row r="15" spans="1:14">
      <c r="A15" t="s">
        <v>264</v>
      </c>
      <c r="B15" s="10">
        <v>16</v>
      </c>
      <c r="C15">
        <f t="shared" si="0"/>
        <v>16</v>
      </c>
      <c r="E15" s="102"/>
      <c r="F15" s="102"/>
      <c r="G15" s="102"/>
      <c r="I15" s="103" t="s">
        <v>414</v>
      </c>
      <c r="J15" s="104">
        <v>475</v>
      </c>
      <c r="K15" s="105">
        <v>475</v>
      </c>
    </row>
    <row r="16" spans="1:14">
      <c r="A16" s="31" t="s">
        <v>531</v>
      </c>
      <c r="B16" s="10">
        <v>16</v>
      </c>
      <c r="C16">
        <f t="shared" si="0"/>
        <v>16</v>
      </c>
      <c r="E16" s="9" t="s">
        <v>181</v>
      </c>
      <c r="I16" t="s">
        <v>370</v>
      </c>
      <c r="J16" s="10">
        <v>0</v>
      </c>
      <c r="K16" s="10">
        <v>0</v>
      </c>
    </row>
    <row r="17" spans="1:14">
      <c r="A17" s="31" t="s">
        <v>658</v>
      </c>
      <c r="B17" s="10">
        <v>16</v>
      </c>
      <c r="C17">
        <f t="shared" si="0"/>
        <v>16</v>
      </c>
      <c r="E17" t="s">
        <v>183</v>
      </c>
      <c r="F17" s="10">
        <v>0</v>
      </c>
      <c r="G17" s="10">
        <v>0</v>
      </c>
      <c r="H17" s="10"/>
      <c r="I17" t="s">
        <v>433</v>
      </c>
      <c r="J17" s="10">
        <v>0</v>
      </c>
      <c r="K17" s="10">
        <v>0</v>
      </c>
    </row>
    <row r="18" spans="1:14">
      <c r="A18" t="s">
        <v>353</v>
      </c>
      <c r="B18" s="10">
        <v>5</v>
      </c>
      <c r="C18">
        <v>5</v>
      </c>
      <c r="E18" t="s">
        <v>184</v>
      </c>
      <c r="F18" s="105">
        <v>70</v>
      </c>
      <c r="G18" s="105">
        <f>F18</f>
        <v>70</v>
      </c>
      <c r="H18" s="10"/>
      <c r="I18" t="s">
        <v>198</v>
      </c>
      <c r="J18" s="10">
        <v>0</v>
      </c>
      <c r="K18" s="10">
        <v>0</v>
      </c>
    </row>
    <row r="19" spans="1:14">
      <c r="B19" s="10"/>
      <c r="E19" t="s">
        <v>187</v>
      </c>
      <c r="F19" s="10" t="s">
        <v>121</v>
      </c>
      <c r="G19" s="10" t="s">
        <v>121</v>
      </c>
      <c r="H19" s="10"/>
    </row>
    <row r="20" spans="1:14">
      <c r="A20" s="9" t="s">
        <v>193</v>
      </c>
      <c r="E20" t="s">
        <v>189</v>
      </c>
      <c r="F20" s="10" t="s">
        <v>120</v>
      </c>
      <c r="G20" s="10" t="s">
        <v>120</v>
      </c>
      <c r="H20" s="10"/>
      <c r="I20" s="9" t="s">
        <v>215</v>
      </c>
    </row>
    <row r="21" spans="1:14">
      <c r="A21" t="s">
        <v>195</v>
      </c>
      <c r="B21" s="10" t="s">
        <v>805</v>
      </c>
      <c r="C21" s="10" t="s">
        <v>353</v>
      </c>
      <c r="D21" s="10"/>
      <c r="E21" t="s">
        <v>190</v>
      </c>
      <c r="F21" s="10" t="s">
        <v>191</v>
      </c>
      <c r="G21" s="10" t="s">
        <v>191</v>
      </c>
      <c r="H21" s="10"/>
      <c r="I21" t="s">
        <v>434</v>
      </c>
      <c r="J21" s="10">
        <v>0</v>
      </c>
      <c r="K21" s="10">
        <v>0</v>
      </c>
    </row>
    <row r="22" spans="1:14">
      <c r="A22" s="211" t="s">
        <v>764</v>
      </c>
      <c r="B22" s="11">
        <v>0</v>
      </c>
      <c r="C22" s="11">
        <v>0</v>
      </c>
      <c r="D22" s="10"/>
    </row>
    <row r="23" spans="1:14">
      <c r="A23" s="211" t="s">
        <v>768</v>
      </c>
      <c r="B23" s="10">
        <v>0</v>
      </c>
      <c r="C23" s="10">
        <v>0</v>
      </c>
      <c r="E23" s="9" t="s">
        <v>361</v>
      </c>
      <c r="F23" s="10">
        <v>0</v>
      </c>
      <c r="G23">
        <f>F23</f>
        <v>0</v>
      </c>
      <c r="I23" s="9" t="s">
        <v>418</v>
      </c>
    </row>
    <row r="24" spans="1:14">
      <c r="A24" t="s">
        <v>450</v>
      </c>
      <c r="B24" s="10">
        <v>0</v>
      </c>
      <c r="C24" s="10">
        <v>0</v>
      </c>
      <c r="E24" t="s">
        <v>428</v>
      </c>
      <c r="F24" s="90" t="s">
        <v>362</v>
      </c>
      <c r="G24" s="90" t="s">
        <v>362</v>
      </c>
      <c r="I24" s="103" t="s">
        <v>419</v>
      </c>
      <c r="J24" s="10">
        <v>0</v>
      </c>
      <c r="K24" s="10">
        <v>0</v>
      </c>
      <c r="L24" s="31" t="s">
        <v>611</v>
      </c>
      <c r="M24" s="105">
        <v>5</v>
      </c>
      <c r="N24" s="105">
        <v>5</v>
      </c>
    </row>
    <row r="25" spans="1:14">
      <c r="A25" t="s">
        <v>451</v>
      </c>
      <c r="B25" s="105">
        <v>210</v>
      </c>
      <c r="C25" s="105">
        <v>210</v>
      </c>
      <c r="E25" t="s">
        <v>430</v>
      </c>
      <c r="F25" s="90" t="s">
        <v>362</v>
      </c>
      <c r="G25" s="90" t="s">
        <v>362</v>
      </c>
      <c r="I25" s="30" t="s">
        <v>159</v>
      </c>
      <c r="J25" s="10">
        <v>1</v>
      </c>
      <c r="K25" s="10">
        <v>1</v>
      </c>
      <c r="L25" s="31" t="s">
        <v>612</v>
      </c>
      <c r="M25" s="105">
        <v>5</v>
      </c>
      <c r="N25" s="105">
        <v>5</v>
      </c>
    </row>
    <row r="26" spans="1:14">
      <c r="A26" t="s">
        <v>452</v>
      </c>
      <c r="B26" s="10">
        <v>0</v>
      </c>
      <c r="C26" s="10">
        <v>0</v>
      </c>
      <c r="E26" t="s">
        <v>431</v>
      </c>
      <c r="F26" s="90" t="s">
        <v>362</v>
      </c>
      <c r="G26" s="90" t="s">
        <v>362</v>
      </c>
      <c r="I26" s="53" t="s">
        <v>158</v>
      </c>
      <c r="J26" s="10">
        <v>1</v>
      </c>
      <c r="K26" s="10">
        <v>1</v>
      </c>
    </row>
    <row r="27" spans="1:14">
      <c r="B27" s="10"/>
      <c r="C27" s="10"/>
      <c r="I27" t="s">
        <v>422</v>
      </c>
      <c r="J27" s="10">
        <v>0</v>
      </c>
      <c r="K27" s="10">
        <v>0</v>
      </c>
      <c r="L27" s="31" t="s">
        <v>102</v>
      </c>
      <c r="M27" s="105">
        <v>5</v>
      </c>
      <c r="N27" s="105">
        <v>5</v>
      </c>
    </row>
    <row r="28" spans="1:14">
      <c r="E28" t="s">
        <v>199</v>
      </c>
      <c r="F28" s="10">
        <v>0</v>
      </c>
      <c r="G28" s="10">
        <v>0</v>
      </c>
      <c r="I28" t="s">
        <v>423</v>
      </c>
      <c r="J28" s="10">
        <v>0</v>
      </c>
      <c r="K28" s="10">
        <v>0</v>
      </c>
      <c r="L28" s="31" t="s">
        <v>613</v>
      </c>
      <c r="M28" s="105">
        <v>5</v>
      </c>
      <c r="N28" s="105">
        <v>5</v>
      </c>
    </row>
    <row r="29" spans="1:14">
      <c r="A29" s="9" t="s">
        <v>200</v>
      </c>
      <c r="B29" s="9" t="s">
        <v>161</v>
      </c>
      <c r="C29" s="9" t="s">
        <v>163</v>
      </c>
      <c r="F29" s="10"/>
      <c r="G29" s="10"/>
      <c r="I29" s="31" t="s">
        <v>610</v>
      </c>
      <c r="J29" s="10">
        <v>0</v>
      </c>
      <c r="K29" s="10">
        <v>0</v>
      </c>
      <c r="L29" s="10"/>
      <c r="M29" s="10"/>
      <c r="N29" s="10"/>
    </row>
    <row r="30" spans="1:14">
      <c r="A30" t="s">
        <v>201</v>
      </c>
      <c r="B30" s="7">
        <f ca="1">Data!B259</f>
        <v>1579.3517024659973</v>
      </c>
      <c r="C30" s="7">
        <f ca="1">Data!C259</f>
        <v>2256.7780243606257</v>
      </c>
      <c r="E30" s="9" t="s">
        <v>545</v>
      </c>
      <c r="F30" s="10"/>
      <c r="G30" s="10"/>
      <c r="I30" t="s">
        <v>424</v>
      </c>
      <c r="J30" s="10">
        <v>0</v>
      </c>
      <c r="K30" s="10">
        <v>0</v>
      </c>
      <c r="L30" s="31" t="s">
        <v>462</v>
      </c>
      <c r="M30" s="105">
        <v>5</v>
      </c>
      <c r="N30" s="105">
        <v>5</v>
      </c>
    </row>
    <row r="31" spans="1:14">
      <c r="A31" t="s">
        <v>202</v>
      </c>
      <c r="B31" s="6">
        <f ca="1">Data!B267</f>
        <v>1335.839325433795</v>
      </c>
      <c r="C31" s="6">
        <f ca="1">Data!C267</f>
        <v>1468.8182395838651</v>
      </c>
      <c r="E31" t="s">
        <v>546</v>
      </c>
      <c r="F31" s="10">
        <v>1</v>
      </c>
      <c r="G31" s="10">
        <v>1</v>
      </c>
      <c r="I31" t="s">
        <v>425</v>
      </c>
      <c r="J31" s="10">
        <v>0</v>
      </c>
      <c r="K31" s="10">
        <v>0</v>
      </c>
      <c r="L31" s="31" t="s">
        <v>614</v>
      </c>
      <c r="M31" s="105">
        <v>5</v>
      </c>
      <c r="N31" s="105">
        <v>5</v>
      </c>
    </row>
    <row r="33" spans="1:14">
      <c r="A33" t="s">
        <v>203</v>
      </c>
      <c r="B33" s="4">
        <f ca="1">Data!D276</f>
        <v>2.9915356145640293</v>
      </c>
      <c r="C33" s="4">
        <f ca="1">Data!E276</f>
        <v>2.8538593060817963</v>
      </c>
      <c r="I33" s="9" t="s">
        <v>435</v>
      </c>
      <c r="M33" s="9" t="s">
        <v>161</v>
      </c>
      <c r="N33" s="9" t="s">
        <v>163</v>
      </c>
    </row>
    <row r="34" spans="1:14">
      <c r="A34" s="22" t="s">
        <v>40</v>
      </c>
      <c r="B34" s="7">
        <f ca="1">Data!D275</f>
        <v>14407.607262098561</v>
      </c>
      <c r="C34" s="7">
        <f ca="1">Data!E275</f>
        <v>13663.284693550815</v>
      </c>
      <c r="E34" t="s">
        <v>472</v>
      </c>
      <c r="F34" s="10">
        <v>0</v>
      </c>
      <c r="G34" s="10">
        <v>0</v>
      </c>
      <c r="I34" t="s">
        <v>196</v>
      </c>
      <c r="J34" s="10">
        <v>1</v>
      </c>
      <c r="K34" s="10">
        <v>1</v>
      </c>
      <c r="L34" t="s">
        <v>446</v>
      </c>
      <c r="M34" s="107">
        <v>0.56000000000000005</v>
      </c>
      <c r="N34" s="108">
        <v>0.56000000000000005</v>
      </c>
    </row>
    <row r="35" spans="1:14">
      <c r="I35" t="s">
        <v>510</v>
      </c>
      <c r="J35" s="10">
        <v>0</v>
      </c>
      <c r="K35" s="10">
        <v>0</v>
      </c>
      <c r="L35" t="s">
        <v>10</v>
      </c>
      <c r="M35" s="105">
        <v>40</v>
      </c>
      <c r="N35" s="105">
        <v>40</v>
      </c>
    </row>
    <row r="36" spans="1:14">
      <c r="A36" t="s">
        <v>204</v>
      </c>
      <c r="B36" s="7">
        <f ca="1">Data!D278</f>
        <v>19132.294127947924</v>
      </c>
      <c r="C36" s="7">
        <f ca="1">Data!E278</f>
        <v>20103.811660133277</v>
      </c>
      <c r="E36" s="9" t="s">
        <v>357</v>
      </c>
      <c r="F36" s="10"/>
      <c r="G36" s="10"/>
      <c r="I36" t="s">
        <v>436</v>
      </c>
      <c r="J36" s="10">
        <v>0</v>
      </c>
      <c r="K36" s="10">
        <v>0</v>
      </c>
      <c r="L36" t="s">
        <v>447</v>
      </c>
      <c r="M36" s="107">
        <v>0.16</v>
      </c>
      <c r="N36" s="108">
        <v>0.16</v>
      </c>
    </row>
    <row r="37" spans="1:14">
      <c r="A37" t="s">
        <v>205</v>
      </c>
      <c r="B37" s="7">
        <f ca="1">Data!D277</f>
        <v>332.21205765813579</v>
      </c>
      <c r="C37" s="7">
        <f ca="1">Data!E277</f>
        <v>383.09015477941557</v>
      </c>
      <c r="E37" t="s">
        <v>69</v>
      </c>
      <c r="F37" s="10">
        <v>0.6</v>
      </c>
      <c r="G37" s="10">
        <v>0.6</v>
      </c>
      <c r="I37" t="s">
        <v>437</v>
      </c>
      <c r="J37" s="10">
        <v>0</v>
      </c>
      <c r="K37" s="10">
        <v>0</v>
      </c>
      <c r="L37" t="s">
        <v>448</v>
      </c>
      <c r="M37" s="107">
        <v>0.15</v>
      </c>
      <c r="N37" s="108">
        <v>0.15</v>
      </c>
    </row>
    <row r="38" spans="1:14">
      <c r="E38" t="s">
        <v>358</v>
      </c>
      <c r="F38" s="10">
        <v>0</v>
      </c>
      <c r="G38" s="10">
        <v>0</v>
      </c>
      <c r="I38" t="s">
        <v>70</v>
      </c>
      <c r="J38" s="10">
        <v>1</v>
      </c>
      <c r="K38" s="10">
        <v>1</v>
      </c>
      <c r="L38" t="s">
        <v>13</v>
      </c>
      <c r="M38" s="105">
        <v>70</v>
      </c>
      <c r="N38" s="105">
        <v>70</v>
      </c>
    </row>
    <row r="39" spans="1:14">
      <c r="A39" s="9" t="s">
        <v>206</v>
      </c>
      <c r="B39" s="8">
        <f ca="1">Data!D279</f>
        <v>3455.43643349082</v>
      </c>
      <c r="C39" s="8">
        <f ca="1">Data!E279</f>
        <v>3148.6810207966496</v>
      </c>
      <c r="E39" t="s">
        <v>368</v>
      </c>
      <c r="F39" s="10">
        <v>1000</v>
      </c>
      <c r="G39" s="10">
        <v>1000</v>
      </c>
      <c r="I39" t="s">
        <v>197</v>
      </c>
      <c r="J39" s="10">
        <v>0</v>
      </c>
      <c r="K39" s="10">
        <v>0</v>
      </c>
      <c r="L39" t="s">
        <v>124</v>
      </c>
      <c r="M39" s="105">
        <v>40</v>
      </c>
      <c r="N39" s="105">
        <v>40</v>
      </c>
    </row>
    <row r="40" spans="1:14">
      <c r="E40" t="s">
        <v>369</v>
      </c>
      <c r="F40" s="10">
        <v>0</v>
      </c>
      <c r="G40" s="10">
        <v>0</v>
      </c>
      <c r="I40" t="s">
        <v>438</v>
      </c>
      <c r="J40" s="10">
        <v>0</v>
      </c>
      <c r="K40" s="10">
        <v>0</v>
      </c>
      <c r="L40" t="s">
        <v>449</v>
      </c>
      <c r="M40" s="105">
        <v>200</v>
      </c>
      <c r="N40" s="105">
        <v>200</v>
      </c>
    </row>
    <row r="41" spans="1:14">
      <c r="A41" s="9" t="s">
        <v>207</v>
      </c>
      <c r="B41" s="9" t="s">
        <v>161</v>
      </c>
      <c r="C41" s="9" t="s">
        <v>163</v>
      </c>
    </row>
    <row r="42" spans="1:14">
      <c r="A42" t="s">
        <v>208</v>
      </c>
      <c r="D42" t="s">
        <v>209</v>
      </c>
      <c r="I42" s="9" t="s">
        <v>746</v>
      </c>
    </row>
    <row r="43" spans="1:14">
      <c r="A43" t="s">
        <v>210</v>
      </c>
      <c r="B43" s="54">
        <v>180</v>
      </c>
      <c r="C43" s="54">
        <v>120</v>
      </c>
      <c r="D43">
        <f>B43+C43</f>
        <v>300</v>
      </c>
      <c r="I43" s="211" t="s">
        <v>747</v>
      </c>
      <c r="J43" s="222">
        <v>0</v>
      </c>
      <c r="K43" s="222"/>
    </row>
    <row r="44" spans="1:14">
      <c r="A44" s="9" t="s">
        <v>211</v>
      </c>
      <c r="B44" s="8">
        <f ca="1">B39*B43/D43 + C39*C43/D43</f>
        <v>3332.7342684131518</v>
      </c>
      <c r="C44" s="6"/>
      <c r="I44" s="211" t="s">
        <v>748</v>
      </c>
      <c r="J44" s="222">
        <v>0</v>
      </c>
      <c r="K44" s="222"/>
    </row>
    <row r="45" spans="1:14">
      <c r="I45" s="26" t="s">
        <v>749</v>
      </c>
      <c r="J45" s="222">
        <v>0</v>
      </c>
      <c r="K45" s="222"/>
      <c r="M45" s="9" t="s">
        <v>161</v>
      </c>
      <c r="N45" s="9" t="s">
        <v>163</v>
      </c>
    </row>
    <row r="46" spans="1:14">
      <c r="I46" s="211" t="s">
        <v>750</v>
      </c>
      <c r="J46" s="222">
        <v>0</v>
      </c>
      <c r="K46" s="222"/>
      <c r="L46" s="211" t="s">
        <v>754</v>
      </c>
      <c r="M46" s="216">
        <v>75</v>
      </c>
      <c r="N46" s="217"/>
    </row>
    <row r="47" spans="1:14">
      <c r="I47" s="211" t="s">
        <v>751</v>
      </c>
      <c r="J47" s="222">
        <v>1</v>
      </c>
      <c r="K47" s="222"/>
      <c r="L47" s="211" t="s">
        <v>755</v>
      </c>
      <c r="M47" s="218">
        <v>0.28299999999999997</v>
      </c>
      <c r="N47" s="218"/>
    </row>
    <row r="48" spans="1:14">
      <c r="I48" s="211" t="s">
        <v>752</v>
      </c>
      <c r="J48" s="10">
        <v>0</v>
      </c>
      <c r="K48" s="10">
        <v>0</v>
      </c>
      <c r="L48" s="211" t="s">
        <v>756</v>
      </c>
      <c r="M48" s="217">
        <v>75</v>
      </c>
      <c r="N48" s="217">
        <v>75</v>
      </c>
    </row>
    <row r="49" spans="9:14">
      <c r="I49" s="211" t="s">
        <v>753</v>
      </c>
      <c r="J49" s="10">
        <v>1</v>
      </c>
      <c r="K49" s="10">
        <v>1</v>
      </c>
      <c r="L49" s="211" t="s">
        <v>757</v>
      </c>
      <c r="M49" s="218">
        <v>0.48199999999999998</v>
      </c>
      <c r="N49" s="218">
        <v>0.48199999999999998</v>
      </c>
    </row>
  </sheetData>
  <mergeCells count="5">
    <mergeCell ref="J46:K46"/>
    <mergeCell ref="J47:K47"/>
    <mergeCell ref="J43:K43"/>
    <mergeCell ref="J44:K44"/>
    <mergeCell ref="J45:K45"/>
  </mergeCells>
  <phoneticPr fontId="2" type="noConversion"/>
  <conditionalFormatting sqref="K34:K40 K21 K16:K18 K12 K4 G9:G11 G34 G31 K8 K24:K31 G4:G7">
    <cfRule type="cellIs" dxfId="12" priority="17" stopIfTrue="1" operator="notEqual">
      <formula>INDIRECT(ADDRESS(ROW(), COLUMN()-1))</formula>
    </cfRule>
  </conditionalFormatting>
  <conditionalFormatting sqref="N34:N40 N30:N31 N27:N28 N24:N25 K15 K11 G18 K7 C25">
    <cfRule type="cellIs" dxfId="11" priority="18" stopIfTrue="1" operator="notEqual">
      <formula>INDIRECT(ADDRESS(ROW(), COLUMN()-1))</formula>
    </cfRule>
  </conditionalFormatting>
  <conditionalFormatting sqref="C24 C26:C27">
    <cfRule type="expression" dxfId="10" priority="19" stopIfTrue="1">
      <formula>AND($C$24=1, $C$26=1)</formula>
    </cfRule>
    <cfRule type="cellIs" dxfId="9" priority="20" stopIfTrue="1" operator="notEqual">
      <formula>B24</formula>
    </cfRule>
  </conditionalFormatting>
  <conditionalFormatting sqref="B24 B26:B27">
    <cfRule type="expression" dxfId="8" priority="21" stopIfTrue="1">
      <formula>AND($B$24=1, $B$26=1)</formula>
    </cfRule>
  </conditionalFormatting>
  <conditionalFormatting sqref="J8">
    <cfRule type="expression" dxfId="7" priority="41" stopIfTrue="1">
      <formula>AND($J$8=1,#REF!= 1)</formula>
    </cfRule>
  </conditionalFormatting>
  <conditionalFormatting sqref="K49">
    <cfRule type="cellIs" dxfId="6" priority="3" stopIfTrue="1" operator="notEqual">
      <formula>INDIRECT(ADDRESS(ROW(), COLUMN()-1))</formula>
    </cfRule>
  </conditionalFormatting>
  <conditionalFormatting sqref="K48">
    <cfRule type="cellIs" dxfId="5" priority="4" stopIfTrue="1" operator="notEqual">
      <formula>INDIRECT(ADDRESS(ROW(), COLUMN()-1))</formula>
    </cfRule>
  </conditionalFormatting>
  <conditionalFormatting sqref="B23">
    <cfRule type="expression" dxfId="4" priority="2" stopIfTrue="1">
      <formula>AND($B$24=1, $B$26=1)</formula>
    </cfRule>
  </conditionalFormatting>
  <conditionalFormatting sqref="C23">
    <cfRule type="expression" dxfId="3" priority="1" stopIfTrue="1">
      <formula>AND($B$24=1, $B$26=1)</formula>
    </cfRule>
  </conditionalFormatting>
  <dataValidations count="16">
    <dataValidation type="whole" allowBlank="1" showInputMessage="1" showErrorMessage="1" sqref="M30:N31 M27:N28 M24:N25">
      <formula1>0</formula1>
      <formula2>5</formula2>
    </dataValidation>
    <dataValidation type="list" allowBlank="1" showInputMessage="1" showErrorMessage="1" sqref="J34:K40 F28:G28 F31:G31 B26:C27 F34:G34 J4:K4 F9:G11 F17:G17 F23 J8:K8 J16:K18 J24:K31 J12:K12 J21:K21 F4:G6 B23:C24 K48:K49 J43:J49">
      <formula1>Toggle</formula1>
    </dataValidation>
    <dataValidation type="whole" allowBlank="1" showInputMessage="1" showErrorMessage="1" sqref="J15:K15 J7:K7 F38:G38 J11:K11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19:G21">
      <formula1>Atmas</formula1>
    </dataValidation>
    <dataValidation type="whole" allowBlank="1" showInputMessage="1" showErrorMessage="1" sqref="B25:C25">
      <formula1>200</formula1>
      <formula2>299</formula2>
    </dataValidation>
    <dataValidation type="whole" allowBlank="1" showInputMessage="1" showErrorMessage="1" sqref="F39:G39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1:C21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8">
      <formula1>Boosts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indexed="42"/>
  </sheetPr>
  <dimension ref="A1:AT48"/>
  <sheetViews>
    <sheetView tabSelected="1" workbookViewId="0">
      <selection activeCell="Z4" sqref="Z4"/>
    </sheetView>
  </sheetViews>
  <sheetFormatPr defaultRowHeight="12.75"/>
  <cols>
    <col min="1" max="1" width="18" bestFit="1" customWidth="1"/>
    <col min="2" max="2" width="14" customWidth="1"/>
    <col min="3" max="3" width="4.5703125" customWidth="1"/>
    <col min="4" max="8" width="4.28515625" customWidth="1"/>
    <col min="9" max="9" width="4.7109375" bestFit="1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6.5703125" customWidth="1"/>
    <col min="26" max="26" width="14" customWidth="1"/>
    <col min="27" max="27" width="4.5703125" customWidth="1"/>
    <col min="28" max="32" width="4.28515625" customWidth="1"/>
    <col min="33" max="33" width="4.7109375" bestFit="1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5" width="4.85546875" customWidth="1"/>
    <col min="46" max="46" width="5.28515625" customWidth="1"/>
  </cols>
  <sheetData>
    <row r="1" spans="1:46">
      <c r="A1" t="s">
        <v>267</v>
      </c>
      <c r="B1" s="20"/>
      <c r="Y1" t="s">
        <v>268</v>
      </c>
      <c r="Z1" s="20"/>
    </row>
    <row r="2" spans="1:46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221</v>
      </c>
      <c r="I2" t="s">
        <v>9</v>
      </c>
      <c r="J2" t="s">
        <v>10</v>
      </c>
      <c r="K2" t="s">
        <v>12</v>
      </c>
      <c r="L2" t="s">
        <v>164</v>
      </c>
      <c r="M2" t="s">
        <v>360</v>
      </c>
      <c r="N2" t="s">
        <v>131</v>
      </c>
      <c r="O2" t="s">
        <v>127</v>
      </c>
      <c r="P2" t="s">
        <v>126</v>
      </c>
      <c r="Q2" t="s">
        <v>11</v>
      </c>
      <c r="R2" t="s">
        <v>124</v>
      </c>
      <c r="S2" s="31" t="s">
        <v>654</v>
      </c>
      <c r="T2" t="s">
        <v>644</v>
      </c>
      <c r="U2" t="s">
        <v>643</v>
      </c>
      <c r="V2" t="s">
        <v>13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221</v>
      </c>
      <c r="AG2" t="s">
        <v>9</v>
      </c>
      <c r="AH2" t="s">
        <v>10</v>
      </c>
      <c r="AI2" t="s">
        <v>12</v>
      </c>
      <c r="AJ2" t="s">
        <v>164</v>
      </c>
      <c r="AK2" t="s">
        <v>360</v>
      </c>
      <c r="AL2" t="s">
        <v>131</v>
      </c>
      <c r="AM2" t="s">
        <v>127</v>
      </c>
      <c r="AN2" t="s">
        <v>126</v>
      </c>
      <c r="AO2" t="s">
        <v>11</v>
      </c>
      <c r="AP2" t="s">
        <v>124</v>
      </c>
      <c r="AQ2" s="31" t="s">
        <v>654</v>
      </c>
      <c r="AR2" t="s">
        <v>644</v>
      </c>
      <c r="AS2" t="s">
        <v>643</v>
      </c>
      <c r="AT2" t="s">
        <v>13</v>
      </c>
    </row>
    <row r="3" spans="1:46">
      <c r="A3" s="31" t="s">
        <v>530</v>
      </c>
      <c r="B3" s="33" t="s">
        <v>802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15</v>
      </c>
      <c r="H3">
        <f t="shared" ca="1" si="1"/>
        <v>0</v>
      </c>
      <c r="I3">
        <f t="shared" ca="1" si="1"/>
        <v>0</v>
      </c>
      <c r="J3">
        <f t="shared" ca="1" si="1"/>
        <v>27</v>
      </c>
      <c r="K3" s="2">
        <f t="shared" ca="1" si="1"/>
        <v>0</v>
      </c>
      <c r="L3" s="2">
        <f t="shared" ca="1" si="1"/>
        <v>0.04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ca="1">IF(ISBLANK($B3), 0, VLOOKUP($B3, INDIRECT($A3), MATCH(V$2, StatHeader, 0), 0))</f>
        <v>0</v>
      </c>
      <c r="X3" t="str">
        <f t="shared" ref="X3:X18" si="3">IF(Z3=B3, "=", "-")</f>
        <v>-</v>
      </c>
      <c r="Y3" s="31" t="s">
        <v>530</v>
      </c>
      <c r="Z3" s="33" t="s">
        <v>782</v>
      </c>
      <c r="AA3">
        <f t="shared" ref="AA3:AB5" ca="1" si="4">IF(ISBLANK($Z3), 0, VLOOKUP($Z3, INDIRECT($Y3), MATCH(AA$2, StatHeader, 0), 0))</f>
        <v>0</v>
      </c>
      <c r="AB3">
        <f t="shared" ca="1" si="4"/>
        <v>0</v>
      </c>
      <c r="AC3">
        <f t="shared" ref="AC3:AR12" ca="1" si="5">IF(ISBLANK($Z3), 0, VLOOKUP($Z3, INDIRECT($Y3), MATCH(AC$2, StatHeader, 0), 0))</f>
        <v>0</v>
      </c>
      <c r="AD3">
        <f t="shared" ca="1" si="5"/>
        <v>0</v>
      </c>
      <c r="AE3">
        <f t="shared" ca="1" si="5"/>
        <v>0</v>
      </c>
      <c r="AF3">
        <f t="shared" ca="1" si="5"/>
        <v>0</v>
      </c>
      <c r="AG3">
        <f t="shared" ca="1" si="5"/>
        <v>0</v>
      </c>
      <c r="AH3">
        <f t="shared" ca="1" si="5"/>
        <v>0</v>
      </c>
      <c r="AI3" s="2">
        <f t="shared" ca="1" si="5"/>
        <v>0</v>
      </c>
      <c r="AJ3" s="2">
        <f t="shared" ca="1" si="5"/>
        <v>0</v>
      </c>
      <c r="AK3" s="2">
        <f t="shared" ca="1" si="5"/>
        <v>0</v>
      </c>
      <c r="AL3" s="2">
        <f t="shared" ca="1" si="5"/>
        <v>0</v>
      </c>
      <c r="AM3" s="2">
        <f t="shared" ca="1" si="5"/>
        <v>0</v>
      </c>
      <c r="AN3" s="2">
        <f t="shared" ca="1" si="5"/>
        <v>0</v>
      </c>
      <c r="AO3" s="35">
        <f t="shared" ca="1" si="5"/>
        <v>0</v>
      </c>
      <c r="AP3" s="35">
        <f t="shared" ca="1" si="5"/>
        <v>0</v>
      </c>
      <c r="AQ3" s="2">
        <f t="shared" ca="1" si="5"/>
        <v>0</v>
      </c>
      <c r="AR3">
        <f t="shared" ca="1" si="5"/>
        <v>0</v>
      </c>
      <c r="AS3">
        <f t="shared" ref="AR3:AS12" ca="1" si="6">IF(ISBLANK($Z3), 0, VLOOKUP($Z3, INDIRECT($Y3), MATCH(AS$2, StatHeader, 0), 0))</f>
        <v>0</v>
      </c>
      <c r="AT3">
        <f ca="1">IF(ISBLANK($Z3), 0, VLOOKUP($Z3, INDIRECT($Y3), MATCH(AT$2, StatHeader, 0), 0))</f>
        <v>10</v>
      </c>
    </row>
    <row r="4" spans="1:46">
      <c r="A4" s="32" t="s">
        <v>530</v>
      </c>
      <c r="B4" s="41" t="s">
        <v>802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27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ca="1">IF(ISBLANK($B4), 0, VLOOKUP($B4, INDIRECT($A4), MATCH(V$2, StatHeader, 0), 0))</f>
        <v>0</v>
      </c>
      <c r="X4" t="str">
        <f t="shared" si="3"/>
        <v>-</v>
      </c>
      <c r="Y4" s="32" t="s">
        <v>530</v>
      </c>
      <c r="Z4" s="41" t="s">
        <v>743</v>
      </c>
      <c r="AA4">
        <f t="shared" ca="1" si="4"/>
        <v>0</v>
      </c>
      <c r="AB4">
        <f t="shared" ca="1" si="4"/>
        <v>0</v>
      </c>
      <c r="AC4">
        <f t="shared" ca="1" si="5"/>
        <v>22</v>
      </c>
      <c r="AD4">
        <f t="shared" ca="1" si="5"/>
        <v>22</v>
      </c>
      <c r="AE4">
        <f t="shared" ca="1" si="5"/>
        <v>12</v>
      </c>
      <c r="AF4">
        <f t="shared" ca="1" si="5"/>
        <v>12</v>
      </c>
      <c r="AG4">
        <f t="shared" ca="1" si="5"/>
        <v>0</v>
      </c>
      <c r="AH4">
        <f t="shared" ca="1" si="5"/>
        <v>20</v>
      </c>
      <c r="AI4" s="2">
        <f t="shared" ca="1" si="5"/>
        <v>0</v>
      </c>
      <c r="AJ4" s="2">
        <f t="shared" ca="1" si="5"/>
        <v>0</v>
      </c>
      <c r="AK4" s="2">
        <f t="shared" ca="1" si="5"/>
        <v>0</v>
      </c>
      <c r="AL4" s="2">
        <f t="shared" ca="1" si="5"/>
        <v>0</v>
      </c>
      <c r="AM4" s="2">
        <f t="shared" ca="1" si="5"/>
        <v>0</v>
      </c>
      <c r="AN4" s="2">
        <f t="shared" ca="1" si="5"/>
        <v>0</v>
      </c>
      <c r="AO4">
        <f t="shared" ca="1" si="5"/>
        <v>0</v>
      </c>
      <c r="AP4" s="35">
        <f t="shared" ca="1" si="5"/>
        <v>0</v>
      </c>
      <c r="AQ4" s="2">
        <f t="shared" ca="1" si="5"/>
        <v>0</v>
      </c>
      <c r="AR4">
        <f t="shared" ca="1" si="6"/>
        <v>0</v>
      </c>
      <c r="AS4">
        <f t="shared" ca="1" si="6"/>
        <v>20</v>
      </c>
      <c r="AT4">
        <f ca="1">IF(ISBLANK($Z4), 0, VLOOKUP($Z4, INDIRECT($Y4), MATCH(AT$2, StatHeader, 0), 0))</f>
        <v>0</v>
      </c>
    </row>
    <row r="5" spans="1:46">
      <c r="A5" t="s">
        <v>136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ca="1">IF(ISBLANK($B5), 0, VLOOKUP($B5, INDIRECT($A5), MATCH(V$2, StatHeader, 0), 0))</f>
        <v>0</v>
      </c>
      <c r="X5" t="str">
        <f t="shared" si="3"/>
        <v>=</v>
      </c>
      <c r="Y5" t="s">
        <v>136</v>
      </c>
      <c r="Z5" s="42"/>
      <c r="AA5">
        <f t="shared" ca="1" si="4"/>
        <v>0</v>
      </c>
      <c r="AB5">
        <f t="shared" ca="1" si="4"/>
        <v>0</v>
      </c>
      <c r="AC5">
        <f t="shared" ca="1" si="5"/>
        <v>0</v>
      </c>
      <c r="AD5">
        <f t="shared" ca="1" si="5"/>
        <v>0</v>
      </c>
      <c r="AE5">
        <f t="shared" ca="1" si="5"/>
        <v>0</v>
      </c>
      <c r="AF5">
        <f t="shared" ca="1" si="5"/>
        <v>0</v>
      </c>
      <c r="AG5">
        <f t="shared" ca="1" si="5"/>
        <v>0</v>
      </c>
      <c r="AH5">
        <f t="shared" ca="1" si="5"/>
        <v>0</v>
      </c>
      <c r="AI5" s="2">
        <f t="shared" ca="1" si="5"/>
        <v>0</v>
      </c>
      <c r="AJ5" s="2">
        <f t="shared" ca="1" si="5"/>
        <v>0</v>
      </c>
      <c r="AK5" s="2">
        <f t="shared" ca="1" si="5"/>
        <v>0</v>
      </c>
      <c r="AL5" s="2">
        <f t="shared" ca="1" si="5"/>
        <v>0</v>
      </c>
      <c r="AM5" s="2">
        <f t="shared" ca="1" si="5"/>
        <v>0</v>
      </c>
      <c r="AN5" s="2">
        <f t="shared" ca="1" si="5"/>
        <v>0</v>
      </c>
      <c r="AO5">
        <f t="shared" ca="1" si="5"/>
        <v>0</v>
      </c>
      <c r="AP5" s="35">
        <f t="shared" ca="1" si="5"/>
        <v>0</v>
      </c>
      <c r="AQ5" s="2">
        <f t="shared" ca="1" si="5"/>
        <v>0</v>
      </c>
      <c r="AR5">
        <f t="shared" ca="1" si="6"/>
        <v>0</v>
      </c>
      <c r="AS5">
        <f t="shared" ca="1" si="6"/>
        <v>0</v>
      </c>
      <c r="AT5">
        <f ca="1">IF(ISBLANK($Z5), 0, VLOOKUP($Z5, INDIRECT($Y5), MATCH(AT$2, StatHeader, 0), 0))</f>
        <v>0</v>
      </c>
    </row>
    <row r="6" spans="1:46">
      <c r="A6" s="32" t="s">
        <v>659</v>
      </c>
      <c r="B6" s="32" t="s">
        <v>665</v>
      </c>
      <c r="C6">
        <f t="shared" ref="C6:V18" ca="1" si="7">IF(ISBLANK($B6), 0, VLOOKUP($B6, INDIRECT($A6), MATCH(C$2, StatHeader, 0), 0))</f>
        <v>0</v>
      </c>
      <c r="D6">
        <f t="shared" ca="1" si="7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6</v>
      </c>
      <c r="J6">
        <f t="shared" ca="1" si="1"/>
        <v>6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0.02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11</v>
      </c>
      <c r="V6">
        <f t="shared" ca="1" si="7"/>
        <v>0</v>
      </c>
      <c r="X6" t="str">
        <f t="shared" si="3"/>
        <v>=</v>
      </c>
      <c r="Y6" s="32" t="s">
        <v>659</v>
      </c>
      <c r="Z6" s="32" t="s">
        <v>665</v>
      </c>
      <c r="AA6">
        <f t="shared" ref="AA6:AT18" ca="1" si="8">IF(ISBLANK($Z6), 0, VLOOKUP($Z6, INDIRECT($Y6), MATCH(AA$2, StatHeader, 0), 0))</f>
        <v>0</v>
      </c>
      <c r="AB6">
        <f t="shared" ca="1" si="8"/>
        <v>0</v>
      </c>
      <c r="AC6">
        <f t="shared" ca="1" si="5"/>
        <v>0</v>
      </c>
      <c r="AD6">
        <f t="shared" ca="1" si="5"/>
        <v>0</v>
      </c>
      <c r="AE6">
        <f t="shared" ca="1" si="5"/>
        <v>0</v>
      </c>
      <c r="AF6">
        <f t="shared" ca="1" si="5"/>
        <v>0</v>
      </c>
      <c r="AG6">
        <f t="shared" ca="1" si="5"/>
        <v>6</v>
      </c>
      <c r="AH6">
        <f t="shared" ca="1" si="5"/>
        <v>6</v>
      </c>
      <c r="AI6" s="2">
        <f t="shared" ca="1" si="5"/>
        <v>0</v>
      </c>
      <c r="AJ6" s="2">
        <f t="shared" ca="1" si="5"/>
        <v>0</v>
      </c>
      <c r="AK6" s="2">
        <f t="shared" ca="1" si="5"/>
        <v>0</v>
      </c>
      <c r="AL6" s="2">
        <f t="shared" ca="1" si="5"/>
        <v>0</v>
      </c>
      <c r="AM6" s="2">
        <f t="shared" ca="1" si="5"/>
        <v>0.02</v>
      </c>
      <c r="AN6" s="2">
        <f t="shared" ca="1" si="5"/>
        <v>0</v>
      </c>
      <c r="AO6" s="35">
        <f t="shared" ca="1" si="5"/>
        <v>0</v>
      </c>
      <c r="AP6" s="35">
        <f t="shared" ca="1" si="5"/>
        <v>0</v>
      </c>
      <c r="AQ6" s="2">
        <f t="shared" ca="1" si="5"/>
        <v>0</v>
      </c>
      <c r="AR6">
        <f t="shared" ca="1" si="6"/>
        <v>0</v>
      </c>
      <c r="AS6">
        <f t="shared" ca="1" si="6"/>
        <v>11</v>
      </c>
      <c r="AT6">
        <f t="shared" ca="1" si="8"/>
        <v>0</v>
      </c>
    </row>
    <row r="7" spans="1:46">
      <c r="A7" t="s">
        <v>16</v>
      </c>
      <c r="B7" s="32" t="s">
        <v>785</v>
      </c>
      <c r="C7">
        <f t="shared" ca="1" si="7"/>
        <v>0</v>
      </c>
      <c r="D7">
        <f t="shared" ca="1" si="7"/>
        <v>0</v>
      </c>
      <c r="E7">
        <f t="shared" ca="1" si="1"/>
        <v>23</v>
      </c>
      <c r="F7">
        <f t="shared" ca="1" si="1"/>
        <v>42</v>
      </c>
      <c r="G7">
        <f t="shared" ca="1" si="1"/>
        <v>29</v>
      </c>
      <c r="H7">
        <f t="shared" ca="1" si="1"/>
        <v>19</v>
      </c>
      <c r="I7">
        <f t="shared" ca="1" si="1"/>
        <v>0</v>
      </c>
      <c r="J7">
        <f t="shared" ca="1" si="1"/>
        <v>40</v>
      </c>
      <c r="K7" s="2">
        <f t="shared" ca="1" si="1"/>
        <v>0</v>
      </c>
      <c r="L7" s="2">
        <f t="shared" ca="1" si="1"/>
        <v>0.03</v>
      </c>
      <c r="M7" s="2">
        <f t="shared" ca="1" si="1"/>
        <v>0</v>
      </c>
      <c r="N7" s="2">
        <f t="shared" ca="1" si="1"/>
        <v>0</v>
      </c>
      <c r="O7" s="2">
        <f t="shared" ca="1" si="1"/>
        <v>0.03</v>
      </c>
      <c r="P7" s="2">
        <f t="shared" ca="1" si="1"/>
        <v>0</v>
      </c>
      <c r="Q7" s="35">
        <f t="shared" ca="1" si="1"/>
        <v>61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40</v>
      </c>
      <c r="V7">
        <f t="shared" ca="1" si="7"/>
        <v>0</v>
      </c>
      <c r="X7" t="str">
        <f t="shared" si="3"/>
        <v>=</v>
      </c>
      <c r="Y7" t="s">
        <v>16</v>
      </c>
      <c r="Z7" s="32" t="s">
        <v>785</v>
      </c>
      <c r="AA7">
        <f t="shared" ca="1" si="8"/>
        <v>0</v>
      </c>
      <c r="AB7">
        <f t="shared" ca="1" si="8"/>
        <v>0</v>
      </c>
      <c r="AC7">
        <f t="shared" ca="1" si="5"/>
        <v>23</v>
      </c>
      <c r="AD7">
        <f t="shared" ca="1" si="5"/>
        <v>42</v>
      </c>
      <c r="AE7">
        <f t="shared" ca="1" si="5"/>
        <v>29</v>
      </c>
      <c r="AF7">
        <f t="shared" ca="1" si="5"/>
        <v>19</v>
      </c>
      <c r="AG7">
        <f t="shared" ca="1" si="5"/>
        <v>0</v>
      </c>
      <c r="AH7">
        <f t="shared" ca="1" si="5"/>
        <v>40</v>
      </c>
      <c r="AI7" s="2">
        <f t="shared" ca="1" si="5"/>
        <v>0</v>
      </c>
      <c r="AJ7" s="2">
        <f t="shared" ca="1" si="5"/>
        <v>0.03</v>
      </c>
      <c r="AK7" s="2">
        <f t="shared" ca="1" si="5"/>
        <v>0</v>
      </c>
      <c r="AL7" s="2">
        <f t="shared" ca="1" si="5"/>
        <v>0</v>
      </c>
      <c r="AM7" s="2">
        <f t="shared" ca="1" si="5"/>
        <v>0.03</v>
      </c>
      <c r="AN7" s="2">
        <f t="shared" ca="1" si="5"/>
        <v>0</v>
      </c>
      <c r="AO7" s="35">
        <f t="shared" ca="1" si="5"/>
        <v>61</v>
      </c>
      <c r="AP7" s="35">
        <f t="shared" ca="1" si="5"/>
        <v>0</v>
      </c>
      <c r="AQ7" s="2">
        <f t="shared" ca="1" si="5"/>
        <v>0</v>
      </c>
      <c r="AR7">
        <f t="shared" ca="1" si="6"/>
        <v>0</v>
      </c>
      <c r="AS7">
        <f t="shared" ca="1" si="6"/>
        <v>40</v>
      </c>
      <c r="AT7">
        <f t="shared" ca="1" si="8"/>
        <v>0</v>
      </c>
    </row>
    <row r="8" spans="1:46">
      <c r="A8" t="s">
        <v>17</v>
      </c>
      <c r="B8" s="32" t="s">
        <v>808</v>
      </c>
      <c r="C8">
        <f t="shared" ca="1" si="7"/>
        <v>0</v>
      </c>
      <c r="D8">
        <f t="shared" ca="1" si="7"/>
        <v>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f t="shared" ca="1" si="1"/>
        <v>0</v>
      </c>
      <c r="I8">
        <f t="shared" ca="1" si="1"/>
        <v>0</v>
      </c>
      <c r="J8">
        <f t="shared" ca="1" si="1"/>
        <v>20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</v>
      </c>
      <c r="T8">
        <f t="shared" ca="1" si="2"/>
        <v>0</v>
      </c>
      <c r="U8">
        <f t="shared" ca="1" si="2"/>
        <v>0</v>
      </c>
      <c r="V8">
        <f t="shared" ca="1" si="7"/>
        <v>8</v>
      </c>
      <c r="X8" t="str">
        <f t="shared" si="3"/>
        <v>=</v>
      </c>
      <c r="Y8" t="s">
        <v>17</v>
      </c>
      <c r="Z8" s="32" t="s">
        <v>808</v>
      </c>
      <c r="AA8">
        <f t="shared" ca="1" si="8"/>
        <v>0</v>
      </c>
      <c r="AB8">
        <f t="shared" ca="1" si="8"/>
        <v>0</v>
      </c>
      <c r="AC8">
        <f t="shared" ca="1" si="5"/>
        <v>0</v>
      </c>
      <c r="AD8">
        <f t="shared" ca="1" si="5"/>
        <v>0</v>
      </c>
      <c r="AE8">
        <f t="shared" ca="1" si="5"/>
        <v>0</v>
      </c>
      <c r="AF8">
        <f t="shared" ca="1" si="5"/>
        <v>0</v>
      </c>
      <c r="AG8">
        <f t="shared" ca="1" si="5"/>
        <v>0</v>
      </c>
      <c r="AH8">
        <f t="shared" ca="1" si="5"/>
        <v>20</v>
      </c>
      <c r="AI8" s="2">
        <f t="shared" ca="1" si="5"/>
        <v>0</v>
      </c>
      <c r="AJ8" s="2">
        <f t="shared" ca="1" si="5"/>
        <v>0</v>
      </c>
      <c r="AK8" s="2">
        <f t="shared" ca="1" si="5"/>
        <v>0</v>
      </c>
      <c r="AL8" s="2">
        <f t="shared" ca="1" si="5"/>
        <v>0</v>
      </c>
      <c r="AM8" s="2">
        <f t="shared" ca="1" si="5"/>
        <v>0</v>
      </c>
      <c r="AN8" s="2">
        <f t="shared" ca="1" si="5"/>
        <v>0</v>
      </c>
      <c r="AO8" s="35">
        <f t="shared" ca="1" si="5"/>
        <v>0</v>
      </c>
      <c r="AP8" s="35">
        <f t="shared" ca="1" si="5"/>
        <v>0</v>
      </c>
      <c r="AQ8" s="2">
        <f t="shared" ca="1" si="5"/>
        <v>0</v>
      </c>
      <c r="AR8">
        <f t="shared" ca="1" si="6"/>
        <v>0</v>
      </c>
      <c r="AS8">
        <f t="shared" ca="1" si="6"/>
        <v>0</v>
      </c>
      <c r="AT8">
        <f t="shared" ca="1" si="8"/>
        <v>8</v>
      </c>
    </row>
    <row r="9" spans="1:46">
      <c r="A9" t="s">
        <v>72</v>
      </c>
      <c r="B9" s="32" t="s">
        <v>25</v>
      </c>
      <c r="C9">
        <f t="shared" ca="1" si="7"/>
        <v>0</v>
      </c>
      <c r="D9">
        <f t="shared" ca="1" si="7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7"/>
        <v>1</v>
      </c>
      <c r="X9" t="str">
        <f t="shared" si="3"/>
        <v>=</v>
      </c>
      <c r="Y9" t="s">
        <v>72</v>
      </c>
      <c r="Z9" s="32" t="s">
        <v>25</v>
      </c>
      <c r="AA9">
        <f t="shared" ca="1" si="8"/>
        <v>0</v>
      </c>
      <c r="AB9">
        <f t="shared" ca="1" si="8"/>
        <v>0</v>
      </c>
      <c r="AC9">
        <f t="shared" ca="1" si="5"/>
        <v>0</v>
      </c>
      <c r="AD9">
        <f t="shared" ca="1" si="5"/>
        <v>0</v>
      </c>
      <c r="AE9">
        <f t="shared" ca="1" si="5"/>
        <v>0</v>
      </c>
      <c r="AF9">
        <f t="shared" ca="1" si="5"/>
        <v>0</v>
      </c>
      <c r="AG9">
        <f t="shared" ca="1" si="5"/>
        <v>0</v>
      </c>
      <c r="AH9">
        <f t="shared" ca="1" si="5"/>
        <v>0</v>
      </c>
      <c r="AI9" s="2">
        <f t="shared" ca="1" si="5"/>
        <v>0.05</v>
      </c>
      <c r="AJ9" s="2">
        <f t="shared" ca="1" si="5"/>
        <v>0</v>
      </c>
      <c r="AK9" s="2">
        <f t="shared" ca="1" si="5"/>
        <v>0</v>
      </c>
      <c r="AL9" s="2">
        <f t="shared" ca="1" si="5"/>
        <v>0</v>
      </c>
      <c r="AM9" s="2">
        <f t="shared" ca="1" si="5"/>
        <v>0</v>
      </c>
      <c r="AN9" s="2">
        <f t="shared" ca="1" si="5"/>
        <v>0</v>
      </c>
      <c r="AO9" s="35">
        <f t="shared" ca="1" si="5"/>
        <v>0</v>
      </c>
      <c r="AP9" s="35">
        <f t="shared" ca="1" si="5"/>
        <v>0</v>
      </c>
      <c r="AQ9" s="2">
        <f t="shared" ca="1" si="5"/>
        <v>0</v>
      </c>
      <c r="AR9">
        <f t="shared" ca="1" si="6"/>
        <v>0</v>
      </c>
      <c r="AS9">
        <f t="shared" ca="1" si="6"/>
        <v>0</v>
      </c>
      <c r="AT9">
        <f t="shared" ca="1" si="8"/>
        <v>1</v>
      </c>
    </row>
    <row r="10" spans="1:46">
      <c r="A10" t="s">
        <v>72</v>
      </c>
      <c r="B10" s="32" t="s">
        <v>707</v>
      </c>
      <c r="C10">
        <f t="shared" ca="1" si="7"/>
        <v>0</v>
      </c>
      <c r="D10">
        <f t="shared" ca="1" si="7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7"/>
        <v>5</v>
      </c>
      <c r="X10" t="str">
        <f t="shared" si="3"/>
        <v>=</v>
      </c>
      <c r="Y10" t="s">
        <v>72</v>
      </c>
      <c r="Z10" s="32" t="s">
        <v>707</v>
      </c>
      <c r="AA10">
        <f t="shared" ca="1" si="8"/>
        <v>0</v>
      </c>
      <c r="AB10">
        <f t="shared" ca="1" si="8"/>
        <v>0</v>
      </c>
      <c r="AC10">
        <f t="shared" ca="1" si="5"/>
        <v>0</v>
      </c>
      <c r="AD10">
        <f t="shared" ca="1" si="5"/>
        <v>0</v>
      </c>
      <c r="AE10">
        <f t="shared" ca="1" si="5"/>
        <v>0</v>
      </c>
      <c r="AF10">
        <f t="shared" ca="1" si="5"/>
        <v>0</v>
      </c>
      <c r="AG10">
        <f t="shared" ca="1" si="5"/>
        <v>10</v>
      </c>
      <c r="AH10">
        <f t="shared" ca="1" si="5"/>
        <v>10</v>
      </c>
      <c r="AI10" s="2">
        <f t="shared" ca="1" si="5"/>
        <v>0.01</v>
      </c>
      <c r="AJ10" s="2">
        <f t="shared" ca="1" si="5"/>
        <v>0</v>
      </c>
      <c r="AK10" s="2">
        <f t="shared" ca="1" si="5"/>
        <v>0</v>
      </c>
      <c r="AL10" s="2">
        <f t="shared" ca="1" si="5"/>
        <v>0</v>
      </c>
      <c r="AM10" s="2">
        <f t="shared" ca="1" si="5"/>
        <v>0</v>
      </c>
      <c r="AN10" s="2">
        <f t="shared" ca="1" si="5"/>
        <v>0</v>
      </c>
      <c r="AO10" s="35">
        <f t="shared" ca="1" si="5"/>
        <v>0</v>
      </c>
      <c r="AP10" s="35">
        <f t="shared" ca="1" si="5"/>
        <v>0</v>
      </c>
      <c r="AQ10" s="2">
        <f t="shared" ca="1" si="5"/>
        <v>0</v>
      </c>
      <c r="AR10">
        <f t="shared" ca="1" si="6"/>
        <v>10</v>
      </c>
      <c r="AS10">
        <f t="shared" ca="1" si="6"/>
        <v>10</v>
      </c>
      <c r="AT10">
        <f t="shared" ca="1" si="8"/>
        <v>5</v>
      </c>
    </row>
    <row r="11" spans="1:46">
      <c r="A11" t="s">
        <v>18</v>
      </c>
      <c r="B11" s="32" t="s">
        <v>785</v>
      </c>
      <c r="C11">
        <f t="shared" ca="1" si="7"/>
        <v>0</v>
      </c>
      <c r="D11">
        <f t="shared" ca="1" si="7"/>
        <v>0</v>
      </c>
      <c r="E11">
        <f t="shared" ca="1" si="1"/>
        <v>33</v>
      </c>
      <c r="F11">
        <f t="shared" ca="1" si="1"/>
        <v>34</v>
      </c>
      <c r="G11">
        <f t="shared" ca="1" si="1"/>
        <v>32</v>
      </c>
      <c r="H11">
        <f t="shared" ca="1" si="1"/>
        <v>24</v>
      </c>
      <c r="I11">
        <f t="shared" ca="1" si="1"/>
        <v>0</v>
      </c>
      <c r="J11">
        <f t="shared" ca="1" si="1"/>
        <v>42</v>
      </c>
      <c r="K11" s="2">
        <f t="shared" ca="1" si="1"/>
        <v>0</v>
      </c>
      <c r="L11" s="2">
        <f t="shared" ca="1" si="1"/>
        <v>0.05</v>
      </c>
      <c r="M11" s="2">
        <f t="shared" ca="1" si="1"/>
        <v>0</v>
      </c>
      <c r="N11" s="2">
        <f t="shared" ca="1" si="1"/>
        <v>0</v>
      </c>
      <c r="O11" s="2">
        <f t="shared" ca="1" si="1"/>
        <v>7.0000000000000007E-2</v>
      </c>
      <c r="P11" s="2">
        <f t="shared" ca="1" si="1"/>
        <v>0</v>
      </c>
      <c r="Q11" s="35">
        <f t="shared" ca="1" si="1"/>
        <v>41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37</v>
      </c>
      <c r="V11">
        <f t="shared" ca="1" si="7"/>
        <v>0</v>
      </c>
      <c r="X11" t="str">
        <f t="shared" si="3"/>
        <v>=</v>
      </c>
      <c r="Y11" t="s">
        <v>18</v>
      </c>
      <c r="Z11" s="32" t="s">
        <v>785</v>
      </c>
      <c r="AA11">
        <f t="shared" ca="1" si="8"/>
        <v>0</v>
      </c>
      <c r="AB11">
        <f t="shared" ca="1" si="8"/>
        <v>0</v>
      </c>
      <c r="AC11">
        <f t="shared" ca="1" si="5"/>
        <v>33</v>
      </c>
      <c r="AD11">
        <f t="shared" ca="1" si="5"/>
        <v>34</v>
      </c>
      <c r="AE11">
        <f t="shared" ca="1" si="5"/>
        <v>32</v>
      </c>
      <c r="AF11">
        <f t="shared" ca="1" si="5"/>
        <v>24</v>
      </c>
      <c r="AG11">
        <f t="shared" ca="1" si="5"/>
        <v>0</v>
      </c>
      <c r="AH11">
        <f t="shared" ca="1" si="5"/>
        <v>42</v>
      </c>
      <c r="AI11" s="2">
        <f t="shared" ca="1" si="5"/>
        <v>0</v>
      </c>
      <c r="AJ11" s="2">
        <f t="shared" ca="1" si="5"/>
        <v>0.05</v>
      </c>
      <c r="AK11" s="2">
        <f t="shared" ca="1" si="5"/>
        <v>0</v>
      </c>
      <c r="AL11" s="2">
        <f t="shared" ca="1" si="5"/>
        <v>0</v>
      </c>
      <c r="AM11" s="2">
        <f t="shared" ca="1" si="5"/>
        <v>7.0000000000000007E-2</v>
      </c>
      <c r="AN11" s="2">
        <f t="shared" ca="1" si="5"/>
        <v>0</v>
      </c>
      <c r="AO11" s="35">
        <f t="shared" ca="1" si="5"/>
        <v>41</v>
      </c>
      <c r="AP11" s="35">
        <f t="shared" ca="1" si="5"/>
        <v>0</v>
      </c>
      <c r="AQ11" s="2">
        <f t="shared" ca="1" si="5"/>
        <v>0</v>
      </c>
      <c r="AR11">
        <f t="shared" ca="1" si="6"/>
        <v>0</v>
      </c>
      <c r="AS11">
        <f t="shared" ca="1" si="6"/>
        <v>37</v>
      </c>
      <c r="AT11">
        <f t="shared" ca="1" si="8"/>
        <v>0</v>
      </c>
    </row>
    <row r="12" spans="1:46">
      <c r="A12" t="s">
        <v>19</v>
      </c>
      <c r="B12" s="32" t="s">
        <v>774</v>
      </c>
      <c r="C12">
        <f t="shared" ca="1" si="7"/>
        <v>0</v>
      </c>
      <c r="D12">
        <f t="shared" ca="1" si="7"/>
        <v>0</v>
      </c>
      <c r="E12">
        <f t="shared" ca="1" si="1"/>
        <v>15</v>
      </c>
      <c r="F12">
        <f t="shared" ca="1" si="1"/>
        <v>54</v>
      </c>
      <c r="G12">
        <f t="shared" ca="1" si="1"/>
        <v>17</v>
      </c>
      <c r="H12">
        <f t="shared" ca="1" si="1"/>
        <v>12</v>
      </c>
      <c r="I12">
        <f t="shared" ca="1" si="1"/>
        <v>0</v>
      </c>
      <c r="J12">
        <f t="shared" ca="1" si="1"/>
        <v>37</v>
      </c>
      <c r="K12" s="2">
        <f t="shared" ca="1" si="1"/>
        <v>0</v>
      </c>
      <c r="L12" s="2">
        <f t="shared" ca="1" si="1"/>
        <v>0.03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22</v>
      </c>
      <c r="V12">
        <f t="shared" ca="1" si="7"/>
        <v>6</v>
      </c>
      <c r="X12" t="str">
        <f t="shared" si="3"/>
        <v>=</v>
      </c>
      <c r="Y12" t="s">
        <v>19</v>
      </c>
      <c r="Z12" s="32" t="s">
        <v>774</v>
      </c>
      <c r="AA12">
        <f t="shared" ca="1" si="8"/>
        <v>0</v>
      </c>
      <c r="AB12">
        <f t="shared" ca="1" si="8"/>
        <v>0</v>
      </c>
      <c r="AC12">
        <f t="shared" ca="1" si="5"/>
        <v>15</v>
      </c>
      <c r="AD12">
        <f t="shared" ca="1" si="5"/>
        <v>54</v>
      </c>
      <c r="AE12">
        <f t="shared" ca="1" si="5"/>
        <v>17</v>
      </c>
      <c r="AF12">
        <f t="shared" ca="1" si="5"/>
        <v>12</v>
      </c>
      <c r="AG12">
        <f t="shared" ca="1" si="5"/>
        <v>0</v>
      </c>
      <c r="AH12">
        <f t="shared" ca="1" si="5"/>
        <v>37</v>
      </c>
      <c r="AI12" s="2">
        <f t="shared" ca="1" si="5"/>
        <v>0</v>
      </c>
      <c r="AJ12" s="2">
        <f t="shared" ca="1" si="5"/>
        <v>0.03</v>
      </c>
      <c r="AK12" s="2">
        <f t="shared" ca="1" si="5"/>
        <v>0</v>
      </c>
      <c r="AL12" s="2">
        <f t="shared" ca="1" si="5"/>
        <v>0</v>
      </c>
      <c r="AM12" s="2">
        <f t="shared" ca="1" si="5"/>
        <v>0</v>
      </c>
      <c r="AN12" s="2">
        <f t="shared" ca="1" si="5"/>
        <v>0</v>
      </c>
      <c r="AO12" s="35">
        <f t="shared" ca="1" si="5"/>
        <v>51</v>
      </c>
      <c r="AP12" s="35">
        <f t="shared" ca="1" si="5"/>
        <v>0</v>
      </c>
      <c r="AQ12" s="2">
        <f t="shared" ca="1" si="5"/>
        <v>0</v>
      </c>
      <c r="AR12">
        <f t="shared" ca="1" si="6"/>
        <v>0</v>
      </c>
      <c r="AS12">
        <f t="shared" ca="1" si="6"/>
        <v>22</v>
      </c>
      <c r="AT12">
        <f t="shared" ca="1" si="8"/>
        <v>6</v>
      </c>
    </row>
    <row r="13" spans="1:46">
      <c r="A13" t="s">
        <v>73</v>
      </c>
      <c r="B13" s="32" t="s">
        <v>797</v>
      </c>
      <c r="C13">
        <f t="shared" ca="1" si="7"/>
        <v>0</v>
      </c>
      <c r="D13">
        <f t="shared" ca="1" si="7"/>
        <v>0</v>
      </c>
      <c r="E13">
        <f t="shared" ca="1" si="7"/>
        <v>0</v>
      </c>
      <c r="F13">
        <f t="shared" ca="1" si="7"/>
        <v>0</v>
      </c>
      <c r="G13">
        <f t="shared" ca="1" si="7"/>
        <v>0</v>
      </c>
      <c r="H13">
        <f t="shared" ca="1" si="7"/>
        <v>0</v>
      </c>
      <c r="I13">
        <f t="shared" ca="1" si="7"/>
        <v>0</v>
      </c>
      <c r="J13">
        <f t="shared" ca="1" si="7"/>
        <v>0</v>
      </c>
      <c r="K13" s="2">
        <f t="shared" ca="1" si="7"/>
        <v>0</v>
      </c>
      <c r="L13" s="2">
        <f t="shared" ca="1" si="7"/>
        <v>0.02</v>
      </c>
      <c r="M13" s="2">
        <f t="shared" ca="1" si="7"/>
        <v>0</v>
      </c>
      <c r="N13" s="2">
        <f t="shared" ca="1" si="7"/>
        <v>0</v>
      </c>
      <c r="O13" s="2">
        <f t="shared" ca="1" si="7"/>
        <v>0.01</v>
      </c>
      <c r="P13" s="2">
        <f t="shared" ca="1" si="7"/>
        <v>0</v>
      </c>
      <c r="Q13" s="35">
        <f t="shared" ca="1" si="7"/>
        <v>0</v>
      </c>
      <c r="R13" s="35">
        <f t="shared" ca="1" si="7"/>
        <v>0</v>
      </c>
      <c r="S13" s="2">
        <f t="shared" ca="1" si="1"/>
        <v>0</v>
      </c>
      <c r="T13">
        <f t="shared" ca="1" si="7"/>
        <v>0</v>
      </c>
      <c r="U13">
        <f t="shared" ca="1" si="7"/>
        <v>0</v>
      </c>
      <c r="V13">
        <f t="shared" ca="1" si="7"/>
        <v>0</v>
      </c>
      <c r="X13" t="str">
        <f t="shared" si="3"/>
        <v>=</v>
      </c>
      <c r="Y13" t="s">
        <v>73</v>
      </c>
      <c r="Z13" s="32" t="s">
        <v>797</v>
      </c>
      <c r="AA13">
        <f t="shared" ca="1" si="8"/>
        <v>0</v>
      </c>
      <c r="AB13">
        <f t="shared" ca="1" si="8"/>
        <v>0</v>
      </c>
      <c r="AC13">
        <f t="shared" ca="1" si="8"/>
        <v>0</v>
      </c>
      <c r="AD13">
        <f t="shared" ca="1" si="8"/>
        <v>0</v>
      </c>
      <c r="AE13">
        <f t="shared" ca="1" si="8"/>
        <v>0</v>
      </c>
      <c r="AF13">
        <f t="shared" ca="1" si="8"/>
        <v>0</v>
      </c>
      <c r="AG13">
        <f t="shared" ca="1" si="8"/>
        <v>0</v>
      </c>
      <c r="AH13">
        <f t="shared" ca="1" si="8"/>
        <v>0</v>
      </c>
      <c r="AI13" s="2">
        <f t="shared" ca="1" si="8"/>
        <v>0</v>
      </c>
      <c r="AJ13" s="2">
        <f t="shared" ca="1" si="8"/>
        <v>0.02</v>
      </c>
      <c r="AK13" s="2">
        <f t="shared" ca="1" si="8"/>
        <v>0</v>
      </c>
      <c r="AL13" s="2">
        <f t="shared" ca="1" si="8"/>
        <v>0</v>
      </c>
      <c r="AM13" s="2">
        <f t="shared" ca="1" si="8"/>
        <v>0.01</v>
      </c>
      <c r="AN13" s="2">
        <f t="shared" ca="1" si="8"/>
        <v>0</v>
      </c>
      <c r="AO13" s="35">
        <f t="shared" ca="1" si="8"/>
        <v>0</v>
      </c>
      <c r="AP13" s="35">
        <f t="shared" ca="1" si="8"/>
        <v>0</v>
      </c>
      <c r="AQ13" s="2">
        <f t="shared" ca="1" si="8"/>
        <v>0</v>
      </c>
      <c r="AR13">
        <f t="shared" ca="1" si="8"/>
        <v>0</v>
      </c>
      <c r="AS13">
        <f t="shared" ca="1" si="8"/>
        <v>0</v>
      </c>
      <c r="AT13">
        <f t="shared" ca="1" si="8"/>
        <v>0</v>
      </c>
    </row>
    <row r="14" spans="1:46">
      <c r="A14" t="s">
        <v>73</v>
      </c>
      <c r="B14" s="32" t="s">
        <v>165</v>
      </c>
      <c r="C14">
        <f t="shared" ca="1" si="7"/>
        <v>0</v>
      </c>
      <c r="D14">
        <f t="shared" ca="1" si="7"/>
        <v>0</v>
      </c>
      <c r="E14">
        <f t="shared" ca="1" si="7"/>
        <v>0</v>
      </c>
      <c r="F14">
        <f t="shared" ca="1" si="7"/>
        <v>0</v>
      </c>
      <c r="G14">
        <f t="shared" ca="1" si="7"/>
        <v>0</v>
      </c>
      <c r="H14">
        <f t="shared" ca="1" si="7"/>
        <v>0</v>
      </c>
      <c r="I14">
        <f t="shared" ca="1" si="7"/>
        <v>0</v>
      </c>
      <c r="J14">
        <f t="shared" ca="1" si="7"/>
        <v>0</v>
      </c>
      <c r="K14" s="2">
        <f t="shared" ca="1" si="7"/>
        <v>0.03</v>
      </c>
      <c r="L14" s="2">
        <f t="shared" ca="1" si="7"/>
        <v>0.03</v>
      </c>
      <c r="M14" s="2">
        <f t="shared" ca="1" si="7"/>
        <v>0</v>
      </c>
      <c r="N14" s="2">
        <f t="shared" ca="1" si="7"/>
        <v>0</v>
      </c>
      <c r="O14" s="2">
        <f t="shared" ca="1" si="7"/>
        <v>0</v>
      </c>
      <c r="P14" s="2">
        <f t="shared" ca="1" si="7"/>
        <v>0</v>
      </c>
      <c r="Q14" s="35">
        <f t="shared" ca="1" si="7"/>
        <v>0</v>
      </c>
      <c r="R14" s="35">
        <f t="shared" ca="1" si="7"/>
        <v>0</v>
      </c>
      <c r="S14" s="2">
        <f t="shared" ca="1" si="1"/>
        <v>0</v>
      </c>
      <c r="T14">
        <f t="shared" ca="1" si="7"/>
        <v>0</v>
      </c>
      <c r="U14">
        <f t="shared" ca="1" si="7"/>
        <v>0</v>
      </c>
      <c r="V14">
        <f t="shared" ca="1" si="7"/>
        <v>0</v>
      </c>
      <c r="X14" t="str">
        <f t="shared" si="3"/>
        <v>=</v>
      </c>
      <c r="Y14" t="s">
        <v>73</v>
      </c>
      <c r="Z14" s="32" t="s">
        <v>165</v>
      </c>
      <c r="AA14">
        <f t="shared" ca="1" si="8"/>
        <v>0</v>
      </c>
      <c r="AB14">
        <f t="shared" ca="1" si="8"/>
        <v>0</v>
      </c>
      <c r="AC14">
        <f t="shared" ca="1" si="8"/>
        <v>0</v>
      </c>
      <c r="AD14">
        <f t="shared" ca="1" si="8"/>
        <v>0</v>
      </c>
      <c r="AE14">
        <f t="shared" ca="1" si="8"/>
        <v>0</v>
      </c>
      <c r="AF14">
        <f t="shared" ca="1" si="8"/>
        <v>0</v>
      </c>
      <c r="AG14">
        <f t="shared" ca="1" si="8"/>
        <v>0</v>
      </c>
      <c r="AH14">
        <f t="shared" ca="1" si="8"/>
        <v>0</v>
      </c>
      <c r="AI14" s="2">
        <f t="shared" ca="1" si="8"/>
        <v>0.03</v>
      </c>
      <c r="AJ14" s="2">
        <f t="shared" ca="1" si="8"/>
        <v>0.03</v>
      </c>
      <c r="AK14" s="2">
        <f t="shared" ca="1" si="8"/>
        <v>0</v>
      </c>
      <c r="AL14" s="2">
        <f t="shared" ca="1" si="8"/>
        <v>0</v>
      </c>
      <c r="AM14" s="2">
        <f t="shared" ca="1" si="8"/>
        <v>0</v>
      </c>
      <c r="AN14" s="2">
        <f t="shared" ca="1" si="8"/>
        <v>0</v>
      </c>
      <c r="AO14" s="35">
        <f t="shared" ca="1" si="8"/>
        <v>0</v>
      </c>
      <c r="AP14" s="35">
        <f t="shared" ca="1" si="8"/>
        <v>0</v>
      </c>
      <c r="AQ14" s="2">
        <f t="shared" ca="1" si="8"/>
        <v>0</v>
      </c>
      <c r="AR14">
        <f t="shared" ca="1" si="8"/>
        <v>0</v>
      </c>
      <c r="AS14">
        <f t="shared" ca="1" si="8"/>
        <v>0</v>
      </c>
      <c r="AT14">
        <f t="shared" ca="1" si="8"/>
        <v>0</v>
      </c>
    </row>
    <row r="15" spans="1:46">
      <c r="A15" t="s">
        <v>20</v>
      </c>
      <c r="B15" s="32" t="s">
        <v>793</v>
      </c>
      <c r="C15">
        <f t="shared" ca="1" si="7"/>
        <v>0</v>
      </c>
      <c r="D15">
        <f t="shared" ca="1" si="7"/>
        <v>0</v>
      </c>
      <c r="E15">
        <f t="shared" ca="1" si="7"/>
        <v>0</v>
      </c>
      <c r="F15">
        <f t="shared" ca="1" si="7"/>
        <v>20</v>
      </c>
      <c r="G15">
        <f t="shared" ca="1" si="7"/>
        <v>0</v>
      </c>
      <c r="H15">
        <f t="shared" ca="1" si="7"/>
        <v>0</v>
      </c>
      <c r="I15">
        <f t="shared" ca="1" si="7"/>
        <v>20</v>
      </c>
      <c r="J15">
        <f t="shared" ca="1" si="7"/>
        <v>20</v>
      </c>
      <c r="K15" s="2">
        <f t="shared" ca="1" si="7"/>
        <v>0.1</v>
      </c>
      <c r="L15" s="2">
        <f t="shared" ca="1" si="7"/>
        <v>0</v>
      </c>
      <c r="M15" s="2">
        <f t="shared" ca="1" si="7"/>
        <v>0</v>
      </c>
      <c r="N15" s="2">
        <f t="shared" ca="1" si="7"/>
        <v>0</v>
      </c>
      <c r="O15" s="2">
        <f t="shared" ca="1" si="7"/>
        <v>0</v>
      </c>
      <c r="P15" s="2">
        <f t="shared" ca="1" si="7"/>
        <v>0</v>
      </c>
      <c r="Q15" s="35">
        <f t="shared" ca="1" si="7"/>
        <v>0</v>
      </c>
      <c r="R15" s="35">
        <f t="shared" ca="1" si="7"/>
        <v>0</v>
      </c>
      <c r="S15" s="2">
        <f t="shared" ca="1" si="1"/>
        <v>0</v>
      </c>
      <c r="T15">
        <f t="shared" ca="1" si="7"/>
        <v>0</v>
      </c>
      <c r="U15">
        <f t="shared" ca="1" si="7"/>
        <v>0</v>
      </c>
      <c r="V15">
        <f t="shared" ca="1" si="7"/>
        <v>0</v>
      </c>
      <c r="X15" t="str">
        <f t="shared" si="3"/>
        <v>=</v>
      </c>
      <c r="Y15" t="s">
        <v>20</v>
      </c>
      <c r="Z15" s="32" t="s">
        <v>793</v>
      </c>
      <c r="AA15">
        <f t="shared" ca="1" si="8"/>
        <v>0</v>
      </c>
      <c r="AB15">
        <f t="shared" ca="1" si="8"/>
        <v>0</v>
      </c>
      <c r="AC15">
        <f t="shared" ca="1" si="8"/>
        <v>0</v>
      </c>
      <c r="AD15">
        <f t="shared" ca="1" si="8"/>
        <v>20</v>
      </c>
      <c r="AE15">
        <f t="shared" ca="1" si="8"/>
        <v>0</v>
      </c>
      <c r="AF15">
        <f t="shared" ca="1" si="8"/>
        <v>0</v>
      </c>
      <c r="AG15">
        <f t="shared" ca="1" si="8"/>
        <v>20</v>
      </c>
      <c r="AH15">
        <f t="shared" ca="1" si="8"/>
        <v>20</v>
      </c>
      <c r="AI15" s="2">
        <f t="shared" ca="1" si="8"/>
        <v>0.1</v>
      </c>
      <c r="AJ15" s="2">
        <f t="shared" ca="1" si="8"/>
        <v>0</v>
      </c>
      <c r="AK15" s="2">
        <f t="shared" ca="1" si="8"/>
        <v>0</v>
      </c>
      <c r="AL15" s="2">
        <f t="shared" ca="1" si="8"/>
        <v>0</v>
      </c>
      <c r="AM15" s="2">
        <f t="shared" ca="1" si="8"/>
        <v>0</v>
      </c>
      <c r="AN15" s="2">
        <f t="shared" ca="1" si="8"/>
        <v>0</v>
      </c>
      <c r="AO15" s="35">
        <f t="shared" ca="1" si="8"/>
        <v>0</v>
      </c>
      <c r="AP15" s="35">
        <f t="shared" ca="1" si="8"/>
        <v>0</v>
      </c>
      <c r="AQ15" s="2">
        <f t="shared" ca="1" si="8"/>
        <v>0</v>
      </c>
      <c r="AR15">
        <f t="shared" ca="1" si="8"/>
        <v>0</v>
      </c>
      <c r="AS15">
        <f t="shared" ca="1" si="8"/>
        <v>0</v>
      </c>
      <c r="AT15">
        <f t="shared" ca="1" si="8"/>
        <v>0</v>
      </c>
    </row>
    <row r="16" spans="1:46">
      <c r="A16" t="s">
        <v>21</v>
      </c>
      <c r="B16" s="32" t="s">
        <v>649</v>
      </c>
      <c r="C16">
        <f t="shared" ca="1" si="7"/>
        <v>0</v>
      </c>
      <c r="D16">
        <f t="shared" ca="1" si="7"/>
        <v>0</v>
      </c>
      <c r="E16">
        <f t="shared" ca="1" si="7"/>
        <v>0</v>
      </c>
      <c r="F16">
        <f t="shared" ca="1" si="7"/>
        <v>0</v>
      </c>
      <c r="G16">
        <f t="shared" ca="1" si="7"/>
        <v>0</v>
      </c>
      <c r="H16">
        <f t="shared" ca="1" si="7"/>
        <v>0</v>
      </c>
      <c r="I16">
        <f t="shared" ca="1" si="7"/>
        <v>0</v>
      </c>
      <c r="J16">
        <f t="shared" ca="1" si="7"/>
        <v>2</v>
      </c>
      <c r="K16" s="2">
        <f t="shared" ca="1" si="7"/>
        <v>0</v>
      </c>
      <c r="L16" s="2">
        <f t="shared" ca="1" si="7"/>
        <v>0.02</v>
      </c>
      <c r="M16" s="2">
        <f t="shared" ca="1" si="7"/>
        <v>0.02</v>
      </c>
      <c r="N16" s="2">
        <f t="shared" ca="1" si="7"/>
        <v>0</v>
      </c>
      <c r="O16" s="2">
        <f t="shared" ca="1" si="7"/>
        <v>0</v>
      </c>
      <c r="P16" s="2">
        <f t="shared" ca="1" si="7"/>
        <v>0</v>
      </c>
      <c r="Q16" s="35">
        <f t="shared" ca="1" si="7"/>
        <v>0</v>
      </c>
      <c r="R16" s="35">
        <f t="shared" ca="1" si="7"/>
        <v>0</v>
      </c>
      <c r="S16" s="2">
        <f t="shared" ca="1" si="1"/>
        <v>0</v>
      </c>
      <c r="T16">
        <f t="shared" ca="1" si="7"/>
        <v>0</v>
      </c>
      <c r="U16">
        <f t="shared" ca="1" si="7"/>
        <v>0</v>
      </c>
      <c r="V16">
        <f t="shared" ca="1" si="7"/>
        <v>0</v>
      </c>
      <c r="X16" t="str">
        <f t="shared" si="3"/>
        <v>=</v>
      </c>
      <c r="Y16" t="s">
        <v>21</v>
      </c>
      <c r="Z16" s="32" t="s">
        <v>649</v>
      </c>
      <c r="AA16">
        <f t="shared" ca="1" si="8"/>
        <v>0</v>
      </c>
      <c r="AB16">
        <f t="shared" ca="1" si="8"/>
        <v>0</v>
      </c>
      <c r="AC16">
        <f t="shared" ca="1" si="8"/>
        <v>0</v>
      </c>
      <c r="AD16">
        <f t="shared" ca="1" si="8"/>
        <v>0</v>
      </c>
      <c r="AE16">
        <f t="shared" ca="1" si="8"/>
        <v>0</v>
      </c>
      <c r="AF16">
        <f t="shared" ca="1" si="8"/>
        <v>0</v>
      </c>
      <c r="AG16">
        <f t="shared" ca="1" si="8"/>
        <v>0</v>
      </c>
      <c r="AH16">
        <f t="shared" ca="1" si="8"/>
        <v>2</v>
      </c>
      <c r="AI16" s="2">
        <f t="shared" ca="1" si="8"/>
        <v>0</v>
      </c>
      <c r="AJ16" s="2">
        <f t="shared" ca="1" si="8"/>
        <v>0.02</v>
      </c>
      <c r="AK16" s="2">
        <f t="shared" ca="1" si="8"/>
        <v>0.02</v>
      </c>
      <c r="AL16" s="2">
        <f t="shared" ca="1" si="8"/>
        <v>0</v>
      </c>
      <c r="AM16" s="2">
        <f t="shared" ca="1" si="8"/>
        <v>0</v>
      </c>
      <c r="AN16" s="2">
        <f t="shared" ca="1" si="8"/>
        <v>0</v>
      </c>
      <c r="AO16" s="35">
        <f t="shared" ca="1" si="8"/>
        <v>0</v>
      </c>
      <c r="AP16" s="35">
        <f t="shared" ca="1" si="8"/>
        <v>0</v>
      </c>
      <c r="AQ16" s="2">
        <f t="shared" ca="1" si="8"/>
        <v>0</v>
      </c>
      <c r="AR16">
        <f t="shared" ca="1" si="8"/>
        <v>0</v>
      </c>
      <c r="AS16">
        <f t="shared" ca="1" si="8"/>
        <v>0</v>
      </c>
      <c r="AT16">
        <f t="shared" ca="1" si="8"/>
        <v>0</v>
      </c>
    </row>
    <row r="17" spans="1:46">
      <c r="A17" t="s">
        <v>22</v>
      </c>
      <c r="B17" s="32" t="s">
        <v>703</v>
      </c>
      <c r="C17">
        <f t="shared" ca="1" si="7"/>
        <v>0</v>
      </c>
      <c r="D17">
        <f t="shared" ca="1" si="7"/>
        <v>0</v>
      </c>
      <c r="E17">
        <f t="shared" ca="1" si="7"/>
        <v>48</v>
      </c>
      <c r="F17">
        <f t="shared" ca="1" si="7"/>
        <v>16</v>
      </c>
      <c r="G17">
        <f t="shared" ca="1" si="7"/>
        <v>30</v>
      </c>
      <c r="H17">
        <f t="shared" ca="1" si="7"/>
        <v>28</v>
      </c>
      <c r="I17">
        <f t="shared" ca="1" si="7"/>
        <v>0</v>
      </c>
      <c r="J17">
        <f t="shared" ca="1" si="7"/>
        <v>15</v>
      </c>
      <c r="K17" s="2">
        <f t="shared" ca="1" si="7"/>
        <v>0.03</v>
      </c>
      <c r="L17" s="2">
        <f t="shared" ca="1" si="7"/>
        <v>0.03</v>
      </c>
      <c r="M17" s="2">
        <f t="shared" ca="1" si="7"/>
        <v>0</v>
      </c>
      <c r="N17" s="2">
        <f t="shared" ca="1" si="7"/>
        <v>0</v>
      </c>
      <c r="O17" s="2">
        <f t="shared" ca="1" si="7"/>
        <v>0</v>
      </c>
      <c r="P17" s="2">
        <f t="shared" ca="1" si="7"/>
        <v>0</v>
      </c>
      <c r="Q17" s="35">
        <f t="shared" ca="1" si="7"/>
        <v>61</v>
      </c>
      <c r="R17" s="35">
        <f t="shared" ca="1" si="7"/>
        <v>0</v>
      </c>
      <c r="S17" s="2">
        <f t="shared" ca="1" si="1"/>
        <v>0</v>
      </c>
      <c r="T17">
        <f t="shared" ca="1" si="7"/>
        <v>0</v>
      </c>
      <c r="U17">
        <f t="shared" ca="1" si="7"/>
        <v>15</v>
      </c>
      <c r="V17">
        <f t="shared" ca="1" si="7"/>
        <v>7</v>
      </c>
      <c r="X17" t="str">
        <f t="shared" si="3"/>
        <v>=</v>
      </c>
      <c r="Y17" t="s">
        <v>22</v>
      </c>
      <c r="Z17" s="32" t="s">
        <v>703</v>
      </c>
      <c r="AA17">
        <f t="shared" ca="1" si="8"/>
        <v>0</v>
      </c>
      <c r="AB17">
        <f t="shared" ca="1" si="8"/>
        <v>0</v>
      </c>
      <c r="AC17">
        <f t="shared" ca="1" si="8"/>
        <v>48</v>
      </c>
      <c r="AD17">
        <f t="shared" ca="1" si="8"/>
        <v>16</v>
      </c>
      <c r="AE17">
        <f t="shared" ca="1" si="8"/>
        <v>30</v>
      </c>
      <c r="AF17">
        <f t="shared" ca="1" si="8"/>
        <v>28</v>
      </c>
      <c r="AG17">
        <f t="shared" ca="1" si="8"/>
        <v>0</v>
      </c>
      <c r="AH17">
        <f t="shared" ca="1" si="8"/>
        <v>15</v>
      </c>
      <c r="AI17" s="2">
        <f t="shared" ca="1" si="8"/>
        <v>0.03</v>
      </c>
      <c r="AJ17" s="2">
        <f t="shared" ca="1" si="8"/>
        <v>0.03</v>
      </c>
      <c r="AK17" s="2">
        <f t="shared" ca="1" si="8"/>
        <v>0</v>
      </c>
      <c r="AL17" s="2">
        <f t="shared" ca="1" si="8"/>
        <v>0</v>
      </c>
      <c r="AM17" s="2">
        <f t="shared" ca="1" si="8"/>
        <v>0</v>
      </c>
      <c r="AN17" s="2">
        <f t="shared" ca="1" si="8"/>
        <v>0</v>
      </c>
      <c r="AO17" s="35">
        <f t="shared" ca="1" si="8"/>
        <v>61</v>
      </c>
      <c r="AP17" s="35">
        <f t="shared" ca="1" si="8"/>
        <v>0</v>
      </c>
      <c r="AQ17" s="2">
        <f t="shared" ca="1" si="8"/>
        <v>0</v>
      </c>
      <c r="AR17">
        <f t="shared" ca="1" si="8"/>
        <v>0</v>
      </c>
      <c r="AS17">
        <f t="shared" ca="1" si="8"/>
        <v>15</v>
      </c>
      <c r="AT17">
        <f t="shared" ca="1" si="8"/>
        <v>7</v>
      </c>
    </row>
    <row r="18" spans="1:46">
      <c r="A18" t="s">
        <v>23</v>
      </c>
      <c r="B18" s="32" t="s">
        <v>736</v>
      </c>
      <c r="C18">
        <f t="shared" ca="1" si="7"/>
        <v>0</v>
      </c>
      <c r="D18">
        <f t="shared" ca="1" si="7"/>
        <v>0</v>
      </c>
      <c r="E18">
        <f t="shared" ca="1" si="7"/>
        <v>16</v>
      </c>
      <c r="F18">
        <f t="shared" ca="1" si="7"/>
        <v>34</v>
      </c>
      <c r="G18">
        <f t="shared" ca="1" si="7"/>
        <v>43</v>
      </c>
      <c r="H18">
        <f t="shared" ca="1" si="7"/>
        <v>0</v>
      </c>
      <c r="I18">
        <f t="shared" ca="1" si="7"/>
        <v>35</v>
      </c>
      <c r="J18">
        <f t="shared" ca="1" si="7"/>
        <v>35</v>
      </c>
      <c r="K18" s="2">
        <f t="shared" ca="1" si="7"/>
        <v>0</v>
      </c>
      <c r="L18" s="2">
        <f t="shared" ca="1" si="7"/>
        <v>0.06</v>
      </c>
      <c r="M18" s="2">
        <f t="shared" ca="1" si="7"/>
        <v>0</v>
      </c>
      <c r="N18" s="2">
        <f t="shared" ca="1" si="7"/>
        <v>0</v>
      </c>
      <c r="O18" s="2">
        <f t="shared" ca="1" si="7"/>
        <v>0</v>
      </c>
      <c r="P18" s="2">
        <f t="shared" ca="1" si="7"/>
        <v>0</v>
      </c>
      <c r="Q18" s="35">
        <f t="shared" ca="1" si="7"/>
        <v>40</v>
      </c>
      <c r="R18" s="35">
        <f t="shared" ca="1" si="7"/>
        <v>0</v>
      </c>
      <c r="S18" s="2">
        <f t="shared" ca="1" si="1"/>
        <v>0</v>
      </c>
      <c r="T18">
        <f t="shared" ca="1" si="7"/>
        <v>10</v>
      </c>
      <c r="U18">
        <f t="shared" ca="1" si="7"/>
        <v>10</v>
      </c>
      <c r="V18">
        <f t="shared" ca="1" si="7"/>
        <v>0</v>
      </c>
      <c r="X18" t="str">
        <f t="shared" si="3"/>
        <v>=</v>
      </c>
      <c r="Y18" t="s">
        <v>23</v>
      </c>
      <c r="Z18" s="32" t="s">
        <v>736</v>
      </c>
      <c r="AA18">
        <f t="shared" ca="1" si="8"/>
        <v>0</v>
      </c>
      <c r="AB18">
        <f t="shared" ca="1" si="8"/>
        <v>0</v>
      </c>
      <c r="AC18">
        <f t="shared" ca="1" si="8"/>
        <v>16</v>
      </c>
      <c r="AD18">
        <f t="shared" ca="1" si="8"/>
        <v>34</v>
      </c>
      <c r="AE18">
        <f t="shared" ca="1" si="8"/>
        <v>43</v>
      </c>
      <c r="AF18">
        <f t="shared" ca="1" si="8"/>
        <v>0</v>
      </c>
      <c r="AG18">
        <f t="shared" ca="1" si="8"/>
        <v>35</v>
      </c>
      <c r="AH18">
        <f t="shared" ca="1" si="8"/>
        <v>35</v>
      </c>
      <c r="AI18" s="2">
        <f t="shared" ca="1" si="8"/>
        <v>0</v>
      </c>
      <c r="AJ18" s="2">
        <f t="shared" ca="1" si="8"/>
        <v>0.06</v>
      </c>
      <c r="AK18" s="2">
        <f t="shared" ca="1" si="8"/>
        <v>0</v>
      </c>
      <c r="AL18" s="2">
        <f t="shared" ca="1" si="8"/>
        <v>0</v>
      </c>
      <c r="AM18" s="2">
        <f t="shared" ca="1" si="8"/>
        <v>0</v>
      </c>
      <c r="AN18" s="2">
        <f t="shared" ca="1" si="8"/>
        <v>0</v>
      </c>
      <c r="AO18" s="35">
        <f t="shared" ca="1" si="8"/>
        <v>40</v>
      </c>
      <c r="AP18" s="35">
        <f t="shared" ca="1" si="8"/>
        <v>0</v>
      </c>
      <c r="AQ18" s="2">
        <f t="shared" ca="1" si="8"/>
        <v>0</v>
      </c>
      <c r="AR18">
        <f t="shared" ca="1" si="8"/>
        <v>10</v>
      </c>
      <c r="AS18">
        <f t="shared" ca="1" si="8"/>
        <v>10</v>
      </c>
      <c r="AT18">
        <f t="shared" ca="1" si="8"/>
        <v>0</v>
      </c>
    </row>
    <row r="19" spans="1:46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ca="1" si="9">SUMIF(INDEX(SetBonusLookup, 0, 1), "="&amp;E2, INDEX(SetBonusLookup, 0, MATCH("TPSet1Gear", INDEX(SetBonusLookup, 1, 0), 0)))</f>
        <v>0</v>
      </c>
      <c r="F19">
        <f t="shared" ca="1" si="9"/>
        <v>0</v>
      </c>
      <c r="G19">
        <f t="shared" ca="1" si="9"/>
        <v>0</v>
      </c>
      <c r="H19">
        <f t="shared" si="9"/>
        <v>0</v>
      </c>
      <c r="I19">
        <f t="shared" ca="1" si="9"/>
        <v>0</v>
      </c>
      <c r="J19">
        <f t="shared" ca="1" si="9"/>
        <v>0</v>
      </c>
      <c r="K19" s="89">
        <f t="shared" ca="1" si="9"/>
        <v>0</v>
      </c>
      <c r="L19" s="89">
        <f t="shared" ca="1" si="9"/>
        <v>0</v>
      </c>
      <c r="M19" s="89">
        <f t="shared" si="9"/>
        <v>0</v>
      </c>
      <c r="N19" s="89">
        <f t="shared" ca="1" si="9"/>
        <v>0</v>
      </c>
      <c r="O19" s="89">
        <f t="shared" ca="1" si="9"/>
        <v>0</v>
      </c>
      <c r="P19" s="89">
        <f t="shared" si="9"/>
        <v>0</v>
      </c>
      <c r="Q19">
        <f t="shared" ca="1" si="9"/>
        <v>0</v>
      </c>
      <c r="R19">
        <f t="shared" si="9"/>
        <v>0</v>
      </c>
      <c r="S19" s="2">
        <f t="shared" ref="S19" ca="1" si="10">IF(ISBLANK($B19), 0, VLOOKUP($B19, INDIRECT($A19), MATCH(S$2, StatHeader, 0), 0))</f>
        <v>0</v>
      </c>
      <c r="T19">
        <f t="shared" ref="T19:U19" si="11">SUMIF(INDEX(SetBonusLookup, 0, 1), "="&amp;T2, INDEX(SetBonusLookup, 0, MATCH("TPSet1Gear", INDEX(SetBonusLookup, 1, 0), 0)))</f>
        <v>0</v>
      </c>
      <c r="U19">
        <f t="shared" si="11"/>
        <v>0</v>
      </c>
      <c r="V19">
        <f ca="1">SUMIF(INDEX(SetBonusLookup, 0, 1), "="&amp;V2, INDEX(SetBonusLookup, 0, MATCH("TPSet1Gear", INDEX(SetBonusLookup, 1, 0), 0)))</f>
        <v>0</v>
      </c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ca="1" si="12">SUMIF(INDEX(SetBonusLookup, 0, 1), "="&amp;AC2, INDEX(SetBonusLookup, 0, MATCH("TPSet2Gear", INDEX(SetBonusLookup, 1, 0), 0)))</f>
        <v>0</v>
      </c>
      <c r="AD19">
        <f t="shared" ca="1" si="12"/>
        <v>0</v>
      </c>
      <c r="AE19">
        <f t="shared" ca="1" si="12"/>
        <v>0</v>
      </c>
      <c r="AF19">
        <f t="shared" si="12"/>
        <v>0</v>
      </c>
      <c r="AG19">
        <f t="shared" ca="1" si="12"/>
        <v>0</v>
      </c>
      <c r="AH19">
        <f t="shared" ca="1" si="12"/>
        <v>0</v>
      </c>
      <c r="AI19" s="89">
        <f t="shared" ca="1" si="12"/>
        <v>0</v>
      </c>
      <c r="AJ19" s="89">
        <f t="shared" ca="1" si="12"/>
        <v>0</v>
      </c>
      <c r="AK19" s="89">
        <f t="shared" si="12"/>
        <v>0</v>
      </c>
      <c r="AL19" s="89">
        <f t="shared" ca="1" si="12"/>
        <v>0</v>
      </c>
      <c r="AM19" s="89">
        <f t="shared" ca="1" si="12"/>
        <v>0</v>
      </c>
      <c r="AN19" s="89">
        <f t="shared" si="12"/>
        <v>0</v>
      </c>
      <c r="AO19">
        <f t="shared" ca="1" si="12"/>
        <v>0</v>
      </c>
      <c r="AP19">
        <f t="shared" si="12"/>
        <v>0</v>
      </c>
      <c r="AQ19" s="89">
        <f t="shared" ref="AQ19:AS19" si="13">SUMIF(INDEX(SetBonusLookup, 0, 1), "="&amp;AQ2, INDEX(SetBonusLookup, 0, MATCH("TPSet2Gear", INDEX(SetBonusLookup, 1, 0), 0)))</f>
        <v>0</v>
      </c>
      <c r="AR19">
        <f t="shared" si="13"/>
        <v>0</v>
      </c>
      <c r="AS19">
        <f t="shared" si="13"/>
        <v>0</v>
      </c>
      <c r="AT19">
        <f ca="1">SUMIF(INDEX(SetBonusLookup, 0, 1), "="&amp;AT2, INDEX(SetBonusLookup, 0, MATCH("TPSet2Gear", INDEX(SetBonusLookup, 1, 0), 0)))</f>
        <v>0</v>
      </c>
    </row>
    <row r="20" spans="1:46">
      <c r="A20" t="s">
        <v>485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>
        <v>0</v>
      </c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485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>
        <v>0</v>
      </c>
      <c r="AN20" s="34"/>
      <c r="AO20" s="36"/>
      <c r="AP20" s="36"/>
      <c r="AQ20" s="34"/>
      <c r="AR20" s="32"/>
      <c r="AS20" s="32"/>
      <c r="AT20" s="32"/>
    </row>
    <row r="21" spans="1:46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6">
      <c r="A22" t="s">
        <v>7</v>
      </c>
      <c r="C22">
        <f t="shared" ref="C22:P22" ca="1" si="14">SUM(C3:C20)</f>
        <v>0</v>
      </c>
      <c r="D22">
        <f t="shared" ca="1" si="14"/>
        <v>0</v>
      </c>
      <c r="E22">
        <f t="shared" ca="1" si="14"/>
        <v>135</v>
      </c>
      <c r="F22">
        <f t="shared" ca="1" si="14"/>
        <v>200</v>
      </c>
      <c r="G22">
        <f t="shared" ca="1" si="14"/>
        <v>181</v>
      </c>
      <c r="H22">
        <f t="shared" ca="1" si="14"/>
        <v>83</v>
      </c>
      <c r="I22">
        <f t="shared" ca="1" si="14"/>
        <v>71</v>
      </c>
      <c r="J22">
        <f t="shared" ca="1" si="14"/>
        <v>281</v>
      </c>
      <c r="K22" s="2">
        <f t="shared" ca="1" si="14"/>
        <v>0.22</v>
      </c>
      <c r="L22" s="2">
        <f t="shared" ca="1" si="14"/>
        <v>0.35000000000000003</v>
      </c>
      <c r="M22" s="2">
        <f t="shared" ca="1" si="14"/>
        <v>0.02</v>
      </c>
      <c r="N22" s="2">
        <f t="shared" ca="1" si="14"/>
        <v>0</v>
      </c>
      <c r="O22" s="2">
        <f t="shared" ca="1" si="14"/>
        <v>0.13</v>
      </c>
      <c r="P22" s="2">
        <f t="shared" ca="1" si="14"/>
        <v>0</v>
      </c>
      <c r="Q22" s="2">
        <f ca="1">SUM(Q3:Q20)/1024</f>
        <v>0.248046875</v>
      </c>
      <c r="R22">
        <f ca="1">SUM(R3:R20)</f>
        <v>0</v>
      </c>
      <c r="S22" s="2">
        <f t="shared" ref="S22" ca="1" si="15">SUM(S3:S20)</f>
        <v>0</v>
      </c>
      <c r="T22">
        <f t="shared" ref="T22:U22" ca="1" si="16">SUM(T3:T20)</f>
        <v>20</v>
      </c>
      <c r="U22">
        <f t="shared" ca="1" si="16"/>
        <v>145</v>
      </c>
      <c r="V22">
        <f ca="1">SUM(V3:V20)</f>
        <v>27</v>
      </c>
      <c r="Y22" t="s">
        <v>7</v>
      </c>
      <c r="AA22">
        <f t="shared" ref="AA22:AN22" ca="1" si="17">SUM(AA3:AA20)</f>
        <v>0</v>
      </c>
      <c r="AB22">
        <f t="shared" ca="1" si="17"/>
        <v>0</v>
      </c>
      <c r="AC22">
        <f t="shared" ca="1" si="17"/>
        <v>157</v>
      </c>
      <c r="AD22">
        <f t="shared" ca="1" si="17"/>
        <v>222</v>
      </c>
      <c r="AE22">
        <f t="shared" ca="1" si="17"/>
        <v>163</v>
      </c>
      <c r="AF22">
        <f t="shared" ca="1" si="17"/>
        <v>95</v>
      </c>
      <c r="AG22">
        <f t="shared" ca="1" si="17"/>
        <v>71</v>
      </c>
      <c r="AH22">
        <f t="shared" ca="1" si="17"/>
        <v>247</v>
      </c>
      <c r="AI22" s="2">
        <f t="shared" ca="1" si="17"/>
        <v>0.22</v>
      </c>
      <c r="AJ22" s="2">
        <f t="shared" ca="1" si="17"/>
        <v>0.27</v>
      </c>
      <c r="AK22" s="2">
        <f t="shared" ca="1" si="17"/>
        <v>0.02</v>
      </c>
      <c r="AL22" s="2">
        <f t="shared" ca="1" si="17"/>
        <v>0</v>
      </c>
      <c r="AM22" s="2">
        <f t="shared" ca="1" si="17"/>
        <v>0.13</v>
      </c>
      <c r="AN22" s="2">
        <f t="shared" ca="1" si="17"/>
        <v>0</v>
      </c>
      <c r="AO22" s="2">
        <f ca="1">SUM(AO3:AO20)/1024</f>
        <v>0.248046875</v>
      </c>
      <c r="AP22">
        <f ca="1">SUM(AP3:AP20)</f>
        <v>0</v>
      </c>
      <c r="AQ22" s="2">
        <f t="shared" ref="AQ22:AS22" ca="1" si="18">SUM(AQ3:AQ20)</f>
        <v>0</v>
      </c>
      <c r="AR22">
        <f t="shared" ca="1" si="18"/>
        <v>20</v>
      </c>
      <c r="AS22">
        <f t="shared" ca="1" si="18"/>
        <v>165</v>
      </c>
      <c r="AT22">
        <f ca="1">SUM(AT3:AT20)</f>
        <v>37</v>
      </c>
    </row>
    <row r="23" spans="1:46">
      <c r="A23" s="9" t="s">
        <v>110</v>
      </c>
      <c r="B23" s="8">
        <f ca="1">Data!D279</f>
        <v>3455.43643349082</v>
      </c>
      <c r="J23" s="89">
        <f ca="1">Data!B108</f>
        <v>0.99</v>
      </c>
      <c r="Y23" s="9" t="s">
        <v>110</v>
      </c>
      <c r="Z23" s="8">
        <f ca="1">Data!E279</f>
        <v>3148.6810207966496</v>
      </c>
      <c r="AH23" s="89">
        <f ca="1">Data!C108</f>
        <v>0.99</v>
      </c>
    </row>
    <row r="24" spans="1:46">
      <c r="J24" s="89">
        <f ca="1">Data!B169</f>
        <v>0.95</v>
      </c>
      <c r="AH24" s="89">
        <f ca="1">Data!C169</f>
        <v>0.95</v>
      </c>
    </row>
    <row r="25" spans="1:46">
      <c r="A25" t="s">
        <v>269</v>
      </c>
      <c r="Y25" t="s">
        <v>270</v>
      </c>
    </row>
    <row r="26" spans="1:46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221</v>
      </c>
      <c r="H26" t="s">
        <v>9</v>
      </c>
      <c r="I26" t="s">
        <v>10</v>
      </c>
      <c r="J26" t="s">
        <v>12</v>
      </c>
      <c r="K26" t="s">
        <v>164</v>
      </c>
      <c r="L26" t="s">
        <v>360</v>
      </c>
      <c r="M26" t="s">
        <v>131</v>
      </c>
      <c r="N26" t="s">
        <v>127</v>
      </c>
      <c r="O26" t="s">
        <v>126</v>
      </c>
      <c r="P26" t="s">
        <v>175</v>
      </c>
      <c r="Q26" t="s">
        <v>354</v>
      </c>
      <c r="R26" t="s">
        <v>302</v>
      </c>
      <c r="S26" t="s">
        <v>473</v>
      </c>
      <c r="V26" t="s">
        <v>13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221</v>
      </c>
      <c r="AF26" t="s">
        <v>9</v>
      </c>
      <c r="AG26" t="s">
        <v>10</v>
      </c>
      <c r="AH26" t="s">
        <v>12</v>
      </c>
      <c r="AI26" t="s">
        <v>164</v>
      </c>
      <c r="AJ26" t="s">
        <v>360</v>
      </c>
      <c r="AK26" t="s">
        <v>131</v>
      </c>
      <c r="AL26" t="s">
        <v>127</v>
      </c>
      <c r="AM26" t="s">
        <v>126</v>
      </c>
      <c r="AN26" t="s">
        <v>175</v>
      </c>
      <c r="AO26" t="s">
        <v>354</v>
      </c>
      <c r="AP26" t="s">
        <v>302</v>
      </c>
      <c r="AQ26" t="s">
        <v>473</v>
      </c>
      <c r="AT26" t="s">
        <v>13</v>
      </c>
    </row>
    <row r="27" spans="1:46">
      <c r="A27" s="31" t="s">
        <v>530</v>
      </c>
      <c r="B27" t="str">
        <f>B3</f>
        <v>Ternion +1</v>
      </c>
      <c r="C27">
        <f t="shared" ref="C27:V42" ca="1" si="19">IF(ISBLANK($B27), 0, VLOOKUP($B27, INDIRECT($A27), MATCH(C$26, StatHeader, 0), 0))</f>
        <v>0</v>
      </c>
      <c r="D27">
        <f t="shared" ca="1" si="19"/>
        <v>0</v>
      </c>
      <c r="E27">
        <f t="shared" ca="1" si="19"/>
        <v>0</v>
      </c>
      <c r="F27">
        <f t="shared" ca="1" si="19"/>
        <v>15</v>
      </c>
      <c r="G27">
        <f t="shared" ca="1" si="19"/>
        <v>0</v>
      </c>
      <c r="H27">
        <f t="shared" ca="1" si="19"/>
        <v>0</v>
      </c>
      <c r="I27">
        <f t="shared" ca="1" si="19"/>
        <v>27</v>
      </c>
      <c r="J27" s="2">
        <f t="shared" ca="1" si="19"/>
        <v>0</v>
      </c>
      <c r="K27" s="2">
        <f t="shared" ca="1" si="19"/>
        <v>0.04</v>
      </c>
      <c r="L27" s="2">
        <f t="shared" ca="1" si="19"/>
        <v>0</v>
      </c>
      <c r="M27" s="2">
        <f t="shared" ca="1" si="19"/>
        <v>0</v>
      </c>
      <c r="N27" s="2">
        <f t="shared" ca="1" si="19"/>
        <v>0</v>
      </c>
      <c r="O27" s="2">
        <f t="shared" ca="1" si="19"/>
        <v>0</v>
      </c>
      <c r="P27" s="2">
        <f t="shared" ca="1" si="19"/>
        <v>0</v>
      </c>
      <c r="Q27" s="2">
        <f t="shared" ca="1" si="19"/>
        <v>0</v>
      </c>
      <c r="R27" s="35">
        <f t="shared" ca="1" si="19"/>
        <v>0</v>
      </c>
      <c r="S27" s="35">
        <f ca="1">IF(ISBLANK($B27), 0, IF(ISNUMBER(VLOOKUP($B27, INDIRECT($A27), MATCH("D"&amp;S$26, StatHeader, 0), 0)), IF(Setup!$F$34=1, VLOOKUP($B27, INDIRECT($A27), MATCH("D"&amp;S$26, StatHeader, 0), 0), 0), VLOOKUP($B27, INDIRECT($A27), MATCH(S$26, StatHeader, 0), 0)))</f>
        <v>0</v>
      </c>
      <c r="T27" s="35"/>
      <c r="U27" s="35"/>
      <c r="V27">
        <f t="shared" ca="1" si="19"/>
        <v>0</v>
      </c>
      <c r="Y27" s="31" t="s">
        <v>530</v>
      </c>
      <c r="Z27" t="str">
        <f>Z3</f>
        <v>Heishi Shorinken</v>
      </c>
      <c r="AA27">
        <f t="shared" ref="AA27:AT42" ca="1" si="20">IF(ISBLANK($Z27), 0, VLOOKUP($Z27, INDIRECT($Y27), MATCH(AA$26, StatHeader, 0), 0))</f>
        <v>0</v>
      </c>
      <c r="AB27">
        <f t="shared" ca="1" si="20"/>
        <v>0</v>
      </c>
      <c r="AC27">
        <f t="shared" ca="1" si="20"/>
        <v>0</v>
      </c>
      <c r="AD27">
        <f t="shared" ca="1" si="20"/>
        <v>0</v>
      </c>
      <c r="AE27">
        <f t="shared" ca="1" si="20"/>
        <v>0</v>
      </c>
      <c r="AF27">
        <f t="shared" ca="1" si="20"/>
        <v>0</v>
      </c>
      <c r="AG27">
        <f t="shared" ca="1" si="20"/>
        <v>0</v>
      </c>
      <c r="AH27" s="2">
        <f t="shared" ca="1" si="20"/>
        <v>0</v>
      </c>
      <c r="AI27" s="2">
        <f t="shared" ca="1" si="20"/>
        <v>0</v>
      </c>
      <c r="AJ27" s="2">
        <f t="shared" ca="1" si="20"/>
        <v>0</v>
      </c>
      <c r="AK27" s="2">
        <f t="shared" ca="1" si="20"/>
        <v>0</v>
      </c>
      <c r="AL27" s="2">
        <f t="shared" ca="1" si="20"/>
        <v>0</v>
      </c>
      <c r="AM27" s="2">
        <f t="shared" ca="1" si="20"/>
        <v>0</v>
      </c>
      <c r="AN27" s="2">
        <f t="shared" ca="1" si="20"/>
        <v>0</v>
      </c>
      <c r="AO27" s="2">
        <f t="shared" ca="1" si="20"/>
        <v>0</v>
      </c>
      <c r="AP27" s="35">
        <f t="shared" ca="1" si="20"/>
        <v>500</v>
      </c>
      <c r="AQ27" s="35">
        <f ca="1">IF(ISBLANK($Z27), 0, IF(ISNUMBER(VLOOKUP($Z27, INDIRECT($Y27), MATCH("D"&amp;AQ$26, StatHeader, 0), 0)), IF(Setup!$G$34=1,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0"/>
        <v>10</v>
      </c>
    </row>
    <row r="28" spans="1:46">
      <c r="A28" t="str">
        <f>A4</f>
        <v>Katana</v>
      </c>
      <c r="B28" s="14" t="str">
        <f>B4</f>
        <v>Ternion +1</v>
      </c>
      <c r="C28">
        <f t="shared" ca="1" si="19"/>
        <v>0</v>
      </c>
      <c r="D28">
        <f t="shared" ca="1" si="19"/>
        <v>0</v>
      </c>
      <c r="E28">
        <f t="shared" ca="1" si="19"/>
        <v>0</v>
      </c>
      <c r="F28">
        <f t="shared" ca="1" si="19"/>
        <v>15</v>
      </c>
      <c r="G28">
        <f t="shared" ca="1" si="19"/>
        <v>0</v>
      </c>
      <c r="H28">
        <f t="shared" ca="1" si="19"/>
        <v>0</v>
      </c>
      <c r="I28">
        <f t="shared" ca="1" si="19"/>
        <v>27</v>
      </c>
      <c r="J28" s="2">
        <f t="shared" ca="1" si="19"/>
        <v>0</v>
      </c>
      <c r="K28" s="2">
        <f t="shared" ca="1" si="19"/>
        <v>0.04</v>
      </c>
      <c r="L28" s="2">
        <f t="shared" ca="1" si="19"/>
        <v>0</v>
      </c>
      <c r="M28" s="2">
        <f t="shared" ca="1" si="19"/>
        <v>0</v>
      </c>
      <c r="N28" s="2">
        <f t="shared" ca="1" si="19"/>
        <v>0</v>
      </c>
      <c r="O28" s="2">
        <f t="shared" ca="1" si="19"/>
        <v>0</v>
      </c>
      <c r="P28" s="2">
        <f t="shared" ca="1" si="19"/>
        <v>0</v>
      </c>
      <c r="Q28" s="2">
        <f t="shared" ca="1" si="19"/>
        <v>0</v>
      </c>
      <c r="R28" s="35">
        <f t="shared" ca="1" si="19"/>
        <v>0</v>
      </c>
      <c r="S28" s="35">
        <f ca="1">IF(ISBLANK($B28), 0, IF(ISNUMBER(VLOOKUP($B28, INDIRECT($A28), MATCH("D"&amp;S$26, StatHeader, 0), 0)), IF(Setup!$F$34=1, VLOOKUP($B28, INDIRECT($A28), MATCH("D"&amp;S$26, StatHeader, 0), 0), 0), VLOOKUP($B28, INDIRECT($A28), MATCH(S$26, StatHeader, 0), 0)))</f>
        <v>0</v>
      </c>
      <c r="T28" s="35"/>
      <c r="U28" s="35"/>
      <c r="V28">
        <f t="shared" ca="1" si="19"/>
        <v>0</v>
      </c>
      <c r="Y28" t="str">
        <f>Y4</f>
        <v>Katana</v>
      </c>
      <c r="Z28" s="14" t="str">
        <f>Z4</f>
        <v>Ochu Max</v>
      </c>
      <c r="AA28">
        <f t="shared" ca="1" si="20"/>
        <v>0</v>
      </c>
      <c r="AB28">
        <f t="shared" ca="1" si="20"/>
        <v>22</v>
      </c>
      <c r="AC28">
        <f t="shared" ca="1" si="20"/>
        <v>22</v>
      </c>
      <c r="AD28">
        <f t="shared" ca="1" si="20"/>
        <v>12</v>
      </c>
      <c r="AE28">
        <f t="shared" ca="1" si="20"/>
        <v>12</v>
      </c>
      <c r="AF28">
        <f t="shared" ca="1" si="20"/>
        <v>0</v>
      </c>
      <c r="AG28">
        <f t="shared" ca="1" si="20"/>
        <v>20</v>
      </c>
      <c r="AH28" s="2">
        <f t="shared" ca="1" si="20"/>
        <v>0</v>
      </c>
      <c r="AI28" s="2">
        <f t="shared" ca="1" si="20"/>
        <v>0</v>
      </c>
      <c r="AJ28" s="2">
        <f t="shared" ca="1" si="20"/>
        <v>0</v>
      </c>
      <c r="AK28" s="2">
        <f t="shared" ca="1" si="20"/>
        <v>0</v>
      </c>
      <c r="AL28" s="2">
        <f t="shared" ca="1" si="20"/>
        <v>0</v>
      </c>
      <c r="AM28" s="2">
        <f t="shared" ca="1" si="20"/>
        <v>0</v>
      </c>
      <c r="AN28" s="2">
        <f t="shared" ca="1" si="20"/>
        <v>0</v>
      </c>
      <c r="AO28" s="2">
        <f t="shared" ca="1" si="20"/>
        <v>0</v>
      </c>
      <c r="AP28" s="35">
        <f t="shared" ca="1" si="20"/>
        <v>0</v>
      </c>
      <c r="AQ28" s="35">
        <f ca="1">IF(ISBLANK($Z28), 0, IF(ISNUMBER(VLOOKUP($Z28, INDIRECT($Y28), MATCH("D"&amp;AQ$26, StatHeader, 0), 0)), IF(Setup!$G$34=1,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0"/>
        <v>0</v>
      </c>
    </row>
    <row r="29" spans="1:46">
      <c r="A29" t="s">
        <v>136</v>
      </c>
      <c r="B29" s="42"/>
      <c r="C29">
        <f t="shared" ca="1" si="19"/>
        <v>0</v>
      </c>
      <c r="D29">
        <f t="shared" ca="1" si="19"/>
        <v>0</v>
      </c>
      <c r="E29">
        <f t="shared" ca="1" si="19"/>
        <v>0</v>
      </c>
      <c r="F29">
        <f t="shared" ca="1" si="19"/>
        <v>0</v>
      </c>
      <c r="G29">
        <f t="shared" ca="1" si="19"/>
        <v>0</v>
      </c>
      <c r="H29">
        <f t="shared" ca="1" si="19"/>
        <v>0</v>
      </c>
      <c r="I29">
        <f t="shared" ca="1" si="19"/>
        <v>0</v>
      </c>
      <c r="J29" s="2">
        <f t="shared" ca="1" si="19"/>
        <v>0</v>
      </c>
      <c r="K29" s="2">
        <f t="shared" ca="1" si="19"/>
        <v>0</v>
      </c>
      <c r="L29" s="2">
        <f t="shared" ca="1" si="19"/>
        <v>0</v>
      </c>
      <c r="M29" s="2">
        <f t="shared" ca="1" si="19"/>
        <v>0</v>
      </c>
      <c r="N29" s="2">
        <f t="shared" ca="1" si="19"/>
        <v>0</v>
      </c>
      <c r="O29" s="2">
        <f t="shared" ca="1" si="19"/>
        <v>0</v>
      </c>
      <c r="P29" s="2">
        <f t="shared" ca="1" si="19"/>
        <v>0</v>
      </c>
      <c r="Q29" s="2">
        <f t="shared" ca="1" si="19"/>
        <v>0</v>
      </c>
      <c r="R29" s="35">
        <f t="shared" ca="1" si="19"/>
        <v>0</v>
      </c>
      <c r="S29" s="35">
        <f ca="1">IF(ISBLANK($B29), 0, IF(ISNUMBER(VLOOKUP($B29, INDIRECT($A29), MATCH("D"&amp;S$26, StatHeader, 0), 0)), IF(Setup!$F$34=1, VLOOKUP($B29, INDIRECT($A29), MATCH("D"&amp;S$26, StatHeader, 0), 0), 0), VLOOKUP($B29, INDIRECT($A29), MATCH(S$26, StatHeader, 0), 0)))</f>
        <v>0</v>
      </c>
      <c r="T29" s="35"/>
      <c r="U29" s="35"/>
      <c r="V29">
        <f t="shared" ca="1" si="19"/>
        <v>0</v>
      </c>
      <c r="X29" t="str">
        <f t="shared" ref="X29:X41" si="21">IF(Z29=B29, "=", "-")</f>
        <v>=</v>
      </c>
      <c r="Y29" t="s">
        <v>136</v>
      </c>
      <c r="Z29" s="42"/>
      <c r="AA29">
        <f t="shared" ca="1" si="20"/>
        <v>0</v>
      </c>
      <c r="AB29">
        <f t="shared" ca="1" si="20"/>
        <v>0</v>
      </c>
      <c r="AC29">
        <f t="shared" ca="1" si="20"/>
        <v>0</v>
      </c>
      <c r="AD29">
        <f t="shared" ca="1" si="20"/>
        <v>0</v>
      </c>
      <c r="AE29">
        <f t="shared" ca="1" si="20"/>
        <v>0</v>
      </c>
      <c r="AF29">
        <f t="shared" ca="1" si="20"/>
        <v>0</v>
      </c>
      <c r="AG29">
        <f t="shared" ca="1" si="20"/>
        <v>0</v>
      </c>
      <c r="AH29" s="2">
        <f t="shared" ca="1" si="20"/>
        <v>0</v>
      </c>
      <c r="AI29" s="2">
        <f t="shared" ca="1" si="20"/>
        <v>0</v>
      </c>
      <c r="AJ29" s="2">
        <f t="shared" ca="1" si="20"/>
        <v>0</v>
      </c>
      <c r="AK29" s="2">
        <f t="shared" ca="1" si="20"/>
        <v>0</v>
      </c>
      <c r="AL29" s="2">
        <f t="shared" ca="1" si="20"/>
        <v>0</v>
      </c>
      <c r="AM29" s="2">
        <f t="shared" ca="1" si="20"/>
        <v>0</v>
      </c>
      <c r="AN29" s="2">
        <f t="shared" ca="1" si="20"/>
        <v>0</v>
      </c>
      <c r="AO29" s="2">
        <f t="shared" ca="1" si="20"/>
        <v>0</v>
      </c>
      <c r="AP29" s="35">
        <f t="shared" ca="1" si="20"/>
        <v>0</v>
      </c>
      <c r="AQ29" s="35">
        <f ca="1">IF(ISBLANK($Z29), 0, IF(ISNUMBER(VLOOKUP($Z29, INDIRECT($Y29), MATCH("D"&amp;AQ$26, StatHeader, 0), 0)), IF(Setup!$G$34=1,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0"/>
        <v>0</v>
      </c>
    </row>
    <row r="30" spans="1:46">
      <c r="A30" s="219" t="s">
        <v>15</v>
      </c>
      <c r="B30" s="32" t="s">
        <v>591</v>
      </c>
      <c r="C30">
        <f t="shared" ca="1" si="19"/>
        <v>0</v>
      </c>
      <c r="D30">
        <f t="shared" ca="1" si="19"/>
        <v>0</v>
      </c>
      <c r="E30">
        <f t="shared" ca="1" si="19"/>
        <v>0</v>
      </c>
      <c r="F30">
        <f t="shared" ca="1" si="19"/>
        <v>0</v>
      </c>
      <c r="G30">
        <f t="shared" ca="1" si="19"/>
        <v>0</v>
      </c>
      <c r="H30">
        <f t="shared" ca="1" si="19"/>
        <v>0</v>
      </c>
      <c r="I30">
        <f t="shared" ca="1" si="19"/>
        <v>0</v>
      </c>
      <c r="J30" s="2">
        <f t="shared" ca="1" si="19"/>
        <v>0</v>
      </c>
      <c r="K30" s="2">
        <f t="shared" ca="1" si="19"/>
        <v>0</v>
      </c>
      <c r="L30" s="2">
        <f t="shared" ca="1" si="19"/>
        <v>0</v>
      </c>
      <c r="M30" s="2">
        <f t="shared" ca="1" si="19"/>
        <v>0</v>
      </c>
      <c r="N30" s="2">
        <f t="shared" ca="1" si="19"/>
        <v>0.01</v>
      </c>
      <c r="O30" s="2">
        <f t="shared" ca="1" si="19"/>
        <v>0.05</v>
      </c>
      <c r="P30" s="2">
        <f t="shared" ca="1" si="19"/>
        <v>0</v>
      </c>
      <c r="Q30" s="2">
        <f t="shared" ca="1" si="19"/>
        <v>0</v>
      </c>
      <c r="R30" s="35">
        <f t="shared" ca="1" si="19"/>
        <v>0</v>
      </c>
      <c r="S30" s="35">
        <f ca="1">IF(ISBLANK($B30), 0, IF(ISNUMBER(VLOOKUP($B30, INDIRECT($A30), MATCH("D"&amp;S$26, StatHeader, 0), 0)), IF(Setup!$F$34=1, VLOOKUP($B30, INDIRECT($A30), MATCH("D"&amp;S$26, StatHeader, 0), 0), 0), VLOOKUP($B30, INDIRECT($A30), MATCH(S$26, StatHeader, 0), 0)))</f>
        <v>0</v>
      </c>
      <c r="T30" s="35"/>
      <c r="U30" s="35"/>
      <c r="V30">
        <f t="shared" ca="1" si="19"/>
        <v>0</v>
      </c>
      <c r="X30" t="str">
        <f t="shared" si="21"/>
        <v>-</v>
      </c>
      <c r="Y30" s="219" t="s">
        <v>15</v>
      </c>
      <c r="Z30" s="32" t="s">
        <v>712</v>
      </c>
      <c r="AA30">
        <f t="shared" ca="1" si="20"/>
        <v>0</v>
      </c>
      <c r="AB30">
        <f t="shared" ca="1" si="20"/>
        <v>5</v>
      </c>
      <c r="AC30">
        <f t="shared" ca="1" si="20"/>
        <v>0</v>
      </c>
      <c r="AD30">
        <f t="shared" ca="1" si="20"/>
        <v>0</v>
      </c>
      <c r="AE30">
        <f t="shared" ca="1" si="20"/>
        <v>0</v>
      </c>
      <c r="AF30">
        <f t="shared" ca="1" si="20"/>
        <v>13</v>
      </c>
      <c r="AG30">
        <f t="shared" ca="1" si="20"/>
        <v>13</v>
      </c>
      <c r="AH30" s="2">
        <f t="shared" ca="1" si="20"/>
        <v>0</v>
      </c>
      <c r="AI30" s="2">
        <f t="shared" ca="1" si="20"/>
        <v>0</v>
      </c>
      <c r="AJ30" s="2">
        <f t="shared" ca="1" si="20"/>
        <v>0</v>
      </c>
      <c r="AK30" s="2">
        <f t="shared" ca="1" si="20"/>
        <v>0</v>
      </c>
      <c r="AL30" s="2">
        <f t="shared" ca="1" si="20"/>
        <v>0</v>
      </c>
      <c r="AM30" s="2">
        <f t="shared" ca="1" si="20"/>
        <v>0</v>
      </c>
      <c r="AN30" s="2">
        <f t="shared" ca="1" si="20"/>
        <v>0</v>
      </c>
      <c r="AO30" s="2">
        <f t="shared" ca="1" si="20"/>
        <v>0</v>
      </c>
      <c r="AP30" s="35">
        <f t="shared" ca="1" si="20"/>
        <v>0</v>
      </c>
      <c r="AQ30" s="35">
        <f ca="1">IF(ISBLANK($Z30), 0, IF(ISNUMBER(VLOOKUP($Z30, INDIRECT($Y30), MATCH("D"&amp;AQ$26, StatHeader, 0), 0)), IF(Setup!$G$34=1,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0"/>
        <v>0</v>
      </c>
    </row>
    <row r="31" spans="1:46">
      <c r="A31" t="s">
        <v>16</v>
      </c>
      <c r="B31" s="32" t="s">
        <v>715</v>
      </c>
      <c r="C31">
        <f t="shared" ca="1" si="19"/>
        <v>0</v>
      </c>
      <c r="D31">
        <f t="shared" ca="1" si="19"/>
        <v>19</v>
      </c>
      <c r="E31">
        <f t="shared" ca="1" si="19"/>
        <v>33</v>
      </c>
      <c r="F31">
        <f t="shared" ca="1" si="19"/>
        <v>31</v>
      </c>
      <c r="G31">
        <f t="shared" ca="1" si="19"/>
        <v>14</v>
      </c>
      <c r="H31">
        <f t="shared" ca="1" si="19"/>
        <v>20</v>
      </c>
      <c r="I31">
        <f t="shared" ca="1" si="19"/>
        <v>20</v>
      </c>
      <c r="J31" s="2">
        <f t="shared" ca="1" si="19"/>
        <v>0</v>
      </c>
      <c r="K31" s="2">
        <f t="shared" ca="1" si="19"/>
        <v>0.04</v>
      </c>
      <c r="L31" s="2">
        <f t="shared" ca="1" si="19"/>
        <v>0</v>
      </c>
      <c r="M31" s="2">
        <f t="shared" ca="1" si="19"/>
        <v>0</v>
      </c>
      <c r="N31" s="2">
        <f t="shared" ca="1" si="19"/>
        <v>0</v>
      </c>
      <c r="O31" s="2">
        <f t="shared" ca="1" si="19"/>
        <v>0.06</v>
      </c>
      <c r="P31" s="2">
        <f t="shared" ca="1" si="19"/>
        <v>0</v>
      </c>
      <c r="Q31" s="2">
        <f t="shared" ca="1" si="19"/>
        <v>0</v>
      </c>
      <c r="R31" s="35">
        <f t="shared" ca="1" si="19"/>
        <v>0</v>
      </c>
      <c r="S31" s="35">
        <f ca="1">IF(ISBLANK($B31), 0, IF(ISNUMBER(VLOOKUP($B31, INDIRECT($A31), MATCH("D"&amp;S$26, StatHeader, 0), 0)), IF(Setup!$F$34=1, VLOOKUP($B31, INDIRECT($A31), MATCH("D"&amp;S$26, StatHeader, 0), 0), 0), VLOOKUP($B31, INDIRECT($A31), MATCH(S$26, StatHeader, 0), 0)))</f>
        <v>0</v>
      </c>
      <c r="T31" s="35"/>
      <c r="U31" s="35"/>
      <c r="V31">
        <f t="shared" ca="1" si="19"/>
        <v>0</v>
      </c>
      <c r="X31" t="str">
        <f t="shared" si="21"/>
        <v>-</v>
      </c>
      <c r="Y31" t="s">
        <v>16</v>
      </c>
      <c r="Z31" s="32" t="s">
        <v>785</v>
      </c>
      <c r="AA31">
        <f t="shared" ca="1" si="20"/>
        <v>0</v>
      </c>
      <c r="AB31">
        <f t="shared" ca="1" si="20"/>
        <v>23</v>
      </c>
      <c r="AC31">
        <f t="shared" ca="1" si="20"/>
        <v>42</v>
      </c>
      <c r="AD31">
        <f t="shared" ca="1" si="20"/>
        <v>29</v>
      </c>
      <c r="AE31">
        <f t="shared" ca="1" si="20"/>
        <v>19</v>
      </c>
      <c r="AF31">
        <f t="shared" ca="1" si="20"/>
        <v>0</v>
      </c>
      <c r="AG31">
        <f t="shared" ca="1" si="20"/>
        <v>40</v>
      </c>
      <c r="AH31" s="2">
        <f t="shared" ca="1" si="20"/>
        <v>0</v>
      </c>
      <c r="AI31" s="2">
        <f t="shared" ca="1" si="20"/>
        <v>0.03</v>
      </c>
      <c r="AJ31" s="2">
        <f t="shared" ca="1" si="20"/>
        <v>0</v>
      </c>
      <c r="AK31" s="2">
        <f t="shared" ca="1" si="20"/>
        <v>0</v>
      </c>
      <c r="AL31" s="2">
        <f t="shared" ca="1" si="20"/>
        <v>0.03</v>
      </c>
      <c r="AM31" s="2">
        <f t="shared" ca="1" si="20"/>
        <v>0</v>
      </c>
      <c r="AN31" s="2">
        <f t="shared" ca="1" si="20"/>
        <v>0</v>
      </c>
      <c r="AO31" s="2">
        <f t="shared" ca="1" si="20"/>
        <v>0</v>
      </c>
      <c r="AP31" s="35">
        <f t="shared" ca="1" si="20"/>
        <v>0</v>
      </c>
      <c r="AQ31" s="35">
        <f ca="1">IF(ISBLANK($Z31), 0, IF(ISNUMBER(VLOOKUP($Z31, INDIRECT($Y31), MATCH("D"&amp;AQ$26, StatHeader, 0), 0)), IF(Setup!$G$34=1,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0"/>
        <v>0</v>
      </c>
    </row>
    <row r="32" spans="1:46">
      <c r="A32" t="s">
        <v>17</v>
      </c>
      <c r="B32" s="32" t="s">
        <v>767</v>
      </c>
      <c r="C32">
        <f t="shared" ca="1" si="19"/>
        <v>0</v>
      </c>
      <c r="D32">
        <f t="shared" ca="1" si="19"/>
        <v>0</v>
      </c>
      <c r="E32">
        <f t="shared" ca="1" si="19"/>
        <v>0</v>
      </c>
      <c r="F32">
        <f t="shared" ca="1" si="19"/>
        <v>0</v>
      </c>
      <c r="G32">
        <f t="shared" ca="1" si="19"/>
        <v>0</v>
      </c>
      <c r="H32">
        <f t="shared" ca="1" si="19"/>
        <v>0</v>
      </c>
      <c r="I32">
        <f t="shared" ca="1" si="19"/>
        <v>10</v>
      </c>
      <c r="J32" s="2">
        <f t="shared" ca="1" si="19"/>
        <v>0</v>
      </c>
      <c r="K32" s="2">
        <f t="shared" ca="1" si="19"/>
        <v>0</v>
      </c>
      <c r="L32" s="2">
        <f t="shared" ca="1" si="19"/>
        <v>0</v>
      </c>
      <c r="M32" s="2">
        <f t="shared" ca="1" si="19"/>
        <v>0</v>
      </c>
      <c r="N32" s="2">
        <f t="shared" ca="1" si="19"/>
        <v>0</v>
      </c>
      <c r="O32" s="2">
        <f t="shared" ca="1" si="19"/>
        <v>0</v>
      </c>
      <c r="P32" s="2">
        <f t="shared" ca="1" si="19"/>
        <v>0</v>
      </c>
      <c r="Q32" s="2">
        <f t="shared" ca="1" si="19"/>
        <v>0</v>
      </c>
      <c r="R32" s="35">
        <f t="shared" ca="1" si="19"/>
        <v>0</v>
      </c>
      <c r="S32" s="35">
        <f ca="1">IF(ISBLANK($B32), 0, IF(ISNUMBER(VLOOKUP($B32, INDIRECT($A32), MATCH("D"&amp;S$26, StatHeader, 0), 0)), IF(Setup!$F$34=1, VLOOKUP($B32, INDIRECT($A32), MATCH("D"&amp;S$26, StatHeader, 0), 0), 0), VLOOKUP($B32, INDIRECT($A32), MATCH(S$26, StatHeader, 0), 0)))</f>
        <v>100</v>
      </c>
      <c r="T32" s="35"/>
      <c r="U32" s="35"/>
      <c r="V32">
        <f t="shared" ca="1" si="19"/>
        <v>0</v>
      </c>
      <c r="X32" t="str">
        <f t="shared" si="21"/>
        <v>=</v>
      </c>
      <c r="Y32" t="s">
        <v>17</v>
      </c>
      <c r="Z32" s="32" t="s">
        <v>767</v>
      </c>
      <c r="AA32">
        <f t="shared" ca="1" si="20"/>
        <v>0</v>
      </c>
      <c r="AB32">
        <f t="shared" ca="1" si="20"/>
        <v>0</v>
      </c>
      <c r="AC32">
        <f t="shared" ca="1" si="20"/>
        <v>0</v>
      </c>
      <c r="AD32">
        <f t="shared" ca="1" si="20"/>
        <v>0</v>
      </c>
      <c r="AE32">
        <f t="shared" ca="1" si="20"/>
        <v>0</v>
      </c>
      <c r="AF32">
        <f t="shared" ca="1" si="20"/>
        <v>0</v>
      </c>
      <c r="AG32">
        <f t="shared" ca="1" si="20"/>
        <v>10</v>
      </c>
      <c r="AH32" s="2">
        <f t="shared" ca="1" si="20"/>
        <v>0</v>
      </c>
      <c r="AI32" s="2">
        <f t="shared" ca="1" si="20"/>
        <v>0</v>
      </c>
      <c r="AJ32" s="2">
        <f t="shared" ca="1" si="20"/>
        <v>0</v>
      </c>
      <c r="AK32" s="2">
        <f t="shared" ca="1" si="20"/>
        <v>0</v>
      </c>
      <c r="AL32" s="2">
        <f t="shared" ca="1" si="20"/>
        <v>0</v>
      </c>
      <c r="AM32" s="2">
        <f t="shared" ca="1" si="20"/>
        <v>0</v>
      </c>
      <c r="AN32" s="2">
        <f t="shared" ca="1" si="20"/>
        <v>0</v>
      </c>
      <c r="AO32" s="2">
        <f t="shared" ca="1" si="20"/>
        <v>0</v>
      </c>
      <c r="AP32" s="35">
        <f t="shared" ca="1" si="20"/>
        <v>0</v>
      </c>
      <c r="AQ32" s="35">
        <f ca="1">IF(ISBLANK($Z32), 0, IF(ISNUMBER(VLOOKUP($Z32, INDIRECT($Y32), MATCH("D"&amp;AQ$26, StatHeader, 0), 0)), IF(Setup!$G$34=1, VLOOKUP($Z32, INDIRECT($Y32), MATCH("D"&amp;AQ$26, StatHeader, 0), 0), 0), VLOOKUP($Z32, INDIRECT($Y32), MATCH(AQ$26, StatHeader, 0), 0)))</f>
        <v>100</v>
      </c>
      <c r="AR32" s="35"/>
      <c r="AS32" s="35"/>
      <c r="AT32">
        <f t="shared" ca="1" si="20"/>
        <v>0</v>
      </c>
    </row>
    <row r="33" spans="1:46">
      <c r="A33" t="s">
        <v>72</v>
      </c>
      <c r="B33" s="32" t="s">
        <v>508</v>
      </c>
      <c r="C33">
        <f t="shared" ca="1" si="19"/>
        <v>0</v>
      </c>
      <c r="D33">
        <f t="shared" ca="1" si="19"/>
        <v>0</v>
      </c>
      <c r="E33">
        <f t="shared" ca="1" si="19"/>
        <v>0</v>
      </c>
      <c r="F33">
        <f t="shared" ca="1" si="19"/>
        <v>0</v>
      </c>
      <c r="G33">
        <f t="shared" ca="1" si="19"/>
        <v>0</v>
      </c>
      <c r="H33">
        <f t="shared" ca="1" si="19"/>
        <v>0</v>
      </c>
      <c r="I33">
        <f t="shared" ca="1" si="19"/>
        <v>4</v>
      </c>
      <c r="J33" s="2">
        <f t="shared" ca="1" si="19"/>
        <v>0</v>
      </c>
      <c r="K33" s="2">
        <f t="shared" ca="1" si="19"/>
        <v>0</v>
      </c>
      <c r="L33" s="2">
        <f t="shared" ca="1" si="19"/>
        <v>0</v>
      </c>
      <c r="M33" s="2">
        <f t="shared" ca="1" si="19"/>
        <v>0</v>
      </c>
      <c r="N33" s="2">
        <f t="shared" ca="1" si="19"/>
        <v>0</v>
      </c>
      <c r="O33" s="2">
        <f t="shared" ca="1" si="19"/>
        <v>0</v>
      </c>
      <c r="P33" s="2">
        <f t="shared" ca="1" si="19"/>
        <v>0</v>
      </c>
      <c r="Q33" s="2">
        <f t="shared" ca="1" si="19"/>
        <v>0</v>
      </c>
      <c r="R33" s="35">
        <f t="shared" ca="1" si="19"/>
        <v>250</v>
      </c>
      <c r="S33" s="35">
        <f ca="1">IF(ISBLANK($B33), 0, IF(ISNUMBER(VLOOKUP($B33, INDIRECT($A33), MATCH("D"&amp;S$26, StatHeader, 0), 0)), IF(Setup!$F$34=1, VLOOKUP($B33, INDIRECT($A33), MATCH("D"&amp;S$26, StatHeader, 0), 0), 0), VLOOKUP($B33, INDIRECT($A33), MATCH(S$26, StatHeader, 0), 0)))</f>
        <v>0</v>
      </c>
      <c r="T33" s="35"/>
      <c r="U33" s="35"/>
      <c r="V33">
        <f t="shared" ca="1" si="19"/>
        <v>0</v>
      </c>
      <c r="X33" t="str">
        <f t="shared" si="21"/>
        <v>-</v>
      </c>
      <c r="Y33" t="s">
        <v>72</v>
      </c>
      <c r="Z33" s="32" t="s">
        <v>693</v>
      </c>
      <c r="AA33">
        <f t="shared" ca="1" si="20"/>
        <v>0</v>
      </c>
      <c r="AB33">
        <f t="shared" ca="1" si="20"/>
        <v>7</v>
      </c>
      <c r="AC33">
        <f t="shared" ca="1" si="20"/>
        <v>7</v>
      </c>
      <c r="AD33">
        <f t="shared" ca="1" si="20"/>
        <v>0</v>
      </c>
      <c r="AE33">
        <f t="shared" ca="1" si="20"/>
        <v>7</v>
      </c>
      <c r="AF33">
        <f t="shared" ca="1" si="20"/>
        <v>0</v>
      </c>
      <c r="AG33">
        <f t="shared" ca="1" si="20"/>
        <v>0</v>
      </c>
      <c r="AH33" s="2">
        <f t="shared" ca="1" si="20"/>
        <v>0.03</v>
      </c>
      <c r="AI33" s="2">
        <f t="shared" ca="1" si="20"/>
        <v>0</v>
      </c>
      <c r="AJ33" s="2">
        <f t="shared" ca="1" si="20"/>
        <v>0</v>
      </c>
      <c r="AK33" s="2">
        <f t="shared" ca="1" si="20"/>
        <v>0</v>
      </c>
      <c r="AL33" s="2">
        <f t="shared" ca="1" si="20"/>
        <v>0</v>
      </c>
      <c r="AM33" s="2">
        <f t="shared" ca="1" si="20"/>
        <v>0</v>
      </c>
      <c r="AN33" s="2">
        <f t="shared" ca="1" si="20"/>
        <v>0</v>
      </c>
      <c r="AO33" s="2">
        <f t="shared" ca="1" si="20"/>
        <v>0</v>
      </c>
      <c r="AP33" s="35">
        <f t="shared" ca="1" si="20"/>
        <v>0</v>
      </c>
      <c r="AQ33" s="35">
        <f ca="1">IF(ISBLANK($Z33), 0, IF(ISNUMBER(VLOOKUP($Z33, INDIRECT($Y33), MATCH("D"&amp;AQ$26, StatHeader, 0), 0)), IF(Setup!$G$34=1,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0"/>
        <v>0</v>
      </c>
    </row>
    <row r="34" spans="1:46">
      <c r="A34" t="s">
        <v>72</v>
      </c>
      <c r="B34" s="32" t="s">
        <v>694</v>
      </c>
      <c r="C34">
        <f t="shared" ca="1" si="19"/>
        <v>0</v>
      </c>
      <c r="D34">
        <f t="shared" ca="1" si="19"/>
        <v>8</v>
      </c>
      <c r="E34">
        <f t="shared" ca="1" si="19"/>
        <v>8</v>
      </c>
      <c r="F34">
        <f t="shared" ca="1" si="19"/>
        <v>0</v>
      </c>
      <c r="G34">
        <f t="shared" ca="1" si="19"/>
        <v>8</v>
      </c>
      <c r="H34">
        <f t="shared" ca="1" si="19"/>
        <v>0</v>
      </c>
      <c r="I34">
        <f t="shared" ca="1" si="19"/>
        <v>0</v>
      </c>
      <c r="J34" s="2">
        <f t="shared" ca="1" si="19"/>
        <v>0.03</v>
      </c>
      <c r="K34" s="2">
        <f t="shared" ca="1" si="19"/>
        <v>0</v>
      </c>
      <c r="L34" s="2">
        <f t="shared" ca="1" si="19"/>
        <v>0</v>
      </c>
      <c r="M34" s="2">
        <f t="shared" ca="1" si="19"/>
        <v>0</v>
      </c>
      <c r="N34" s="2">
        <f t="shared" ca="1" si="19"/>
        <v>0</v>
      </c>
      <c r="O34" s="2">
        <f t="shared" ca="1" si="19"/>
        <v>0</v>
      </c>
      <c r="P34" s="2">
        <f t="shared" ca="1" si="19"/>
        <v>0</v>
      </c>
      <c r="Q34" s="2">
        <f t="shared" ca="1" si="19"/>
        <v>0</v>
      </c>
      <c r="R34" s="35">
        <f t="shared" ca="1" si="19"/>
        <v>0</v>
      </c>
      <c r="S34" s="35">
        <f ca="1">IF(ISBLANK($B34), 0, IF(ISNUMBER(VLOOKUP($B34, INDIRECT($A34), MATCH("D"&amp;S$26, StatHeader, 0), 0)), IF(Setup!$F$34=1, VLOOKUP($B34, INDIRECT($A34), MATCH("D"&amp;S$26, StatHeader, 0), 0), 0), VLOOKUP($B34, INDIRECT($A34), MATCH(S$26, StatHeader, 0), 0)))</f>
        <v>0</v>
      </c>
      <c r="T34" s="35"/>
      <c r="U34" s="35"/>
      <c r="V34">
        <f t="shared" ca="1" si="19"/>
        <v>0</v>
      </c>
      <c r="X34" t="str">
        <f t="shared" si="21"/>
        <v>=</v>
      </c>
      <c r="Y34" t="s">
        <v>72</v>
      </c>
      <c r="Z34" s="32" t="s">
        <v>694</v>
      </c>
      <c r="AA34">
        <f t="shared" ca="1" si="20"/>
        <v>0</v>
      </c>
      <c r="AB34">
        <f t="shared" ca="1" si="20"/>
        <v>8</v>
      </c>
      <c r="AC34">
        <f t="shared" ca="1" si="20"/>
        <v>8</v>
      </c>
      <c r="AD34">
        <f t="shared" ca="1" si="20"/>
        <v>0</v>
      </c>
      <c r="AE34">
        <f t="shared" ca="1" si="20"/>
        <v>8</v>
      </c>
      <c r="AF34">
        <f t="shared" ca="1" si="20"/>
        <v>0</v>
      </c>
      <c r="AG34">
        <f t="shared" ca="1" si="20"/>
        <v>0</v>
      </c>
      <c r="AH34" s="2">
        <f t="shared" ca="1" si="20"/>
        <v>0.03</v>
      </c>
      <c r="AI34" s="2">
        <f t="shared" ca="1" si="20"/>
        <v>0</v>
      </c>
      <c r="AJ34" s="2">
        <f t="shared" ca="1" si="20"/>
        <v>0</v>
      </c>
      <c r="AK34" s="2">
        <f t="shared" ca="1" si="20"/>
        <v>0</v>
      </c>
      <c r="AL34" s="2">
        <f t="shared" ca="1" si="20"/>
        <v>0</v>
      </c>
      <c r="AM34" s="2">
        <f t="shared" ca="1" si="20"/>
        <v>0</v>
      </c>
      <c r="AN34" s="2">
        <f t="shared" ca="1" si="20"/>
        <v>0</v>
      </c>
      <c r="AO34" s="2">
        <f t="shared" ca="1" si="20"/>
        <v>0</v>
      </c>
      <c r="AP34" s="35">
        <f t="shared" ca="1" si="20"/>
        <v>0</v>
      </c>
      <c r="AQ34" s="35">
        <f ca="1">IF(ISBLANK($Z34), 0, IF(ISNUMBER(VLOOKUP($Z34, INDIRECT($Y34), MATCH("D"&amp;AQ$26, StatHeader, 0), 0)), IF(Setup!$G$34=1,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0"/>
        <v>0</v>
      </c>
    </row>
    <row r="35" spans="1:46">
      <c r="A35" t="s">
        <v>18</v>
      </c>
      <c r="B35" s="32" t="s">
        <v>696</v>
      </c>
      <c r="C35">
        <f t="shared" ca="1" si="19"/>
        <v>0</v>
      </c>
      <c r="D35">
        <f t="shared" ca="1" si="19"/>
        <v>25</v>
      </c>
      <c r="E35">
        <f t="shared" ca="1" si="19"/>
        <v>38</v>
      </c>
      <c r="F35">
        <f t="shared" ca="1" si="19"/>
        <v>28</v>
      </c>
      <c r="G35">
        <f t="shared" ca="1" si="19"/>
        <v>21</v>
      </c>
      <c r="H35">
        <f t="shared" ca="1" si="19"/>
        <v>22</v>
      </c>
      <c r="I35">
        <f t="shared" ca="1" si="19"/>
        <v>22</v>
      </c>
      <c r="J35" s="2">
        <f t="shared" ca="1" si="19"/>
        <v>0</v>
      </c>
      <c r="K35" s="2">
        <f t="shared" ca="1" si="19"/>
        <v>0</v>
      </c>
      <c r="L35" s="2">
        <f t="shared" ca="1" si="19"/>
        <v>0</v>
      </c>
      <c r="M35" s="2">
        <f t="shared" ca="1" si="19"/>
        <v>0</v>
      </c>
      <c r="N35" s="2">
        <f t="shared" ca="1" si="19"/>
        <v>0.05</v>
      </c>
      <c r="O35" s="2">
        <f t="shared" ca="1" si="19"/>
        <v>0.05</v>
      </c>
      <c r="P35" s="2">
        <f t="shared" ca="1" si="19"/>
        <v>0</v>
      </c>
      <c r="Q35" s="2">
        <f t="shared" ca="1" si="19"/>
        <v>0</v>
      </c>
      <c r="R35" s="35">
        <f t="shared" ca="1" si="19"/>
        <v>0</v>
      </c>
      <c r="S35" s="35">
        <f ca="1">IF(ISBLANK($B35), 0, IF(ISNUMBER(VLOOKUP($B35, INDIRECT($A35), MATCH("D"&amp;S$26, StatHeader, 0), 0)), IF(Setup!$F$34=1, VLOOKUP($B35, INDIRECT($A35), MATCH("D"&amp;S$26, StatHeader, 0), 0), 0), VLOOKUP($B35, INDIRECT($A35), MATCH(S$26, StatHeader, 0), 0)))</f>
        <v>0</v>
      </c>
      <c r="T35" s="35"/>
      <c r="U35" s="35"/>
      <c r="V35">
        <f t="shared" ca="1" si="19"/>
        <v>0</v>
      </c>
      <c r="X35" t="str">
        <f t="shared" si="21"/>
        <v>-</v>
      </c>
      <c r="Y35" t="s">
        <v>18</v>
      </c>
      <c r="Z35" s="32" t="s">
        <v>717</v>
      </c>
      <c r="AA35">
        <f t="shared" ca="1" si="20"/>
        <v>0</v>
      </c>
      <c r="AB35">
        <f t="shared" ca="1" si="20"/>
        <v>25</v>
      </c>
      <c r="AC35">
        <f t="shared" ca="1" si="20"/>
        <v>43</v>
      </c>
      <c r="AD35">
        <f t="shared" ca="1" si="20"/>
        <v>39</v>
      </c>
      <c r="AE35">
        <f t="shared" ca="1" si="20"/>
        <v>20</v>
      </c>
      <c r="AF35">
        <f t="shared" ca="1" si="20"/>
        <v>25</v>
      </c>
      <c r="AG35">
        <f t="shared" ca="1" si="20"/>
        <v>40</v>
      </c>
      <c r="AH35" s="2">
        <f t="shared" ca="1" si="20"/>
        <v>0</v>
      </c>
      <c r="AI35" s="2">
        <f t="shared" ca="1" si="20"/>
        <v>0.03</v>
      </c>
      <c r="AJ35" s="2">
        <f t="shared" ca="1" si="20"/>
        <v>0</v>
      </c>
      <c r="AK35" s="2">
        <f t="shared" ca="1" si="20"/>
        <v>0.05</v>
      </c>
      <c r="AL35" s="2">
        <f t="shared" ca="1" si="20"/>
        <v>0</v>
      </c>
      <c r="AM35" s="2">
        <f t="shared" ca="1" si="20"/>
        <v>0</v>
      </c>
      <c r="AN35" s="2">
        <f t="shared" ca="1" si="20"/>
        <v>0</v>
      </c>
      <c r="AO35" s="2">
        <f t="shared" ca="1" si="20"/>
        <v>0</v>
      </c>
      <c r="AP35" s="35">
        <f t="shared" ca="1" si="20"/>
        <v>0</v>
      </c>
      <c r="AQ35" s="35">
        <f ca="1">IF(ISBLANK($Z35), 0, IF(ISNUMBER(VLOOKUP($Z35, INDIRECT($Y35), MATCH("D"&amp;AQ$26, StatHeader, 0), 0)), IF(Setup!$G$34=1,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0"/>
        <v>0</v>
      </c>
    </row>
    <row r="36" spans="1:46">
      <c r="A36" t="s">
        <v>19</v>
      </c>
      <c r="B36" s="32" t="s">
        <v>721</v>
      </c>
      <c r="C36">
        <f t="shared" ca="1" si="19"/>
        <v>0</v>
      </c>
      <c r="D36">
        <f t="shared" ca="1" si="19"/>
        <v>24</v>
      </c>
      <c r="E36">
        <f t="shared" ca="1" si="19"/>
        <v>50</v>
      </c>
      <c r="F36">
        <f t="shared" ca="1" si="19"/>
        <v>13</v>
      </c>
      <c r="G36">
        <f t="shared" ca="1" si="19"/>
        <v>12</v>
      </c>
      <c r="H36">
        <f t="shared" ca="1" si="19"/>
        <v>0</v>
      </c>
      <c r="I36">
        <f t="shared" ca="1" si="19"/>
        <v>53</v>
      </c>
      <c r="J36" s="2">
        <f t="shared" ca="1" si="19"/>
        <v>0</v>
      </c>
      <c r="K36" s="2">
        <f t="shared" ca="1" si="19"/>
        <v>0</v>
      </c>
      <c r="L36" s="2">
        <f t="shared" ca="1" si="19"/>
        <v>0</v>
      </c>
      <c r="M36" s="2">
        <f t="shared" ca="1" si="19"/>
        <v>0</v>
      </c>
      <c r="N36" s="2">
        <f t="shared" ca="1" si="19"/>
        <v>0.05</v>
      </c>
      <c r="O36" s="2">
        <f t="shared" ca="1" si="19"/>
        <v>0.05</v>
      </c>
      <c r="P36" s="2">
        <f t="shared" ca="1" si="19"/>
        <v>0</v>
      </c>
      <c r="Q36" s="2">
        <f t="shared" ca="1" si="19"/>
        <v>0</v>
      </c>
      <c r="R36" s="35">
        <f t="shared" ca="1" si="19"/>
        <v>0</v>
      </c>
      <c r="S36" s="35">
        <f ca="1">IF(ISBLANK($B36), 0, IF(ISNUMBER(VLOOKUP($B36, INDIRECT($A36), MATCH("D"&amp;S$26, StatHeader, 0), 0)), IF(Setup!$F$34=1, VLOOKUP($B36, INDIRECT($A36), MATCH("D"&amp;S$26, StatHeader, 0), 0), 0), VLOOKUP($B36, INDIRECT($A36), MATCH(S$26, StatHeader, 0), 0)))</f>
        <v>0</v>
      </c>
      <c r="T36" s="35"/>
      <c r="U36" s="35"/>
      <c r="V36">
        <f t="shared" ca="1" si="19"/>
        <v>0</v>
      </c>
      <c r="X36" t="str">
        <f t="shared" si="21"/>
        <v>-</v>
      </c>
      <c r="Y36" t="s">
        <v>19</v>
      </c>
      <c r="Z36" s="32" t="s">
        <v>774</v>
      </c>
      <c r="AA36">
        <f t="shared" ca="1" si="20"/>
        <v>0</v>
      </c>
      <c r="AB36">
        <f t="shared" ca="1" si="20"/>
        <v>15</v>
      </c>
      <c r="AC36">
        <f t="shared" ca="1" si="20"/>
        <v>54</v>
      </c>
      <c r="AD36">
        <f t="shared" ca="1" si="20"/>
        <v>17</v>
      </c>
      <c r="AE36">
        <f t="shared" ca="1" si="20"/>
        <v>12</v>
      </c>
      <c r="AF36">
        <f t="shared" ca="1" si="20"/>
        <v>0</v>
      </c>
      <c r="AG36">
        <f t="shared" ca="1" si="20"/>
        <v>37</v>
      </c>
      <c r="AH36" s="2">
        <f t="shared" ca="1" si="20"/>
        <v>0</v>
      </c>
      <c r="AI36" s="2">
        <f t="shared" ca="1" si="20"/>
        <v>0.03</v>
      </c>
      <c r="AJ36" s="2">
        <f t="shared" ca="1" si="20"/>
        <v>0</v>
      </c>
      <c r="AK36" s="2">
        <f t="shared" ca="1" si="20"/>
        <v>0</v>
      </c>
      <c r="AL36" s="2">
        <f t="shared" ca="1" si="20"/>
        <v>0</v>
      </c>
      <c r="AM36" s="2">
        <f t="shared" ca="1" si="20"/>
        <v>0</v>
      </c>
      <c r="AN36" s="2">
        <f t="shared" ca="1" si="20"/>
        <v>0</v>
      </c>
      <c r="AO36" s="2">
        <f t="shared" ca="1" si="20"/>
        <v>0</v>
      </c>
      <c r="AP36" s="35">
        <f t="shared" ca="1" si="20"/>
        <v>0</v>
      </c>
      <c r="AQ36" s="35">
        <f ca="1">IF(ISBLANK($Z36), 0, IF(ISNUMBER(VLOOKUP($Z36, INDIRECT($Y36), MATCH("D"&amp;AQ$26, StatHeader, 0), 0)), IF(Setup!$G$34=1,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0"/>
        <v>6</v>
      </c>
    </row>
    <row r="37" spans="1:46">
      <c r="A37" t="s">
        <v>73</v>
      </c>
      <c r="B37" s="32" t="s">
        <v>790</v>
      </c>
      <c r="C37">
        <f t="shared" ref="C37:V42" ca="1" si="22">IF(ISBLANK($B37), 0, VLOOKUP($B37, INDIRECT($A37), MATCH(C$26, StatHeader, 0), 0))</f>
        <v>0</v>
      </c>
      <c r="D37">
        <f t="shared" ca="1" si="22"/>
        <v>10</v>
      </c>
      <c r="E37">
        <f t="shared" ca="1" si="22"/>
        <v>10</v>
      </c>
      <c r="F37">
        <f t="shared" ca="1" si="22"/>
        <v>10</v>
      </c>
      <c r="G37">
        <f t="shared" ca="1" si="19"/>
        <v>0</v>
      </c>
      <c r="H37">
        <f t="shared" ca="1" si="22"/>
        <v>20</v>
      </c>
      <c r="I37">
        <f t="shared" ca="1" si="22"/>
        <v>0</v>
      </c>
      <c r="J37" s="2">
        <f t="shared" ca="1" si="22"/>
        <v>0</v>
      </c>
      <c r="K37" s="2">
        <f t="shared" ca="1" si="22"/>
        <v>0</v>
      </c>
      <c r="L37" s="2">
        <f t="shared" ca="1" si="19"/>
        <v>0</v>
      </c>
      <c r="M37" s="2">
        <f t="shared" ca="1" si="22"/>
        <v>0</v>
      </c>
      <c r="N37" s="2">
        <f t="shared" ca="1" si="22"/>
        <v>0</v>
      </c>
      <c r="O37" s="2">
        <f t="shared" ca="1" si="22"/>
        <v>0</v>
      </c>
      <c r="P37" s="2">
        <f t="shared" ca="1" si="22"/>
        <v>0</v>
      </c>
      <c r="Q37" s="2">
        <f t="shared" ca="1" si="19"/>
        <v>0</v>
      </c>
      <c r="R37" s="35">
        <f t="shared" ca="1" si="22"/>
        <v>0</v>
      </c>
      <c r="S37" s="35">
        <f ca="1">IF(ISBLANK($B37), 0, IF(ISNUMBER(VLOOKUP($B37, INDIRECT($A37), MATCH("D"&amp;S$26, StatHeader, 0), 0)), IF(Setup!$F$34=1, VLOOKUP($B37, INDIRECT($A37), MATCH("D"&amp;S$26, StatHeader, 0), 0), 0), VLOOKUP($B37, INDIRECT($A37), MATCH(S$26, StatHeader, 0), 0)))</f>
        <v>0</v>
      </c>
      <c r="T37" s="35"/>
      <c r="U37" s="35"/>
      <c r="V37">
        <f t="shared" ca="1" si="22"/>
        <v>0</v>
      </c>
      <c r="X37" t="str">
        <f t="shared" si="21"/>
        <v>=</v>
      </c>
      <c r="Y37" t="s">
        <v>73</v>
      </c>
      <c r="Z37" s="32" t="s">
        <v>790</v>
      </c>
      <c r="AA37">
        <f t="shared" ref="AA37:AT42" ca="1" si="23">IF(ISBLANK($Z37), 0, VLOOKUP($Z37, INDIRECT($Y37), MATCH(AA$26, StatHeader, 0), 0))</f>
        <v>0</v>
      </c>
      <c r="AB37">
        <f t="shared" ca="1" si="23"/>
        <v>10</v>
      </c>
      <c r="AC37">
        <f t="shared" ca="1" si="23"/>
        <v>10</v>
      </c>
      <c r="AD37">
        <f t="shared" ca="1" si="23"/>
        <v>10</v>
      </c>
      <c r="AE37">
        <f t="shared" ca="1" si="20"/>
        <v>0</v>
      </c>
      <c r="AF37">
        <f t="shared" ca="1" si="23"/>
        <v>20</v>
      </c>
      <c r="AG37">
        <f t="shared" ca="1" si="23"/>
        <v>0</v>
      </c>
      <c r="AH37" s="2">
        <f t="shared" ca="1" si="23"/>
        <v>0</v>
      </c>
      <c r="AI37" s="2">
        <f t="shared" ca="1" si="23"/>
        <v>0</v>
      </c>
      <c r="AJ37" s="2">
        <f t="shared" ca="1" si="20"/>
        <v>0</v>
      </c>
      <c r="AK37" s="2">
        <f t="shared" ca="1" si="23"/>
        <v>0</v>
      </c>
      <c r="AL37" s="2">
        <f t="shared" ca="1" si="23"/>
        <v>0</v>
      </c>
      <c r="AM37" s="2">
        <f t="shared" ca="1" si="23"/>
        <v>0</v>
      </c>
      <c r="AN37" s="2">
        <f t="shared" ca="1" si="23"/>
        <v>0</v>
      </c>
      <c r="AO37" s="2">
        <f t="shared" ca="1" si="20"/>
        <v>0</v>
      </c>
      <c r="AP37" s="35">
        <f t="shared" ca="1" si="23"/>
        <v>0</v>
      </c>
      <c r="AQ37" s="35">
        <f ca="1">IF(ISBLANK($Z37), 0, IF(ISNUMBER(VLOOKUP($Z37, INDIRECT($Y37), MATCH("D"&amp;AQ$26, StatHeader, 0), 0)), IF(Setup!$G$34=1,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3"/>
        <v>0</v>
      </c>
    </row>
    <row r="38" spans="1:46">
      <c r="A38" t="s">
        <v>73</v>
      </c>
      <c r="B38" s="32" t="s">
        <v>789</v>
      </c>
      <c r="C38">
        <f t="shared" ca="1" si="22"/>
        <v>0</v>
      </c>
      <c r="D38">
        <f t="shared" ca="1" si="22"/>
        <v>0</v>
      </c>
      <c r="E38">
        <f t="shared" ca="1" si="22"/>
        <v>10</v>
      </c>
      <c r="F38">
        <f t="shared" ca="1" si="22"/>
        <v>10</v>
      </c>
      <c r="G38">
        <f t="shared" ca="1" si="19"/>
        <v>0</v>
      </c>
      <c r="H38">
        <f t="shared" ca="1" si="22"/>
        <v>25</v>
      </c>
      <c r="I38">
        <f t="shared" ca="1" si="22"/>
        <v>0</v>
      </c>
      <c r="J38" s="2">
        <f t="shared" ca="1" si="22"/>
        <v>0</v>
      </c>
      <c r="K38" s="2">
        <f t="shared" ca="1" si="22"/>
        <v>0</v>
      </c>
      <c r="L38" s="2">
        <f t="shared" ca="1" si="19"/>
        <v>0</v>
      </c>
      <c r="M38" s="2">
        <f t="shared" ca="1" si="22"/>
        <v>0</v>
      </c>
      <c r="N38" s="2">
        <f t="shared" ca="1" si="22"/>
        <v>0</v>
      </c>
      <c r="O38" s="2">
        <f t="shared" ca="1" si="22"/>
        <v>0</v>
      </c>
      <c r="P38" s="2">
        <f t="shared" ca="1" si="22"/>
        <v>0</v>
      </c>
      <c r="Q38" s="2">
        <f t="shared" ca="1" si="19"/>
        <v>0</v>
      </c>
      <c r="R38" s="35">
        <f t="shared" ca="1" si="22"/>
        <v>0</v>
      </c>
      <c r="S38" s="35">
        <f ca="1">IF(ISBLANK($B38), 0, IF(ISNUMBER(VLOOKUP($B38, INDIRECT($A38), MATCH("D"&amp;S$26, StatHeader, 0), 0)), IF(Setup!$F$34=1, VLOOKUP($B38, INDIRECT($A38), MATCH("D"&amp;S$26, StatHeader, 0), 0), 0), VLOOKUP($B38, INDIRECT($A38), MATCH(S$26, StatHeader, 0), 0)))</f>
        <v>0</v>
      </c>
      <c r="T38" s="35"/>
      <c r="U38" s="35"/>
      <c r="V38">
        <f t="shared" ca="1" si="22"/>
        <v>0</v>
      </c>
      <c r="X38" t="str">
        <f t="shared" si="21"/>
        <v>=</v>
      </c>
      <c r="Y38" t="s">
        <v>73</v>
      </c>
      <c r="Z38" s="32" t="s">
        <v>789</v>
      </c>
      <c r="AA38">
        <f t="shared" ca="1" si="23"/>
        <v>0</v>
      </c>
      <c r="AB38">
        <f t="shared" ca="1" si="23"/>
        <v>0</v>
      </c>
      <c r="AC38">
        <f t="shared" ca="1" si="23"/>
        <v>10</v>
      </c>
      <c r="AD38">
        <f t="shared" ca="1" si="23"/>
        <v>10</v>
      </c>
      <c r="AE38">
        <f t="shared" ca="1" si="20"/>
        <v>0</v>
      </c>
      <c r="AF38">
        <f t="shared" ca="1" si="23"/>
        <v>25</v>
      </c>
      <c r="AG38">
        <f t="shared" ca="1" si="23"/>
        <v>0</v>
      </c>
      <c r="AH38" s="2">
        <f t="shared" ca="1" si="23"/>
        <v>0</v>
      </c>
      <c r="AI38" s="2">
        <f t="shared" ca="1" si="23"/>
        <v>0</v>
      </c>
      <c r="AJ38" s="2">
        <f t="shared" ca="1" si="20"/>
        <v>0</v>
      </c>
      <c r="AK38" s="2">
        <f t="shared" ca="1" si="23"/>
        <v>0</v>
      </c>
      <c r="AL38" s="2">
        <f t="shared" ca="1" si="23"/>
        <v>0</v>
      </c>
      <c r="AM38" s="2">
        <f t="shared" ca="1" si="23"/>
        <v>0</v>
      </c>
      <c r="AN38" s="2">
        <f t="shared" ca="1" si="23"/>
        <v>0</v>
      </c>
      <c r="AO38" s="2">
        <f t="shared" ca="1" si="20"/>
        <v>0</v>
      </c>
      <c r="AP38" s="35">
        <f t="shared" ca="1" si="23"/>
        <v>0</v>
      </c>
      <c r="AQ38" s="35">
        <f ca="1">IF(ISBLANK($Z38), 0, IF(ISNUMBER(VLOOKUP($Z38, INDIRECT($Y38), MATCH("D"&amp;AQ$26, StatHeader, 0), 0)), IF(Setup!$G$34=1,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3"/>
        <v>0</v>
      </c>
    </row>
    <row r="39" spans="1:46">
      <c r="A39" t="s">
        <v>20</v>
      </c>
      <c r="B39" s="32" t="s">
        <v>806</v>
      </c>
      <c r="C39">
        <f t="shared" ca="1" si="22"/>
        <v>0</v>
      </c>
      <c r="D39">
        <f t="shared" ca="1" si="22"/>
        <v>0</v>
      </c>
      <c r="E39">
        <f t="shared" ca="1" si="22"/>
        <v>20</v>
      </c>
      <c r="F39">
        <f t="shared" ca="1" si="22"/>
        <v>0</v>
      </c>
      <c r="G39">
        <f t="shared" ca="1" si="19"/>
        <v>0</v>
      </c>
      <c r="H39">
        <f t="shared" ca="1" si="22"/>
        <v>20</v>
      </c>
      <c r="I39">
        <f t="shared" ca="1" si="22"/>
        <v>20</v>
      </c>
      <c r="J39" s="2">
        <f t="shared" ca="1" si="22"/>
        <v>0</v>
      </c>
      <c r="K39" s="2">
        <f t="shared" ca="1" si="22"/>
        <v>0</v>
      </c>
      <c r="L39" s="2">
        <f t="shared" ca="1" si="19"/>
        <v>0</v>
      </c>
      <c r="M39" s="2">
        <f t="shared" ca="1" si="22"/>
        <v>0</v>
      </c>
      <c r="N39" s="2">
        <f t="shared" ca="1" si="22"/>
        <v>0.1</v>
      </c>
      <c r="O39" s="2">
        <f t="shared" ca="1" si="22"/>
        <v>0</v>
      </c>
      <c r="P39" s="2">
        <f t="shared" ca="1" si="22"/>
        <v>0</v>
      </c>
      <c r="Q39" s="2">
        <f t="shared" ca="1" si="19"/>
        <v>0</v>
      </c>
      <c r="R39" s="35">
        <f t="shared" ca="1" si="22"/>
        <v>0</v>
      </c>
      <c r="S39" s="35">
        <f ca="1">IF(ISBLANK($B39), 0, IF(ISNUMBER(VLOOKUP($B39, INDIRECT($A39), MATCH("D"&amp;S$26, StatHeader, 0), 0)), IF(Setup!$F$34=1, VLOOKUP($B39, INDIRECT($A39), MATCH("D"&amp;S$26, StatHeader, 0), 0), 0), VLOOKUP($B39, INDIRECT($A39), MATCH(S$26, StatHeader, 0), 0)))</f>
        <v>0</v>
      </c>
      <c r="T39" s="35"/>
      <c r="U39" s="35"/>
      <c r="V39">
        <f t="shared" ca="1" si="22"/>
        <v>0</v>
      </c>
      <c r="X39" t="str">
        <f t="shared" si="21"/>
        <v>-</v>
      </c>
      <c r="Y39" t="s">
        <v>20</v>
      </c>
      <c r="Z39" s="32" t="s">
        <v>793</v>
      </c>
      <c r="AA39">
        <f t="shared" ca="1" si="23"/>
        <v>0</v>
      </c>
      <c r="AB39">
        <f t="shared" ca="1" si="23"/>
        <v>0</v>
      </c>
      <c r="AC39">
        <f t="shared" ca="1" si="23"/>
        <v>20</v>
      </c>
      <c r="AD39">
        <f t="shared" ca="1" si="23"/>
        <v>0</v>
      </c>
      <c r="AE39">
        <f t="shared" ca="1" si="20"/>
        <v>0</v>
      </c>
      <c r="AF39">
        <f t="shared" ca="1" si="23"/>
        <v>20</v>
      </c>
      <c r="AG39">
        <f t="shared" ca="1" si="23"/>
        <v>20</v>
      </c>
      <c r="AH39" s="2">
        <f t="shared" ca="1" si="23"/>
        <v>0.1</v>
      </c>
      <c r="AI39" s="2">
        <f t="shared" ca="1" si="23"/>
        <v>0</v>
      </c>
      <c r="AJ39" s="2">
        <f t="shared" ca="1" si="20"/>
        <v>0</v>
      </c>
      <c r="AK39" s="2">
        <f t="shared" ca="1" si="23"/>
        <v>0</v>
      </c>
      <c r="AL39" s="2">
        <f t="shared" ca="1" si="23"/>
        <v>0</v>
      </c>
      <c r="AM39" s="2">
        <f t="shared" ca="1" si="23"/>
        <v>0</v>
      </c>
      <c r="AN39" s="2">
        <f t="shared" ca="1" si="23"/>
        <v>0</v>
      </c>
      <c r="AO39" s="2">
        <f t="shared" ca="1" si="20"/>
        <v>0</v>
      </c>
      <c r="AP39" s="35">
        <f t="shared" ca="1" si="23"/>
        <v>0</v>
      </c>
      <c r="AQ39" s="35">
        <f ca="1">IF(ISBLANK($Z39), 0, IF(ISNUMBER(VLOOKUP($Z39, INDIRECT($Y39), MATCH("D"&amp;AQ$26, StatHeader, 0), 0)), IF(Setup!$G$34=1,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3"/>
        <v>0</v>
      </c>
    </row>
    <row r="40" spans="1:46">
      <c r="A40" t="s">
        <v>21</v>
      </c>
      <c r="B40" s="32" t="s">
        <v>767</v>
      </c>
      <c r="C40">
        <f t="shared" ca="1" si="22"/>
        <v>0</v>
      </c>
      <c r="D40">
        <f t="shared" ca="1" si="22"/>
        <v>0</v>
      </c>
      <c r="E40">
        <f t="shared" ca="1" si="22"/>
        <v>0</v>
      </c>
      <c r="F40">
        <f t="shared" ca="1" si="22"/>
        <v>0</v>
      </c>
      <c r="G40">
        <f t="shared" ca="1" si="19"/>
        <v>0</v>
      </c>
      <c r="H40">
        <f t="shared" ca="1" si="22"/>
        <v>0</v>
      </c>
      <c r="I40">
        <f t="shared" ca="1" si="22"/>
        <v>10</v>
      </c>
      <c r="J40" s="2">
        <f t="shared" ca="1" si="22"/>
        <v>0</v>
      </c>
      <c r="K40" s="2">
        <f t="shared" ca="1" si="22"/>
        <v>0</v>
      </c>
      <c r="L40" s="2">
        <f t="shared" ca="1" si="19"/>
        <v>0</v>
      </c>
      <c r="M40" s="2">
        <f t="shared" ca="1" si="22"/>
        <v>0</v>
      </c>
      <c r="N40" s="2">
        <f t="shared" ca="1" si="22"/>
        <v>0</v>
      </c>
      <c r="O40" s="2">
        <f t="shared" ca="1" si="22"/>
        <v>0</v>
      </c>
      <c r="P40" s="2">
        <f t="shared" ca="1" si="22"/>
        <v>0</v>
      </c>
      <c r="Q40" s="2">
        <f t="shared" ca="1" si="19"/>
        <v>0</v>
      </c>
      <c r="R40" s="35">
        <f t="shared" ca="1" si="22"/>
        <v>0</v>
      </c>
      <c r="S40" s="35">
        <f ca="1">IF(ISBLANK($B40), 0, IF(ISNUMBER(VLOOKUP($B40, INDIRECT($A40), MATCH("D"&amp;S$26, StatHeader, 0), 0)), IF(Setup!$F$34=1, VLOOKUP($B40, INDIRECT($A40), MATCH("D"&amp;S$26, StatHeader, 0), 0), 0), VLOOKUP($B40, INDIRECT($A40), MATCH(S$26, StatHeader, 0), 0)))</f>
        <v>100</v>
      </c>
      <c r="T40" s="35"/>
      <c r="U40" s="35"/>
      <c r="V40">
        <f t="shared" ca="1" si="22"/>
        <v>0</v>
      </c>
      <c r="X40" t="str">
        <f t="shared" si="21"/>
        <v>=</v>
      </c>
      <c r="Y40" t="s">
        <v>21</v>
      </c>
      <c r="Z40" s="32" t="s">
        <v>767</v>
      </c>
      <c r="AA40">
        <f t="shared" ca="1" si="23"/>
        <v>0</v>
      </c>
      <c r="AB40">
        <f t="shared" ca="1" si="23"/>
        <v>0</v>
      </c>
      <c r="AC40">
        <f t="shared" ca="1" si="23"/>
        <v>0</v>
      </c>
      <c r="AD40">
        <f t="shared" ca="1" si="23"/>
        <v>0</v>
      </c>
      <c r="AE40">
        <f t="shared" ca="1" si="20"/>
        <v>0</v>
      </c>
      <c r="AF40">
        <f t="shared" ca="1" si="23"/>
        <v>0</v>
      </c>
      <c r="AG40">
        <f t="shared" ca="1" si="23"/>
        <v>10</v>
      </c>
      <c r="AH40" s="2">
        <f t="shared" ca="1" si="23"/>
        <v>0</v>
      </c>
      <c r="AI40" s="2">
        <f t="shared" ca="1" si="23"/>
        <v>0</v>
      </c>
      <c r="AJ40" s="2">
        <f t="shared" ca="1" si="20"/>
        <v>0</v>
      </c>
      <c r="AK40" s="2">
        <f t="shared" ca="1" si="23"/>
        <v>0</v>
      </c>
      <c r="AL40" s="2">
        <f t="shared" ca="1" si="23"/>
        <v>0</v>
      </c>
      <c r="AM40" s="2">
        <f t="shared" ca="1" si="23"/>
        <v>0</v>
      </c>
      <c r="AN40" s="2">
        <f t="shared" ca="1" si="23"/>
        <v>0</v>
      </c>
      <c r="AO40" s="2">
        <f t="shared" ca="1" si="20"/>
        <v>0</v>
      </c>
      <c r="AP40" s="35">
        <f t="shared" ca="1" si="23"/>
        <v>0</v>
      </c>
      <c r="AQ40" s="35">
        <f ca="1">IF(ISBLANK($Z40), 0, IF(ISNUMBER(VLOOKUP($Z40, INDIRECT($Y40), MATCH("D"&amp;AQ$26, StatHeader, 0), 0)), IF(Setup!$G$34=1, VLOOKUP($Z40, INDIRECT($Y40), MATCH("D"&amp;AQ$26, StatHeader, 0), 0), 0), VLOOKUP($Z40, INDIRECT($Y40), MATCH(AQ$26, StatHeader, 0), 0)))</f>
        <v>100</v>
      </c>
      <c r="AR40" s="35"/>
      <c r="AS40" s="35"/>
      <c r="AT40">
        <f t="shared" ca="1" si="23"/>
        <v>0</v>
      </c>
    </row>
    <row r="41" spans="1:46">
      <c r="A41" t="s">
        <v>22</v>
      </c>
      <c r="B41" s="32" t="s">
        <v>709</v>
      </c>
      <c r="C41">
        <f t="shared" ca="1" si="22"/>
        <v>0</v>
      </c>
      <c r="D41">
        <f t="shared" ca="1" si="22"/>
        <v>29</v>
      </c>
      <c r="E41">
        <f t="shared" ca="1" si="22"/>
        <v>35</v>
      </c>
      <c r="F41">
        <f t="shared" ca="1" si="22"/>
        <v>21</v>
      </c>
      <c r="G41">
        <f t="shared" ca="1" si="19"/>
        <v>30</v>
      </c>
      <c r="H41">
        <f t="shared" ca="1" si="22"/>
        <v>0</v>
      </c>
      <c r="I41">
        <f t="shared" ca="1" si="22"/>
        <v>0</v>
      </c>
      <c r="J41" s="2">
        <f t="shared" ca="1" si="22"/>
        <v>0</v>
      </c>
      <c r="K41" s="2">
        <f t="shared" ca="1" si="22"/>
        <v>0</v>
      </c>
      <c r="L41" s="2">
        <f t="shared" ca="1" si="19"/>
        <v>0</v>
      </c>
      <c r="M41" s="2">
        <f t="shared" ca="1" si="22"/>
        <v>0</v>
      </c>
      <c r="N41" s="2">
        <f t="shared" ca="1" si="22"/>
        <v>0.04</v>
      </c>
      <c r="O41" s="2">
        <f t="shared" ca="1" si="22"/>
        <v>0</v>
      </c>
      <c r="P41" s="2">
        <f t="shared" ca="1" si="22"/>
        <v>0</v>
      </c>
      <c r="Q41" s="2">
        <f t="shared" ca="1" si="19"/>
        <v>0</v>
      </c>
      <c r="R41" s="35">
        <f t="shared" ca="1" si="22"/>
        <v>0</v>
      </c>
      <c r="S41" s="35">
        <f ca="1">IF(ISBLANK($B41), 0, IF(ISNUMBER(VLOOKUP($B41, INDIRECT($A41), MATCH("D"&amp;S$26, StatHeader, 0), 0)), IF(Setup!$F$34=1, VLOOKUP($B41, INDIRECT($A41), MATCH("D"&amp;S$26, StatHeader, 0), 0), 0), VLOOKUP($B41, INDIRECT($A41), MATCH(S$26, StatHeader, 0), 0)))</f>
        <v>0</v>
      </c>
      <c r="T41" s="35"/>
      <c r="U41" s="35"/>
      <c r="V41">
        <f t="shared" ca="1" si="22"/>
        <v>0</v>
      </c>
      <c r="X41" t="str">
        <f t="shared" si="21"/>
        <v>-</v>
      </c>
      <c r="Y41" t="s">
        <v>22</v>
      </c>
      <c r="Z41" s="32" t="s">
        <v>703</v>
      </c>
      <c r="AA41">
        <f t="shared" ca="1" si="23"/>
        <v>0</v>
      </c>
      <c r="AB41">
        <f t="shared" ca="1" si="23"/>
        <v>48</v>
      </c>
      <c r="AC41">
        <f t="shared" ca="1" si="23"/>
        <v>16</v>
      </c>
      <c r="AD41">
        <f t="shared" ca="1" si="23"/>
        <v>30</v>
      </c>
      <c r="AE41">
        <f t="shared" ca="1" si="20"/>
        <v>28</v>
      </c>
      <c r="AF41">
        <f t="shared" ca="1" si="23"/>
        <v>0</v>
      </c>
      <c r="AG41">
        <f t="shared" ca="1" si="23"/>
        <v>15</v>
      </c>
      <c r="AH41" s="2">
        <f t="shared" ca="1" si="23"/>
        <v>0.03</v>
      </c>
      <c r="AI41" s="2">
        <f t="shared" ca="1" si="23"/>
        <v>0.03</v>
      </c>
      <c r="AJ41" s="2">
        <f t="shared" ca="1" si="20"/>
        <v>0</v>
      </c>
      <c r="AK41" s="2">
        <f t="shared" ca="1" si="23"/>
        <v>0</v>
      </c>
      <c r="AL41" s="2">
        <f t="shared" ca="1" si="23"/>
        <v>0</v>
      </c>
      <c r="AM41" s="2">
        <f t="shared" ca="1" si="23"/>
        <v>0</v>
      </c>
      <c r="AN41" s="2">
        <f t="shared" ca="1" si="23"/>
        <v>0</v>
      </c>
      <c r="AO41" s="2">
        <f t="shared" ca="1" si="20"/>
        <v>0</v>
      </c>
      <c r="AP41" s="35">
        <f t="shared" ca="1" si="23"/>
        <v>0</v>
      </c>
      <c r="AQ41" s="35">
        <f ca="1">IF(ISBLANK($Z41), 0, IF(ISNUMBER(VLOOKUP($Z41, INDIRECT($Y41), MATCH("D"&amp;AQ$26, StatHeader, 0), 0)), IF(Setup!$G$34=1,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3"/>
        <v>7</v>
      </c>
    </row>
    <row r="42" spans="1:46">
      <c r="A42" t="s">
        <v>23</v>
      </c>
      <c r="B42" s="32" t="s">
        <v>741</v>
      </c>
      <c r="C42">
        <f t="shared" ca="1" si="22"/>
        <v>0</v>
      </c>
      <c r="D42">
        <f t="shared" ca="1" si="22"/>
        <v>16</v>
      </c>
      <c r="E42">
        <f t="shared" ca="1" si="22"/>
        <v>24</v>
      </c>
      <c r="F42">
        <f t="shared" ca="1" si="22"/>
        <v>53</v>
      </c>
      <c r="G42">
        <f t="shared" ca="1" si="19"/>
        <v>0</v>
      </c>
      <c r="H42">
        <f t="shared" ca="1" si="22"/>
        <v>35</v>
      </c>
      <c r="I42">
        <f t="shared" ca="1" si="22"/>
        <v>35</v>
      </c>
      <c r="J42" s="2">
        <f t="shared" ca="1" si="22"/>
        <v>0</v>
      </c>
      <c r="K42" s="2">
        <f t="shared" ca="1" si="22"/>
        <v>0.02</v>
      </c>
      <c r="L42" s="2">
        <f t="shared" ca="1" si="19"/>
        <v>0</v>
      </c>
      <c r="M42" s="2">
        <f t="shared" ca="1" si="22"/>
        <v>0</v>
      </c>
      <c r="N42" s="2">
        <f t="shared" ca="1" si="22"/>
        <v>0</v>
      </c>
      <c r="O42" s="2">
        <f t="shared" ca="1" si="22"/>
        <v>0.05</v>
      </c>
      <c r="P42" s="2">
        <f t="shared" ca="1" si="22"/>
        <v>0</v>
      </c>
      <c r="Q42" s="2">
        <f t="shared" ca="1" si="19"/>
        <v>0</v>
      </c>
      <c r="R42" s="35">
        <f t="shared" ca="1" si="22"/>
        <v>0</v>
      </c>
      <c r="S42" s="35">
        <f ca="1">IF(ISBLANK($B42), 0, IF(ISNUMBER(VLOOKUP($B42, INDIRECT($A42), MATCH("D"&amp;S$26, StatHeader, 0), 0)), IF(Setup!$F$34=1, VLOOKUP($B42, INDIRECT($A42), MATCH("D"&amp;S$26, StatHeader, 0), 0), 0), VLOOKUP($B42, INDIRECT($A42), MATCH(S$26, StatHeader, 0), 0)))</f>
        <v>0</v>
      </c>
      <c r="T42" s="35"/>
      <c r="U42" s="35"/>
      <c r="V42">
        <f t="shared" ca="1" si="22"/>
        <v>0</v>
      </c>
      <c r="X42" t="str">
        <f>IF(Z42=B42, "=", "-")</f>
        <v>-</v>
      </c>
      <c r="Y42" t="s">
        <v>23</v>
      </c>
      <c r="Z42" s="32" t="s">
        <v>736</v>
      </c>
      <c r="AA42">
        <f t="shared" ca="1" si="23"/>
        <v>0</v>
      </c>
      <c r="AB42">
        <f t="shared" ca="1" si="23"/>
        <v>16</v>
      </c>
      <c r="AC42">
        <f t="shared" ca="1" si="23"/>
        <v>34</v>
      </c>
      <c r="AD42">
        <f t="shared" ca="1" si="23"/>
        <v>43</v>
      </c>
      <c r="AE42">
        <f t="shared" ca="1" si="20"/>
        <v>0</v>
      </c>
      <c r="AF42">
        <f t="shared" ca="1" si="23"/>
        <v>35</v>
      </c>
      <c r="AG42">
        <f t="shared" ca="1" si="23"/>
        <v>35</v>
      </c>
      <c r="AH42" s="2">
        <f t="shared" ca="1" si="23"/>
        <v>0</v>
      </c>
      <c r="AI42" s="2">
        <f t="shared" ca="1" si="23"/>
        <v>0.06</v>
      </c>
      <c r="AJ42" s="2">
        <f t="shared" ca="1" si="20"/>
        <v>0</v>
      </c>
      <c r="AK42" s="2">
        <f t="shared" ca="1" si="23"/>
        <v>0</v>
      </c>
      <c r="AL42" s="2">
        <f t="shared" ca="1" si="23"/>
        <v>0</v>
      </c>
      <c r="AM42" s="2">
        <f t="shared" ca="1" si="23"/>
        <v>0</v>
      </c>
      <c r="AN42" s="2">
        <f t="shared" ca="1" si="23"/>
        <v>0</v>
      </c>
      <c r="AO42" s="2">
        <f t="shared" ca="1" si="20"/>
        <v>0</v>
      </c>
      <c r="AP42" s="35">
        <f t="shared" ca="1" si="23"/>
        <v>0</v>
      </c>
      <c r="AQ42" s="35">
        <f ca="1">IF(ISBLANK($Z42), 0, IF(ISNUMBER(VLOOKUP($Z42, INDIRECT($Y42), MATCH("D"&amp;AQ$26, StatHeader, 0), 0)), IF(Setup!$G$34=1,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3"/>
        <v>0</v>
      </c>
    </row>
    <row r="43" spans="1:46">
      <c r="A43" t="s">
        <v>24</v>
      </c>
      <c r="B43" s="118"/>
      <c r="C43">
        <f t="shared" ref="C43:V43" si="24">SUMIF(INDEX(SetBonusLookup, 0, 1), "="&amp;C26, INDEX(SetBonusLookup, 0, MATCH("WSSet1Gear", INDEX(SetBonusLookup, 1, 0), 0)))</f>
        <v>0</v>
      </c>
      <c r="D43">
        <f t="shared" ca="1" si="24"/>
        <v>0</v>
      </c>
      <c r="E43">
        <f t="shared" ca="1" si="24"/>
        <v>0</v>
      </c>
      <c r="F43">
        <f t="shared" ca="1" si="24"/>
        <v>0</v>
      </c>
      <c r="G43">
        <f t="shared" si="24"/>
        <v>0</v>
      </c>
      <c r="H43">
        <f t="shared" ca="1" si="24"/>
        <v>0</v>
      </c>
      <c r="I43">
        <f t="shared" ca="1" si="24"/>
        <v>0</v>
      </c>
      <c r="J43" s="89">
        <f t="shared" ca="1" si="24"/>
        <v>0</v>
      </c>
      <c r="K43" s="89">
        <f t="shared" ca="1" si="24"/>
        <v>0</v>
      </c>
      <c r="L43" s="89">
        <f t="shared" si="24"/>
        <v>0</v>
      </c>
      <c r="M43" s="89">
        <f t="shared" ca="1" si="24"/>
        <v>0</v>
      </c>
      <c r="N43" s="89">
        <f t="shared" ca="1" si="24"/>
        <v>0</v>
      </c>
      <c r="O43" s="89">
        <f t="shared" si="24"/>
        <v>0</v>
      </c>
      <c r="P43" s="89">
        <f t="shared" si="24"/>
        <v>0</v>
      </c>
      <c r="Q43" s="89">
        <f t="shared" si="24"/>
        <v>0</v>
      </c>
      <c r="R43">
        <f t="shared" si="24"/>
        <v>0</v>
      </c>
      <c r="S43">
        <f t="shared" si="24"/>
        <v>0</v>
      </c>
      <c r="V43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25">SUMIF(INDEX(SetBonusLookup, 0, 1), "="&amp;AA26, INDEX(SetBonusLookup, 0, MATCH("WSSet2Gear", INDEX(SetBonusLookup, 1, 0), 0)))</f>
        <v>0</v>
      </c>
      <c r="AB43">
        <f t="shared" ca="1" si="25"/>
        <v>0</v>
      </c>
      <c r="AC43">
        <f t="shared" ca="1" si="25"/>
        <v>0</v>
      </c>
      <c r="AD43">
        <f t="shared" ca="1" si="25"/>
        <v>0</v>
      </c>
      <c r="AE43">
        <f t="shared" si="25"/>
        <v>0</v>
      </c>
      <c r="AF43">
        <f t="shared" ca="1" si="25"/>
        <v>0</v>
      </c>
      <c r="AG43">
        <f t="shared" ca="1" si="25"/>
        <v>0</v>
      </c>
      <c r="AH43" s="89">
        <f t="shared" ca="1" si="25"/>
        <v>0</v>
      </c>
      <c r="AI43" s="89">
        <f t="shared" ca="1" si="25"/>
        <v>0</v>
      </c>
      <c r="AJ43" s="89">
        <f t="shared" si="25"/>
        <v>0</v>
      </c>
      <c r="AK43" s="89">
        <f t="shared" ca="1" si="25"/>
        <v>0</v>
      </c>
      <c r="AL43" s="89">
        <f t="shared" ca="1" si="25"/>
        <v>0</v>
      </c>
      <c r="AM43" s="89">
        <f t="shared" si="25"/>
        <v>0</v>
      </c>
      <c r="AN43" s="89">
        <f t="shared" si="25"/>
        <v>0</v>
      </c>
      <c r="AO43" s="89">
        <f t="shared" si="25"/>
        <v>0</v>
      </c>
      <c r="AP43">
        <f t="shared" si="25"/>
        <v>0</v>
      </c>
      <c r="AQ43">
        <f t="shared" si="25"/>
        <v>0</v>
      </c>
      <c r="AT43">
        <f t="shared" ca="1" si="25"/>
        <v>0</v>
      </c>
    </row>
    <row r="44" spans="1:46">
      <c r="A44" t="s">
        <v>485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485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6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6">
      <c r="A46" t="s">
        <v>7</v>
      </c>
      <c r="C46">
        <f ca="1">SUM(C27:C44)</f>
        <v>0</v>
      </c>
      <c r="D46">
        <f ca="1">SUM(D27:D44)</f>
        <v>131</v>
      </c>
      <c r="E46">
        <f t="shared" ref="E46:V46" ca="1" si="26">SUM(E27:E44)</f>
        <v>228</v>
      </c>
      <c r="F46">
        <f ca="1">SUM(F27:F44)</f>
        <v>196</v>
      </c>
      <c r="G46">
        <f ca="1">SUM(G27:G44)</f>
        <v>85</v>
      </c>
      <c r="H46">
        <f t="shared" ca="1" si="26"/>
        <v>142</v>
      </c>
      <c r="I46">
        <f t="shared" ca="1" si="26"/>
        <v>228</v>
      </c>
      <c r="J46" s="2">
        <f t="shared" ca="1" si="26"/>
        <v>0.03</v>
      </c>
      <c r="K46" s="2">
        <f t="shared" ca="1" si="26"/>
        <v>0.13999999999999999</v>
      </c>
      <c r="L46" s="2">
        <f t="shared" ca="1" si="26"/>
        <v>0</v>
      </c>
      <c r="M46" s="2">
        <f t="shared" ca="1" si="26"/>
        <v>0</v>
      </c>
      <c r="N46" s="2">
        <f t="shared" ca="1" si="26"/>
        <v>0.25</v>
      </c>
      <c r="O46" s="2">
        <f t="shared" ca="1" si="26"/>
        <v>0.26</v>
      </c>
      <c r="P46" s="2">
        <f t="shared" ca="1" si="26"/>
        <v>0</v>
      </c>
      <c r="Q46" s="2">
        <f t="shared" ca="1" si="26"/>
        <v>0</v>
      </c>
      <c r="R46">
        <f t="shared" ca="1" si="26"/>
        <v>250</v>
      </c>
      <c r="S46" s="4">
        <f ca="1">SUM(S27:S44)/1024</f>
        <v>0.1953125</v>
      </c>
      <c r="T46" s="4"/>
      <c r="U46" s="4"/>
      <c r="V46">
        <f t="shared" ca="1" si="26"/>
        <v>0</v>
      </c>
      <c r="Y46" t="s">
        <v>7</v>
      </c>
      <c r="AA46">
        <f ca="1">SUM(AA27:AA44)</f>
        <v>0</v>
      </c>
      <c r="AB46">
        <f ca="1">SUM(AB27:AB44)</f>
        <v>179</v>
      </c>
      <c r="AC46">
        <f t="shared" ref="AC46:AT46" ca="1" si="27">SUM(AC27:AC44)</f>
        <v>266</v>
      </c>
      <c r="AD46">
        <f ca="1">SUM(AD27:AD44)</f>
        <v>190</v>
      </c>
      <c r="AE46">
        <f ca="1">SUM(AE27:AE44)</f>
        <v>106</v>
      </c>
      <c r="AF46">
        <f t="shared" ca="1" si="27"/>
        <v>138</v>
      </c>
      <c r="AG46">
        <f t="shared" ca="1" si="27"/>
        <v>240</v>
      </c>
      <c r="AH46" s="2">
        <f t="shared" ca="1" si="27"/>
        <v>0.19</v>
      </c>
      <c r="AI46" s="2">
        <f t="shared" ca="1" si="27"/>
        <v>0.18</v>
      </c>
      <c r="AJ46" s="2">
        <f t="shared" ca="1" si="27"/>
        <v>0</v>
      </c>
      <c r="AK46" s="2">
        <f t="shared" ca="1" si="27"/>
        <v>0.05</v>
      </c>
      <c r="AL46" s="2">
        <f t="shared" ca="1" si="27"/>
        <v>0.03</v>
      </c>
      <c r="AM46" s="2">
        <f t="shared" ca="1" si="27"/>
        <v>0</v>
      </c>
      <c r="AN46" s="2">
        <f t="shared" ca="1" si="27"/>
        <v>0</v>
      </c>
      <c r="AO46" s="2">
        <f t="shared" ca="1" si="27"/>
        <v>0</v>
      </c>
      <c r="AP46">
        <f t="shared" ca="1" si="27"/>
        <v>500</v>
      </c>
      <c r="AQ46" s="4">
        <f ca="1">SUM(AQ27:AQ44)/1024</f>
        <v>0.1953125</v>
      </c>
      <c r="AR46" s="4"/>
      <c r="AS46" s="4"/>
      <c r="AT46">
        <f t="shared" ca="1" si="27"/>
        <v>23</v>
      </c>
    </row>
    <row r="47" spans="1:46">
      <c r="A47" s="9" t="s">
        <v>109</v>
      </c>
      <c r="B47" s="134">
        <f ca="1">Data!D275</f>
        <v>14407.607262098561</v>
      </c>
      <c r="I47" s="89">
        <f ca="1">Set1WSHitRate</f>
        <v>0.99</v>
      </c>
      <c r="Y47" s="9" t="s">
        <v>109</v>
      </c>
      <c r="Z47" s="134">
        <f ca="1">Data!E275</f>
        <v>13663.284693550815</v>
      </c>
      <c r="AG47" s="89">
        <f ca="1">Set2WSHitRate</f>
        <v>0.99</v>
      </c>
    </row>
    <row r="48" spans="1:46">
      <c r="A48" s="31" t="s">
        <v>543</v>
      </c>
      <c r="B48" s="4">
        <f ca="1">Data!D276</f>
        <v>2.9915356145640293</v>
      </c>
      <c r="Y48" s="31" t="s">
        <v>543</v>
      </c>
      <c r="Z48" s="4">
        <f ca="1">Data!E276</f>
        <v>2.8538593060817963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30 B30 Z6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35 B11 B35 Z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42 B18 B42 Z18">
      <formula1>FeetList</formula1>
    </dataValidation>
    <dataValidation type="list" allowBlank="1" showInputMessage="1" showErrorMessage="1" sqref="B5 Z5 Z29 B29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30 A30 Y6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indexed="41"/>
  </sheetPr>
  <dimension ref="A1:N279"/>
  <sheetViews>
    <sheetView zoomScaleNormal="100" workbookViewId="0">
      <selection activeCell="M3" sqref="M3"/>
    </sheetView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4" width="12.7109375" customWidth="1"/>
  </cols>
  <sheetData>
    <row r="1" spans="1:14">
      <c r="A1" t="str">
        <f>Setup!B4</f>
        <v>Hume</v>
      </c>
      <c r="B1">
        <f>Setup!B5</f>
        <v>99</v>
      </c>
      <c r="C1" s="9" t="s">
        <v>214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ilvl130</v>
      </c>
      <c r="M1" t="s">
        <v>35</v>
      </c>
      <c r="N1" t="s">
        <v>36</v>
      </c>
    </row>
    <row r="2" spans="1:14">
      <c r="B2" t="s">
        <v>271</v>
      </c>
      <c r="C2" t="s">
        <v>83</v>
      </c>
      <c r="D2" t="s">
        <v>453</v>
      </c>
      <c r="E2" t="s">
        <v>454</v>
      </c>
      <c r="F2" t="s">
        <v>272</v>
      </c>
      <c r="G2" t="s">
        <v>274</v>
      </c>
      <c r="H2" t="s">
        <v>273</v>
      </c>
      <c r="I2" t="s">
        <v>275</v>
      </c>
      <c r="K2" t="s">
        <v>32</v>
      </c>
      <c r="L2">
        <f>Setup!N2</f>
        <v>130</v>
      </c>
    </row>
    <row r="3" spans="1:14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IF(Setup!F$17=1, Setup!F$18, 0)</f>
        <v>0</v>
      </c>
      <c r="E3">
        <f>IF(Setup!G$17=1, Setup!G$18, 0)</f>
        <v>0</v>
      </c>
      <c r="F3" s="39">
        <f>IF(Setup!F$17=1,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IF(Setup!G$17=1,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1239</v>
      </c>
      <c r="M3">
        <f>Setup!N5</f>
        <v>703</v>
      </c>
      <c r="N3">
        <f>IF(VLOOKUP($L$1,Mobs,MATCH("Level Correct",MobHeader,0),FALSE) = "Yes", IF(L2&gt;($B$1+1),0.05*(L2-($B$1+1)),0), 0)</f>
        <v>0</v>
      </c>
    </row>
    <row r="4" spans="1:14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IF(Setup!F$17=1, Setup!F$18, 0)</f>
        <v>0</v>
      </c>
      <c r="E4">
        <f>IF(Setup!G$17=1, Setup!G$18, 0)</f>
        <v>0</v>
      </c>
      <c r="F4" s="39">
        <f>IF(Setup!F$17=1,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IF(Setup!G$17=1,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1219</v>
      </c>
      <c r="M4">
        <f>L4</f>
        <v>1219</v>
      </c>
      <c r="N4">
        <f>IF(VLOOKUP($L$1,Mobs,MATCH("Level Correct",MobHeader,0),FALSE)="Yes",MAX((L2-($B$1+1))*4,0),0)</f>
        <v>0</v>
      </c>
    </row>
    <row r="5" spans="1:14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IF(Setup!F$17=1, Setup!F$18, 0)</f>
        <v>0</v>
      </c>
      <c r="E5">
        <f>IF(Setup!G$17=1, Setup!G$18, 0)</f>
        <v>0</v>
      </c>
      <c r="F5" s="39">
        <f>IF(Setup!F$17=1,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IF(Setup!G$17=1,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272</v>
      </c>
    </row>
    <row r="6" spans="1:14">
      <c r="A6" t="s">
        <v>221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IF(Setup!F$17=1, Setup!F$18, 0)</f>
        <v>0</v>
      </c>
      <c r="E6">
        <f>IF(Setup!G$17=1, Setup!G$18, 0)</f>
        <v>0</v>
      </c>
      <c r="F6" s="39">
        <f>IF(Setup!F$17=1,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IF(Setup!G$17=1,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271</v>
      </c>
    </row>
    <row r="7" spans="1:14">
      <c r="K7" t="s">
        <v>444</v>
      </c>
      <c r="L7" s="2">
        <f>Setup!N9</f>
        <v>0</v>
      </c>
    </row>
    <row r="8" spans="1:14">
      <c r="A8" t="s">
        <v>83</v>
      </c>
      <c r="B8" s="31" t="s">
        <v>276</v>
      </c>
      <c r="C8" t="s">
        <v>60</v>
      </c>
      <c r="D8" t="s">
        <v>59</v>
      </c>
      <c r="E8" t="s">
        <v>272</v>
      </c>
      <c r="F8" t="s">
        <v>274</v>
      </c>
      <c r="K8" t="s">
        <v>445</v>
      </c>
      <c r="L8" s="2">
        <f>Setup!N10</f>
        <v>0</v>
      </c>
    </row>
    <row r="9" spans="1:14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IF(Setup!F$17=1,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IF(Setup!G$17=1,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277</v>
      </c>
      <c r="H9">
        <f>IF(D1="War", 10, 0)</f>
        <v>10</v>
      </c>
    </row>
    <row r="10" spans="1:14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IF(Setup!F$17=1,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IF(Setup!G$17=1,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160</v>
      </c>
      <c r="H10">
        <f>IF(D1="Dnc", 10, 0)</f>
        <v>0</v>
      </c>
      <c r="K10" s="9" t="s">
        <v>278</v>
      </c>
      <c r="L10" s="9" t="s">
        <v>279</v>
      </c>
    </row>
    <row r="11" spans="1:14">
      <c r="K11" s="31" t="str">
        <f>Setup!F19</f>
        <v>Razed Ruin</v>
      </c>
      <c r="L11" s="31" t="str">
        <f>Setup!G19</f>
        <v>Razed Ruin</v>
      </c>
    </row>
    <row r="12" spans="1:14">
      <c r="B12" s="2" t="s">
        <v>2</v>
      </c>
      <c r="C12" s="7" t="s">
        <v>272</v>
      </c>
      <c r="D12" s="7" t="s">
        <v>274</v>
      </c>
      <c r="G12" s="133" t="s">
        <v>161</v>
      </c>
      <c r="H12" s="133" t="s">
        <v>163</v>
      </c>
      <c r="I12" s="12"/>
      <c r="K12" s="31" t="str">
        <f>Setup!F20</f>
        <v>Gnarled Horn</v>
      </c>
      <c r="L12" s="31" t="str">
        <f>Setup!G20</f>
        <v>Gnarled Horn</v>
      </c>
    </row>
    <row r="13" spans="1:14">
      <c r="A13" t="s">
        <v>12</v>
      </c>
      <c r="B13" s="2">
        <f>IF(D1="War", 10%, 0%)</f>
        <v>0.1</v>
      </c>
      <c r="C13" s="12">
        <f>IF(Setup!F$17=1,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IF(Setup!G$17=1,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540</v>
      </c>
      <c r="G13" t="str">
        <f>Gear!A3</f>
        <v>Katana</v>
      </c>
      <c r="H13" t="str">
        <f>Gear!Y3</f>
        <v>Katana</v>
      </c>
      <c r="K13" s="31" t="str">
        <f>Setup!F21</f>
        <v>Apocalypse</v>
      </c>
      <c r="L13" s="31" t="str">
        <f>Setup!G21</f>
        <v>Apocalypse</v>
      </c>
    </row>
    <row r="14" spans="1:14">
      <c r="A14" t="s">
        <v>164</v>
      </c>
      <c r="B14" s="12">
        <f>0%</f>
        <v>0</v>
      </c>
      <c r="C14" s="12">
        <f>IF(Setup!F$17=1,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IF(Setup!G$17=1,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63</v>
      </c>
      <c r="G14" s="31">
        <f ca="1">VLOOKUP(Gear!$B$3, INDIRECT(Gear!$A$3), MATCH($F14, StatHeader, 0), 0)</f>
        <v>100</v>
      </c>
      <c r="H14" s="31">
        <f ca="1">VLOOKUP(Gear!$Z$3, INDIRECT(Gear!$Y$3), MATCH($F14, StatHeader, 0), 0)</f>
        <v>159</v>
      </c>
      <c r="K14" s="39"/>
      <c r="L14" s="2"/>
    </row>
    <row r="15" spans="1:14">
      <c r="A15" t="s">
        <v>280</v>
      </c>
      <c r="B15" s="2"/>
      <c r="D15" s="2"/>
      <c r="F15" s="31" t="s">
        <v>64</v>
      </c>
      <c r="G15" s="31">
        <f ca="1">VLOOKUP(Gear!$B$3, INDIRECT(Gear!$A$3), MATCH($F15, StatHeader, 0), 0)</f>
        <v>175</v>
      </c>
      <c r="H15" s="31">
        <f ca="1">VLOOKUP(Gear!$Z$3, INDIRECT(Gear!$Y$3), MATCH($F15, StatHeader, 0), 0)</f>
        <v>227</v>
      </c>
      <c r="L15" s="2"/>
    </row>
    <row r="16" spans="1:14">
      <c r="A16" s="39" t="s">
        <v>114</v>
      </c>
      <c r="B16" s="2">
        <v>0</v>
      </c>
      <c r="C16" s="12">
        <f>IF(Setup!F$17=1,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IF(Setup!G$17=1,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541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</row>
    <row r="17" spans="1:12">
      <c r="A17" t="s">
        <v>116</v>
      </c>
      <c r="B17" s="2">
        <v>0</v>
      </c>
      <c r="C17" s="12">
        <f>IF(Setup!F$17=1,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IF(Setup!G$17=1,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11" t="s">
        <v>765</v>
      </c>
      <c r="G17" s="2">
        <f>Setup!B22</f>
        <v>0</v>
      </c>
      <c r="H17" s="2">
        <f>Setup!C22</f>
        <v>0</v>
      </c>
    </row>
    <row r="18" spans="1:12">
      <c r="A18" t="s">
        <v>13</v>
      </c>
      <c r="B18" s="31">
        <f>IF(D1="Sam", 15, 0)</f>
        <v>0</v>
      </c>
      <c r="C18" s="50">
        <f>IF(Setup!F$17=1,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IF(Setup!G$17=1,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</row>
    <row r="19" spans="1:12">
      <c r="A19" s="39" t="s">
        <v>281</v>
      </c>
      <c r="B19">
        <f>VLOOKUP(E1,Food,MATCH("Store TP",FoodHeader,0), 0)</f>
        <v>0</v>
      </c>
      <c r="F19" s="9" t="s">
        <v>542</v>
      </c>
      <c r="G19" t="str">
        <f>Gear!A4</f>
        <v>Katana</v>
      </c>
      <c r="H19" t="str">
        <f>Gear!Y4</f>
        <v>Katana</v>
      </c>
      <c r="J19" t="s">
        <v>131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</row>
    <row r="20" spans="1:12">
      <c r="A20" s="39" t="s">
        <v>302</v>
      </c>
      <c r="B20">
        <v>0</v>
      </c>
      <c r="C20" s="50">
        <f>IF(Setup!F$17=1,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IF(Setup!G$17=1,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63</v>
      </c>
      <c r="G20" s="31">
        <f ca="1">VLOOKUP(Gear!$B$4, INDIRECT(Gear!$A$4), MATCH("Dmg", StatHeader, 0), 0)</f>
        <v>100</v>
      </c>
      <c r="H20" s="31">
        <f ca="1">VLOOKUP(Gear!$Z$4, INDIRECT(Gear!$Y$4), MATCH("Dmg", StatHeader, 0), 0)</f>
        <v>135</v>
      </c>
      <c r="J20" t="s">
        <v>449</v>
      </c>
      <c r="K20" s="35">
        <f ca="1">MIN(Setup!F38 + IF(Setup!J40=1, Setup!M40, 0) + IF(Setup!F31=1, VLOOKUP("Save TP", Ionis, 2, 0), 0) + VLOOKUP(Gear!$B$3, INDIRECT(Gear!$A$3), MATCH(J20, StatHeader, 0), 0) + VLOOKUP(Gear!$B$4, INDIRECT(Gear!$A$4), MATCH(J20, StatHeader, 0), 0), 500)</f>
        <v>100</v>
      </c>
      <c r="L20" s="35">
        <f ca="1">MIN(Setup!G38 + IF(Setup!K40=1, Setup!N40, 0) + IF(Setup!G31=1, VLOOKUP("Save TP", Ionis, 2, 0), 0) + VLOOKUP(Gear!$Z$3, INDIRECT(Gear!$Y$3), MATCH(J20, StatHeader, 0), 0) + VLOOKUP(Gear!$Z$4, INDIRECT(Gear!$Y$4), MATCH(J20, StatHeader, 0), 0), 500)</f>
        <v>100</v>
      </c>
    </row>
    <row r="21" spans="1:12">
      <c r="A21" s="39" t="s">
        <v>124</v>
      </c>
      <c r="B21">
        <v>0</v>
      </c>
      <c r="C21" s="50">
        <f>IF(Setup!F$17=1,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IF(Setup!G$17=1,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64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227</v>
      </c>
    </row>
    <row r="22" spans="1:12">
      <c r="A22" s="39" t="s">
        <v>654</v>
      </c>
      <c r="B22" s="2">
        <v>0.4</v>
      </c>
      <c r="C22" s="12">
        <v>0</v>
      </c>
      <c r="D22" s="12">
        <v>0</v>
      </c>
      <c r="F22" t="s">
        <v>459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2">
      <c r="A23" s="39"/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</row>
    <row r="24" spans="1:12">
      <c r="A24" s="39"/>
      <c r="C24" s="50"/>
      <c r="D24" s="50"/>
      <c r="F24" s="9" t="s">
        <v>656</v>
      </c>
      <c r="G24" t="str">
        <f>Gear!A6</f>
        <v>Shuriken</v>
      </c>
      <c r="H24" t="str">
        <f>Gear!Y6</f>
        <v>Shuriken</v>
      </c>
    </row>
    <row r="25" spans="1:12">
      <c r="A25" s="39"/>
      <c r="C25" s="50"/>
      <c r="D25" s="50"/>
      <c r="F25" s="31" t="s">
        <v>63</v>
      </c>
      <c r="G25" s="31">
        <f ca="1">IF(G24="Shuriken", VLOOKUP(Gear!$B$6, INDIRECT(Gear!$A$6), MATCH($F25, StatHeader, 0), 0), 0)</f>
        <v>99</v>
      </c>
      <c r="H25" s="31">
        <f ca="1">IF(H24="Shuriken", VLOOKUP(Gear!$Z$6, INDIRECT(Gear!$Y$6), MATCH($F25, StatHeader, 0), 0), 0)</f>
        <v>99</v>
      </c>
    </row>
    <row r="26" spans="1:12">
      <c r="A26" s="39"/>
      <c r="C26" s="50"/>
      <c r="D26" s="50"/>
      <c r="F26" s="31" t="s">
        <v>64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</row>
    <row r="27" spans="1:1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668</v>
      </c>
      <c r="H27">
        <f ca="1">VLOOKUP("Throwing", Skills, 3, 0) + 5*(MAX(0, MIN($B$1-75, 5)))+6*(MAX(0, MIN($B$1-80, 10)))+7*(MAX(0,$B$1-90)) + IF(H25&gt;0, VLOOKUP(Gear!$Z$6, INDIRECT(Gear!$Y$6), MATCH("CombatSkill", StatHeader, 0), 0), 0)</f>
        <v>668</v>
      </c>
    </row>
    <row r="28" spans="1:12">
      <c r="A28" s="39"/>
      <c r="C28" s="50"/>
      <c r="D28" s="50"/>
      <c r="F28" s="31"/>
    </row>
    <row r="29" spans="1:12">
      <c r="A29" s="39"/>
      <c r="C29" s="50"/>
      <c r="D29" s="50"/>
      <c r="F29" s="31"/>
    </row>
    <row r="31" spans="1:12">
      <c r="A31" s="14" t="s">
        <v>28</v>
      </c>
      <c r="B31" s="27" t="s">
        <v>282</v>
      </c>
      <c r="C31" s="27" t="s">
        <v>283</v>
      </c>
      <c r="D31" s="55" t="s">
        <v>284</v>
      </c>
      <c r="E31" s="27" t="s">
        <v>285</v>
      </c>
    </row>
    <row r="32" spans="1:12">
      <c r="A32" s="24" t="s">
        <v>460</v>
      </c>
      <c r="B32" s="23">
        <f>TRUNC(MIN(200, MAX(0, Setup!J7-300))/10) + 5</f>
        <v>25</v>
      </c>
      <c r="C32" s="56">
        <f>TRUNC(MIN(200, MAX(0, Setup!K7-300))/10) + 5</f>
        <v>25</v>
      </c>
      <c r="D32" s="23">
        <f>TRUNC(MIN(200, MAX(0, Setup!J7-300))/10) + 5</f>
        <v>25</v>
      </c>
      <c r="E32" s="23">
        <f>TRUNC(MIN(200, MAX(0, Setup!K7-300))/10) + 5</f>
        <v>25</v>
      </c>
    </row>
    <row r="33" spans="1:9">
      <c r="A33" s="24" t="s">
        <v>461</v>
      </c>
      <c r="B33" s="23">
        <f>IF(Setup!M24=5, 5, IF(Setup!M24&lt;2, 0, Setup!M24-1))</f>
        <v>5</v>
      </c>
      <c r="C33" s="57">
        <f>IF(Setup!N24=5, 5, IF(Setup!N24&lt;2, 0, Setup!N24-1))</f>
        <v>5</v>
      </c>
      <c r="D33" s="23">
        <f>IF(Setup!M24=5, 5, IF(Setup!M24&lt;2, 0, Setup!M24-1))</f>
        <v>5</v>
      </c>
      <c r="E33" s="23">
        <f>IF(Setup!N24=5, 5, IF(Setup!N24&lt;2, 0, Setup!N24-1))</f>
        <v>5</v>
      </c>
    </row>
    <row r="34" spans="1:9">
      <c r="A34" t="s">
        <v>3</v>
      </c>
      <c r="B34" s="7">
        <f ca="1">$H3+HLOOKUP($A34, INDIRECT(B$31), MATCH("Total", Slots, 0)+1, 0) + IF(AND(Setup!$J8=1,Setup!$I$8="Boost-Str"), B$32, 0) + IF(Setup!$J27=1, B$33, 0) + IF(Setup!$J28=1, B$33, 0) + IF(Setup!$J29=1, B$33, 0)</f>
        <v>248</v>
      </c>
      <c r="C34" s="58">
        <f ca="1">$I3+HLOOKUP($A34, INDIRECT(C$31), MATCH("Total", Slots, 0)+1, 0) + IF(AND(Setup!$K8=1,Setup!$I$8="Boost-Str"), C$32, 0) + IF(Setup!$K27=1, C$33, 0) + IF(Setup!$K28=1, C$33, 0) + IF(Setup!$K29=1, C$33, 0)</f>
        <v>270</v>
      </c>
      <c r="D34" s="7">
        <f ca="1">$H3+HLOOKUP($A34, INDIRECT(D$31), MATCH("Total", Slots, 0)+1, 0) + IF(AND(Setup!$J8=1,Setup!$I$8="Boost-Str"), D$32, 0) + IF(Setup!$J27=1, D$33, 0) + IF(Setup!$J28=1, D$33, 0) + IF(Setup!$J29=1, D$33, 0)</f>
        <v>244</v>
      </c>
      <c r="E34" s="7">
        <f ca="1">$I3+HLOOKUP($A34, INDIRECT(E$31), MATCH("Total", Slots, 0)+1, 0) + IF(AND(Setup!$K8=1,Setup!$I$8="Boost-Str"), E$32, 0) + IF(Setup!$K27=1, E$33, 0) + IF(Setup!$K28=1, E$33, 0) + IF(Setup!$K29=1, E$33, 0)</f>
        <v>292</v>
      </c>
    </row>
    <row r="35" spans="1:9">
      <c r="A35" t="s">
        <v>4</v>
      </c>
      <c r="B35" s="7">
        <f ca="1">$H4+HLOOKUP($A35, INDIRECT(B$31), MATCH("Total", Slots, 0)+1, 0) + IF(AND(Setup!$J8=1,Setup!$I$8="Boost-Dex"), B$32, 0) + IF(Setup!$J25=1, B$33, 0) + IF(Setup!$J26=1, B$33, 0) + IF(Setup!$J30=1, B$33, 0) + IF(Setup!$J31=1, B$33, 0)</f>
        <v>348</v>
      </c>
      <c r="C35" s="58">
        <f ca="1">$I4+HLOOKUP($A35, INDIRECT(C$31), MATCH("Total", Slots, 0)+1, 0) + IF(AND(Setup!$K8=1,Setup!$I$8="Boost-Dex"), C$32, 0) + IF(Setup!$K25=1, C$33, 0) + IF(Setup!$K26=1, C$33, 0) + IF(Setup!$K30=1, C$33, 0) + IF(Setup!$K31=1, C$33, 0)</f>
        <v>370</v>
      </c>
      <c r="D35" s="7">
        <f ca="1">$H4+HLOOKUP($A35, INDIRECT(D$31), MATCH("Total", Slots, 0)+1, 0) + IF(AND(Setup!$J8=1,Setup!$I$8="Boost-Dex"), D$32, 0) + IF(Setup!$J25=1, D$33, 0) + IF(Setup!$J26=1, D$33, 0) + IF(Setup!$J30=1, D$33, 0) + IF(Setup!$J31=1, D$33, 0)</f>
        <v>376</v>
      </c>
      <c r="E35" s="7">
        <f ca="1">$I4+HLOOKUP($A35, INDIRECT(E$31), MATCH("Total", Slots, 0)+1, 0) + IF(AND(Setup!$K8=1,Setup!$I$8="Boost-Dex"), E$32, 0) + IF(Setup!$K25=1, E$33, 0) + IF(Setup!$K26=1, E$33, 0) + IF(Setup!$K30=1, E$33, 0) + IF(Setup!$K31=1, E$33, 0)</f>
        <v>414</v>
      </c>
    </row>
    <row r="36" spans="1:9">
      <c r="A36" s="24" t="s">
        <v>42</v>
      </c>
      <c r="B36" s="68">
        <f ca="1">$H5+HLOOKUP($A36, INDIRECT(B$31), MATCH("Total", Slots, 0)+1, 0)</f>
        <v>287</v>
      </c>
      <c r="C36" s="58">
        <f ca="1">$I5+HLOOKUP($A36, INDIRECT(C$31), MATCH("Total", Slots, 0)+1, 0)</f>
        <v>269</v>
      </c>
      <c r="D36" s="68">
        <f ca="1">$H5+HLOOKUP($A36, INDIRECT(D$31), MATCH("Total", Slots, 0)+1, 0)</f>
        <v>302</v>
      </c>
      <c r="E36" s="68">
        <f ca="1">$I5+HLOOKUP($A36, INDIRECT(E$31), MATCH("Total", Slots, 0)+1, 0)</f>
        <v>296</v>
      </c>
    </row>
    <row r="37" spans="1:9">
      <c r="A37" s="25" t="s">
        <v>221</v>
      </c>
      <c r="B37" s="59">
        <f ca="1">$H6+HLOOKUP($A37, INDIRECT(B$31), MATCH("Total", Slots, 0)+1, 0)</f>
        <v>165.05</v>
      </c>
      <c r="C37" s="60">
        <f ca="1">$I6+HLOOKUP($A37, INDIRECT(C$31), MATCH("Total", Slots, 0)+1, 0)</f>
        <v>177.05</v>
      </c>
      <c r="D37" s="59">
        <f ca="1">$H6+HLOOKUP($A37, INDIRECT(D$31), MATCH("Total", Slots, 0)+1, 0)</f>
        <v>167.05</v>
      </c>
      <c r="E37" s="59">
        <f ca="1">$I6+HLOOKUP($A37, INDIRECT(E$31), MATCH("Total", Slots, 0)+1, 0)</f>
        <v>188.05</v>
      </c>
    </row>
    <row r="38" spans="1:9">
      <c r="A38" s="31" t="s">
        <v>511</v>
      </c>
      <c r="B38" s="35">
        <f ca="1">B34-$L$6</f>
        <v>-23</v>
      </c>
      <c r="C38" s="67">
        <f ca="1">C34-$L$6</f>
        <v>-1</v>
      </c>
      <c r="D38" s="35">
        <f ca="1">D34-$L$6</f>
        <v>-27</v>
      </c>
      <c r="E38" s="35">
        <f ca="1">E34-$L$6</f>
        <v>21</v>
      </c>
    </row>
    <row r="39" spans="1:9">
      <c r="A39" s="26" t="s">
        <v>512</v>
      </c>
      <c r="B39" s="70">
        <f ca="1">IF(B38&lt;20, TRUNC(8 - B38/5), 4)</f>
        <v>12</v>
      </c>
      <c r="C39" s="71">
        <f ca="1">IF(C38&lt;20, TRUNC(8 - C38/5), 4)</f>
        <v>8</v>
      </c>
      <c r="D39" s="70">
        <f ca="1">IF(D38&lt;20, TRUNC(8 - D38/5), 4)</f>
        <v>13</v>
      </c>
      <c r="E39" s="70">
        <f ca="1">IF(E38&lt;20, TRUNC(8 - E38/5), 4)</f>
        <v>4</v>
      </c>
    </row>
    <row r="40" spans="1:9">
      <c r="A40" s="24" t="s">
        <v>102</v>
      </c>
      <c r="B40" s="68">
        <f>(IF(Setup!J27=1, 62 + Setup!M28 + IF(Setup!M27=1, 1, IF(Setup!M27=2, 5, IF(Setup!M27=3, 9, IF(Setup!M27=4, 13, IF(Setup!M27=5, 17, 0))))), 0) + IF(Setup!J28=1, 56 + Setup!M28 + IF(Setup!M27=1, 1, IF(Setup!M27=2, 5, IF(Setup!M27=3, 9, IF(Setup!M27=4, 13, IF(Setup!M27=5, 17, 0))))), 0) + IF(Setup!J29=1, 48 + Setup!M28 + IF(Setup!M27=1, 1, IF(Setup!M27=2, 5, IF(Setup!M27=3, 9, IF(Setup!M27=4, 13, IF(Setup!M27=5, 17, 0))))), 0)) * IF(Setup!J24=1, 2, 1)</f>
        <v>0</v>
      </c>
      <c r="C40" s="88">
        <f>(IF(Setup!K27=1, 62 + Setup!N28 + IF(Setup!N27=1, 1, IF(Setup!N27=2, 5, IF(Setup!N27=3, 9, IF(Setup!N27=4, 13, IF(Setup!N27=5, 17, 0))))), 0) + IF(Setup!K28=1, 56 + Setup!N28 + IF(Setup!N27=1, 1, IF(Setup!N27=2, 5, IF(Setup!N27=3, 9, IF(Setup!N27=4, 13, IF(Setup!N27=5, 17, 0))))), 0) + IF(Setup!K29=1, 48 + Setup!N28 + IF(Setup!N27=1, 1, IF(Setup!N27=2, 5, IF(Setup!N27=3, 9, IF(Setup!N27=4, 13, IF(Setup!N27=5, 17, 0))))), 0)) * IF(Setup!K24=1, 2, 1)</f>
        <v>0</v>
      </c>
      <c r="D40" s="68">
        <f>(IF(Setup!J27=1, 62 + Setup!M28 + IF(Setup!M27=1, 1, IF(Setup!M27=2, 5, IF(Setup!M27=3, 9, IF(Setup!M27=4, 13, IF(Setup!M27=5, 17, 0))))), 0) + IF(Setup!J28=1, 56 + Setup!M28 + IF(Setup!M27=1, 1, IF(Setup!M27=2, 5, IF(Setup!M27=3, 9, IF(Setup!M27=4, 13, IF(Setup!M27=5, 17, 0))))), 0) + IF(Setup!J29=1, 48 + Setup!M28 + IF(Setup!M27=1, 1, IF(Setup!M27=2, 5, IF(Setup!M27=3, 9, IF(Setup!M27=4, 13, IF(Setup!M27=5, 17, 0))))), 0)) * IF(Setup!J24=1, 2, 1)</f>
        <v>0</v>
      </c>
      <c r="E40" s="68">
        <f>(IF(Setup!K27=1, 62 + Setup!N28 + IF(Setup!N27=1, 1, IF(Setup!N27=2, 5, IF(Setup!N27=3, 9, IF(Setup!N27=4, 13, IF(Setup!N27=5, 17, 0))))), 0) + IF(Setup!K28=1, 56 + Setup!N28 + IF(Setup!N27=1, 1, IF(Setup!N27=2, 5, IF(Setup!N27=3, 9, IF(Setup!N27=4, 13, IF(Setup!N27=5, 17, 0))))), 0) + IF(Setup!K29=1, 48 + Setup!N28 + IF(Setup!N27=1, 1, IF(Setup!N27=2, 5, IF(Setup!N27=3, 9, IF(Setup!N27=4, 13, IF(Setup!N27=5, 17, 0))))), 0)) * IF(Setup!K24=1, 2, 1)</f>
        <v>0</v>
      </c>
      <c r="G40" s="20" t="s">
        <v>464</v>
      </c>
      <c r="H40" s="20" t="s">
        <v>161</v>
      </c>
      <c r="I40" t="s">
        <v>163</v>
      </c>
    </row>
    <row r="41" spans="1:9">
      <c r="A41" s="119" t="s">
        <v>548</v>
      </c>
      <c r="B41" s="136">
        <f>IF(Setup!$F$31=1, VLOOKUP("Att", Ionis, 2, 0), 0)</f>
        <v>20</v>
      </c>
      <c r="C41" s="137">
        <f>IF(Setup!$G$31=1, VLOOKUP("Att", Ionis, 2, 0), 0)</f>
        <v>20</v>
      </c>
      <c r="D41" s="136">
        <f>IF(Setup!$F$31=1, VLOOKUP("Att", Ionis, 2, 0), 0)</f>
        <v>20</v>
      </c>
      <c r="E41" s="136">
        <f>IF(Setup!$G$31=1, VLOOKUP("Att", Ionis, 2, 0), 0)</f>
        <v>20</v>
      </c>
      <c r="G41" t="s">
        <v>341</v>
      </c>
      <c r="H41" s="109">
        <f>Setup!B25</f>
        <v>210</v>
      </c>
      <c r="I41" s="109">
        <f>Setup!C25</f>
        <v>210</v>
      </c>
    </row>
    <row r="42" spans="1:9">
      <c r="A42" s="24" t="s">
        <v>463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450</v>
      </c>
      <c r="B43" s="59">
        <f>IF(AND(B42&gt;0, Setup!B24=1, Setup!B26=0), VLOOKUP(B42, AM2Table, 2, 0), 0)</f>
        <v>0</v>
      </c>
      <c r="C43" s="60">
        <f>IF(AND(C42&gt;0, Setup!C24=1, Setup!C26=0), VLOOKUP(C42, AM2Table, 3, 0), 0)</f>
        <v>0</v>
      </c>
      <c r="D43" s="59">
        <f>IF(AND(D42&gt;0, Setup!B24=1, Setup!B26=0), VLOOKUP(D42, AM2Table, 2, 0), 0)</f>
        <v>0</v>
      </c>
      <c r="E43" s="59">
        <f>IF(AND(E42&gt;0, Setup!C24=1, Setup!C26=0),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462</v>
      </c>
      <c r="B44" s="68">
        <f>(IF(Setup!J30=1, 30 + Setup!M31 + IF(Setup!M30=1, 1, IF(Setup!M30=2, 4, IF(Setup!M30=3, 7, IF(Setup!M30=4, 10, IF(Setup!M30=5, 13, 0))))), 0) + IF(Setup!J31=1, 15 + Setup!M31 + IF(Setup!M30=1, 1, IF(Setup!M30=2, 4, IF(Setup!M30=3, 7, IF(Setup!M30=4, 10, IF(Setup!M30=5, 13, 0))))), 0)) * IF(Setup!J24=1, 2, 1)</f>
        <v>0</v>
      </c>
      <c r="C44" s="58">
        <f>(IF(Setup!K30=1, 30 + Setup!N31 + IF(Setup!N30=1, 1, IF(Setup!N30=2, 4, IF(Setup!N30=3, 7, IF(Setup!N30=4, 10, IF(Setup!N30=5, 13, 0))))), 0) + IF(Setup!K31=1, 15 + Setup!N31 + IF(Setup!N30=1, 1, IF(Setup!N30=2, 4, IF(Setup!N30=3, 7, IF(Setup!N30=4, 10, IF(Setup!N30=5, 13, 0))))), 0)) * IF(Setup!K24=1, 2, 1)</f>
        <v>0</v>
      </c>
      <c r="D44" s="68">
        <f>(IF(Setup!J30=1, 30 + Setup!M31 + IF(Setup!M30=1, 1, IF(Setup!M30=2, 4, IF(Setup!M30=3, 7, IF(Setup!M30=4, 10, IF(Setup!M30=5, 13, 0))))), 0) + IF(Setup!J31=1, 15 + Setup!M31 + IF(Setup!M30=1, 1, IF(Setup!M30=2, 4, IF(Setup!M30=3, 7, IF(Setup!M30=4, 10, IF(Setup!M30=5, 13, 0))))), 0)) * IF(Setup!J24=1, 2, 1)</f>
        <v>0</v>
      </c>
      <c r="E44" s="68">
        <f>(IF(Setup!K30=1, 30 + Setup!N31 + IF(Setup!N30=1, 1, IF(Setup!N30=2, 4, IF(Setup!N30=3, 7, IF(Setup!N30=4, 10, IF(Setup!N30=5, 13, 0))))), 0) + IF(Setup!K31=1, 15 + Setup!N31 + IF(Setup!N30=1, 1, IF(Setup!N30=2, 4, IF(Setup!N30=3, 7, IF(Setup!N30=4, 10, IF(Setup!N30=5, 13, 0))))), 0)) * IF(Setup!K24=1, 2, 1)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549</v>
      </c>
      <c r="B45" s="136">
        <f>IF(Setup!$F$31=1, VLOOKUP("Acc", Ionis, 2, 0), 0)</f>
        <v>20</v>
      </c>
      <c r="C45" s="137">
        <f>IF(Setup!$G$31=1, VLOOKUP("Acc", Ionis, 2, 0), 0)</f>
        <v>20</v>
      </c>
      <c r="D45" s="136">
        <f>IF(Setup!$F$31=1, VLOOKUP("Acc", Ionis, 2, 0), 0)</f>
        <v>20</v>
      </c>
      <c r="E45" s="136">
        <f>IF(Setup!$G$31=1, VLOOKUP("Acc", Ionis, 2, 0), 0)</f>
        <v>20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266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265</v>
      </c>
      <c r="B47" s="29">
        <f>IF(AND(Setup!$F4=1, Setup!$F5=0), 20, 0)</f>
        <v>20</v>
      </c>
      <c r="C47" s="63">
        <f>IF(AND(Setup!$G4=1, Setup!$G5=0), 20, 0)</f>
        <v>20</v>
      </c>
      <c r="D47" s="29">
        <f>IF(AND(Setup!$F4=1, Setup!$F5=0), 20, 0)</f>
        <v>20</v>
      </c>
      <c r="E47" s="29">
        <f>IF(AND(Setup!$G4=1, Setup!$G5=0), 20, 0)</f>
        <v>20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510</v>
      </c>
      <c r="B48" s="29">
        <f>IF(Setup!$J35=1, Setup!$M35, 0)</f>
        <v>0</v>
      </c>
      <c r="C48" s="63">
        <f>IF(Setup!$K35=1, Setup!$N35, 0)</f>
        <v>0</v>
      </c>
      <c r="D48" s="29">
        <f>IF(Setup!$J35=1, Setup!$M35, 0)</f>
        <v>0</v>
      </c>
      <c r="E48" s="29">
        <f>IF(Setup!$K35=1, Setup!$N35,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5">
      <c r="A49" s="24" t="s">
        <v>194</v>
      </c>
      <c r="B49" s="29">
        <f>IF(AND(Setup!$F$10=1, $D$1="War"), 25, 0)</f>
        <v>25</v>
      </c>
      <c r="C49" s="63">
        <f>IF(AND(Setup!$G$10=1, $D$1="War"), 25, 0)</f>
        <v>25</v>
      </c>
      <c r="D49" s="29">
        <f>IF(AND(Setup!$F$10=1, $D$1="War"), 25, 0)</f>
        <v>25</v>
      </c>
      <c r="E49" s="29">
        <f>IF(AND(Setup!$G$10=1, $D$1="War"), 25, 0)</f>
        <v>25</v>
      </c>
    </row>
    <row r="50" spans="1:5" s="209" customFormat="1">
      <c r="A50" s="119" t="s">
        <v>758</v>
      </c>
      <c r="B50" s="29">
        <f>IF(Setup!$J$48=1, Setup!$M$48, 0)</f>
        <v>0</v>
      </c>
      <c r="C50" s="63">
        <f>IF(Setup!$K$48=1, Setup!$N$48, 0)</f>
        <v>0</v>
      </c>
      <c r="D50" s="29">
        <f>IF(Setup!$J$48=1, Setup!$M$48, 0)</f>
        <v>0</v>
      </c>
      <c r="E50" s="29">
        <f>IF(Setup!$K$48=1, Setup!$N$48, 0)</f>
        <v>0</v>
      </c>
    </row>
    <row r="51" spans="1:5">
      <c r="A51" s="25" t="s">
        <v>153</v>
      </c>
      <c r="B51" s="26">
        <f>IF(AND(Setup!$F$28=1, OR(Setup!F17=1, Setup!$F$23=1)), 50, 0)</f>
        <v>0</v>
      </c>
      <c r="C51" s="64">
        <f>IF(AND(Setup!$G$28=1, OR(Setup!G17=1, Setup!$G$23=1)), 50, 0)</f>
        <v>0</v>
      </c>
      <c r="D51" s="26">
        <f>IF(AND(Setup!$F$28=1, OR(Setup!F17=1, Setup!$F$23=1)), 50, 0)</f>
        <v>0</v>
      </c>
      <c r="E51" s="26">
        <f>IF(AND(Setup!$G$28=1, OR(Setup!G17=1, Setup!$G$23=1)), 50, 0)</f>
        <v>0</v>
      </c>
    </row>
    <row r="52" spans="1:5">
      <c r="A52" s="44"/>
      <c r="B52" s="74"/>
      <c r="C52" s="74"/>
      <c r="D52" s="74"/>
      <c r="E52" s="74"/>
    </row>
    <row r="53" spans="1:5">
      <c r="A53" s="65" t="s">
        <v>513</v>
      </c>
      <c r="B53" s="27"/>
      <c r="C53" s="27"/>
      <c r="D53" s="27"/>
      <c r="E53" s="27"/>
    </row>
    <row r="54" spans="1:5">
      <c r="A54" s="24" t="s">
        <v>30</v>
      </c>
      <c r="B54" s="23">
        <f ca="1">$G$18+HLOOKUP($A54, INDIRECT(B$31), MATCH("Total", Slots, 0)+1, 0) + VLOOKUP(Gear!$B$3, INDIRECT(Gear!$A$3), MATCH("CombatSkill", StatHeader, 0), 0)</f>
        <v>682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682</v>
      </c>
      <c r="E54" s="23">
        <f ca="1">$H$18+HLOOKUP($A54, INDIRECT(E$31), MATCH("Total", Slots, 0)+1, 0) + VLOOKUP(Gear!$Z$3, INDIRECT(Gear!$Y$3), MATCH("CombatSkill", StatHeader, 0), 0)</f>
        <v>709</v>
      </c>
    </row>
    <row r="55" spans="1:5">
      <c r="A55" s="24" t="s">
        <v>9</v>
      </c>
      <c r="B55" s="23">
        <f ca="1">8+B54</f>
        <v>690</v>
      </c>
      <c r="C55" s="57">
        <f ca="1">8+C54</f>
        <v>717</v>
      </c>
      <c r="D55" s="23">
        <f ca="1">8+D54</f>
        <v>690</v>
      </c>
      <c r="E55" s="23">
        <f ca="1">8+E54</f>
        <v>717</v>
      </c>
    </row>
    <row r="56" spans="1:5">
      <c r="A56" s="25" t="s">
        <v>10</v>
      </c>
      <c r="B56" s="38">
        <f ca="1">MIN(B54, 200) + TRUNC(MAX(MIN(B54-200, 200), 0)*0.9) + TRUNC(MAX(MIN(B54-400, 200), 0)*0.8) + TRUNC(MAX(MIN(B54-600, 200), 0)*0.9)</f>
        <v>613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613</v>
      </c>
      <c r="E56" s="38">
        <f ca="1">MIN(E54, 200) + TRUNC(MAX(MIN(E54-200, 200), 0)*0.9) + TRUNC(MAX(MIN(E54-400, 200), 0)*0.8) + TRUNC(MAX(MIN(E54-600, 200), 0)*0.9)</f>
        <v>638</v>
      </c>
    </row>
    <row r="57" spans="1:5">
      <c r="A57" s="119" t="s">
        <v>514</v>
      </c>
      <c r="B57" s="120">
        <f>75%</f>
        <v>0.75</v>
      </c>
      <c r="C57" s="121">
        <f>75%</f>
        <v>0.75</v>
      </c>
      <c r="D57" s="120">
        <f>75%</f>
        <v>0.75</v>
      </c>
      <c r="E57" s="120">
        <f>75%</f>
        <v>0.75</v>
      </c>
    </row>
    <row r="58" spans="1:5">
      <c r="A58" s="122" t="s">
        <v>515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</row>
    <row r="59" spans="1:5">
      <c r="A59" s="24" t="s">
        <v>61</v>
      </c>
      <c r="B59" s="37">
        <f ca="1">B55 + TRUNC(B$34*B57) + B$40 + B$41 + B$43 + $E$9 + $H$9 + HLOOKUP("Att", INDIRECT(B$31), MATCH("Total", Slots, 0)+1, 0)</f>
        <v>977</v>
      </c>
      <c r="C59" s="62">
        <f ca="1">C55 + TRUNC(C$34*C57) + C$40 + C$41 + C$43 + $F$9 + $H$9 + HLOOKUP("Att", INDIRECT(C$31), MATCH("Total", Slots, 0)+1, 0)</f>
        <v>1020</v>
      </c>
      <c r="D59" s="37">
        <f ca="1">D55 + TRUNC(D$34*D57) + D$40 + D$41 + D$43 + $E$9 + $H$9 + HLOOKUP("Att", INDIRECT(D$31), MATCH("Total", Slots, 0)+1, 0)</f>
        <v>1045</v>
      </c>
      <c r="E59" s="37">
        <f ca="1">E55 + TRUNC(E$34*E57) + E$40 + E$41 + E$43 + $F$9 + $H$9 + HLOOKUP("Att", INDIRECT(E$31), MATCH("Total", Slots, 0)+1, 0)</f>
        <v>1104</v>
      </c>
    </row>
    <row r="60" spans="1:5">
      <c r="A60" s="25" t="s">
        <v>62</v>
      </c>
      <c r="B60" s="38">
        <f ca="1">B56 + TRUNC(B$35*B58) + B$44 + B$50 + B$45 + B$46 + B$47 + B$48 + B$49 + B$51 + $E$10 + $H$10 + HLOOKUP("Acc", INDIRECT(B$31), MATCH("Total", Slots, 0)+1, 0)</f>
        <v>1220</v>
      </c>
      <c r="C60" s="61">
        <f ca="1">C56 + TRUNC(C$35*C58) + C$44 + C$50 + C$45 + C$46 + C$47 + C$48 + C$49 + C$51 + $E$10 + $H$10 + HLOOKUP("Acc", INDIRECT(C$31), MATCH("Total", Slots, 0)+1, 0)</f>
        <v>1227</v>
      </c>
      <c r="D60" s="38">
        <f ca="1">D56 + TRUNC(D$35*D58) + D$44 + D$50 + D$45 + D$46 + D$47 + D$48 + D$49 + D$51 + $E$10 + $H$10 + HLOOKUP("Acc", INDIRECT(D$31), MATCH("Total", Slots, 0)+1, 0)</f>
        <v>1188</v>
      </c>
      <c r="E60" s="38">
        <f ca="1">E56 + TRUNC(E$35*E58) + E$44 + E$50 + E$45 + E$46 + E$47 + E$48 + E$49 + E$51 + $E$10 + $H$10 + HLOOKUP("Acc", INDIRECT(E$31), MATCH("Total", Slots, 0)+1, 0)</f>
        <v>1253</v>
      </c>
    </row>
    <row r="61" spans="1:5">
      <c r="A61" s="24" t="s">
        <v>57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5">
      <c r="A62" s="25" t="s">
        <v>58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5">
      <c r="A63" s="24" t="s">
        <v>129</v>
      </c>
      <c r="B63" s="29">
        <f ca="1">IF(AND(Setup!$F$9=1, $D$1="War"), TRUNC(B59*25%), 0)</f>
        <v>244</v>
      </c>
      <c r="C63" s="63">
        <f ca="1">IF(AND(Setup!$G$9=1, $D$1="War"), TRUNC(C59*25%), 0)</f>
        <v>255</v>
      </c>
      <c r="D63" s="29">
        <f ca="1">IF(AND(Setup!$F$9=1, $D$1="War"), TRUNC(D59*25%), 0)</f>
        <v>261</v>
      </c>
      <c r="E63" s="29">
        <f ca="1">IF(AND(Setup!$G$9=1, $D$1="War"), TRUNC(E59*25%), 0)</f>
        <v>276</v>
      </c>
    </row>
    <row r="64" spans="1:5">
      <c r="A64" s="24" t="s">
        <v>130</v>
      </c>
      <c r="B64" s="29">
        <f ca="1">IF(Setup!$J$34=1, TRUNC(B59*Setup!$M$34), 0)</f>
        <v>547</v>
      </c>
      <c r="C64" s="63">
        <f ca="1">IF(Setup!$K$34=1, TRUNC(C59*Setup!$N$34), 0)</f>
        <v>571</v>
      </c>
      <c r="D64" s="29">
        <f ca="1">IF(Setup!$J$34=1, TRUNC(D59*Setup!$M$34), 0)</f>
        <v>585</v>
      </c>
      <c r="E64" s="29">
        <f ca="1">IF(Setup!$K$34=1, TRUNC(E59*Setup!$N$34), 0)</f>
        <v>618</v>
      </c>
    </row>
    <row r="65" spans="1:6" s="209" customFormat="1">
      <c r="A65" s="119" t="s">
        <v>777</v>
      </c>
      <c r="B65" s="29">
        <f ca="1">IF(AND(Setup!$B$23=1,Gear!$B$3="Kikoku 121"), FLOOR((B55+TRUNC(B34*B57)+HLOOKUP("Att", INDIRECT(B$31), MATCH("Total", Slots, 0)+1, 0))*(100/1024), 1), 0)</f>
        <v>0</v>
      </c>
      <c r="C65" s="63">
        <f ca="1">IF(AND(Setup!$B$23=1,Gear!$B$3="Kikoku 121"), FLOOR((C55+TRUNC(C34*C57)+HLOOKUP("Att", INDIRECT(C$31), MATCH("Total", Slots, 0)+1, 0))*(100/1024), 1), 0)</f>
        <v>0</v>
      </c>
      <c r="D65" s="29">
        <f ca="1">IF(AND(Setup!$B$23=1,Gear!$B$3="Kikoku 121"), FLOOR((D55+TRUNC(D34*D57)+HLOOKUP("Att", INDIRECT(D$31), MATCH("Total", Slots, 0)+1, 0))*(100/1024), 1), 0)</f>
        <v>0</v>
      </c>
      <c r="E65" s="29">
        <f ca="1">IF(AND(Setup!$B$23=1,Gear!$B$3="Kikoku 121"), FLOOR((E55+TRUNC(E34*E57)+HLOOKUP("Att", INDIRECT(E$31), MATCH("Total", Slots, 0)+1, 0))*(100/1024), 1), 0)</f>
        <v>0</v>
      </c>
    </row>
    <row r="66" spans="1:6">
      <c r="A66" s="24" t="s">
        <v>356</v>
      </c>
      <c r="B66" s="29">
        <v>0</v>
      </c>
      <c r="C66" s="63">
        <v>0</v>
      </c>
      <c r="D66" s="29">
        <f ca="1">TRUNC((VLOOKUP(Setup!B$21, WeaponskillData, MATCH("Att Bonus", WeaponskillDataCols, 0), 0) + Weaponskill!N5) * D59)</f>
        <v>0</v>
      </c>
      <c r="E66" s="29">
        <f ca="1">TRUNC((VLOOKUP(Setup!C$21, WeaponskillData, MATCH("Att Bonus", WeaponskillDataCols, 0), 0) + Weaponskill!N538) * E59)</f>
        <v>1196</v>
      </c>
    </row>
    <row r="67" spans="1:6">
      <c r="A67" s="25" t="s">
        <v>154</v>
      </c>
      <c r="B67" s="26">
        <f>IF(AND(Setup!$F$28=1, OR(Setup!F23=1, Setup!$F$23=1)), FLOOR(0.25*B59, 1), 0)</f>
        <v>0</v>
      </c>
      <c r="C67" s="64">
        <f>IF(AND(Setup!$G$28=1, OR(Setup!G17=1, Setup!$G$23=1)), FLOOR(0.25*C59, 1), 0)</f>
        <v>0</v>
      </c>
      <c r="D67" s="26">
        <f>IF(AND(Setup!$F$28=1, OR(Setup!F17=1, Setup!$F$23=1)), FLOOR(0.25*D59, 1), 0)</f>
        <v>0</v>
      </c>
      <c r="E67" s="26">
        <f>IF(AND(Setup!$G$28=1, OR(Setup!G17=1, Setup!$G$23=1)), FLOOR(0.25*E59, 1), 0)</f>
        <v>0</v>
      </c>
    </row>
    <row r="68" spans="1:6" s="209" customFormat="1">
      <c r="A68" s="119" t="s">
        <v>760</v>
      </c>
      <c r="B68" s="29">
        <f ca="1">IF(Setup!$J$49=1, FLOOR(Setup!$M$49*B59, 1), 0)</f>
        <v>470</v>
      </c>
      <c r="C68" s="220">
        <f ca="1">IF(Setup!$J$49=1, FLOOR(Setup!$M$49*C59, 1), 0)</f>
        <v>491</v>
      </c>
      <c r="D68" s="29">
        <f ca="1">IF(Setup!$J$49=1, FLOOR(Setup!$M$49*D59, 1), 0)</f>
        <v>503</v>
      </c>
      <c r="E68" s="29">
        <f ca="1">IF(Setup!$J$49=1, FLOOR(Setup!$M$49*E59, 1), 0)</f>
        <v>532</v>
      </c>
    </row>
    <row r="69" spans="1:6" s="209" customFormat="1">
      <c r="A69" s="119" t="s">
        <v>747</v>
      </c>
      <c r="B69" s="29"/>
      <c r="C69" s="63"/>
      <c r="D69" s="29"/>
      <c r="E69" s="29"/>
    </row>
    <row r="70" spans="1:6" s="209" customFormat="1">
      <c r="A70" s="119" t="s">
        <v>778</v>
      </c>
      <c r="B70" s="29"/>
      <c r="C70" s="63"/>
      <c r="D70" s="29"/>
      <c r="E70" s="29"/>
    </row>
    <row r="71" spans="1:6" s="209" customFormat="1">
      <c r="A71" s="25" t="s">
        <v>748</v>
      </c>
      <c r="B71" s="26"/>
      <c r="C71" s="64"/>
      <c r="D71" s="26"/>
      <c r="E71" s="26"/>
    </row>
    <row r="72" spans="1:6">
      <c r="A72" s="31" t="s">
        <v>516</v>
      </c>
      <c r="B72" s="39">
        <f ca="1">B59+B61+B63+B64+B67+B68+B65</f>
        <v>2238</v>
      </c>
      <c r="C72" s="125">
        <f t="shared" ref="C72:E72" ca="1" si="2">C59+C61+C63+C64+C67+C68+C65</f>
        <v>2337</v>
      </c>
      <c r="D72" s="39">
        <f t="shared" ca="1" si="2"/>
        <v>2394</v>
      </c>
      <c r="E72" s="39">
        <f t="shared" ca="1" si="2"/>
        <v>2530</v>
      </c>
    </row>
    <row r="73" spans="1:6">
      <c r="A73" s="26" t="s">
        <v>517</v>
      </c>
      <c r="B73" s="126">
        <f ca="1">B60+B62</f>
        <v>1320</v>
      </c>
      <c r="C73" s="127">
        <f ca="1">C60+C62</f>
        <v>1327</v>
      </c>
      <c r="D73" s="126">
        <f ca="1">D60+D62</f>
        <v>1288</v>
      </c>
      <c r="E73" s="126">
        <f ca="1">E60+E62</f>
        <v>1353</v>
      </c>
    </row>
    <row r="74" spans="1:6">
      <c r="A74" s="82" t="s">
        <v>37</v>
      </c>
      <c r="B74" s="128">
        <f ca="1">MAX(MIN(B72/$M$3, 3.25)-$N$3, 0)</f>
        <v>3.1834992887624467</v>
      </c>
      <c r="C74" s="129">
        <f ca="1">MAX(MIN(C72/$M$3, 3.25)-$N$3, 0)</f>
        <v>3.25</v>
      </c>
      <c r="D74" s="128">
        <f ca="1">MAX(MIN(D72/$M$3, 3.25)-$N$3, 0)</f>
        <v>3.25</v>
      </c>
      <c r="E74" s="128">
        <f ca="1">MAX(MIN(E72/$M$3, 3.25)-$N$3, 0)</f>
        <v>3.25</v>
      </c>
    </row>
    <row r="75" spans="1:6">
      <c r="A75" s="9" t="s">
        <v>561</v>
      </c>
      <c r="B75" s="138"/>
      <c r="C75" s="139"/>
      <c r="D75" s="138"/>
      <c r="E75" s="138"/>
      <c r="F75" s="44"/>
    </row>
    <row r="76" spans="1:6">
      <c r="A76" s="31" t="s">
        <v>562</v>
      </c>
      <c r="B76" s="138">
        <f ca="1">B74</f>
        <v>3.1834992887624467</v>
      </c>
      <c r="C76" s="140">
        <f ca="1">C74</f>
        <v>3.25</v>
      </c>
      <c r="D76" s="138">
        <f ca="1">D74</f>
        <v>3.25</v>
      </c>
      <c r="E76" s="138">
        <f ca="1">E74</f>
        <v>3.25</v>
      </c>
      <c r="F76" s="44"/>
    </row>
    <row r="77" spans="1:6">
      <c r="A77" s="31" t="s">
        <v>563</v>
      </c>
      <c r="B77" s="138">
        <f ca="1">B76+MIN(B76*(152/1024) - (752/1024), -0.375)</f>
        <v>2.8084992887624467</v>
      </c>
      <c r="C77" s="140">
        <f ca="1">C76+MIN(C76*(152/1024) - (752/1024), -0.375)</f>
        <v>2.875</v>
      </c>
      <c r="D77" s="138">
        <f ca="1">D76+MIN(D76*(152/1024) - (752/1024), -0.375)</f>
        <v>2.875</v>
      </c>
      <c r="E77" s="138">
        <f ca="1">E76+MIN(E76*(152/1024) - (752/1024), -0.375)</f>
        <v>2.875</v>
      </c>
      <c r="F77" s="44"/>
    </row>
    <row r="78" spans="1:6">
      <c r="A78" s="31" t="s">
        <v>564</v>
      </c>
      <c r="B78" s="138">
        <f ca="1">B76+MIN(1-B76, B76*152/1024 - 448/1024)</f>
        <v>1</v>
      </c>
      <c r="C78" s="140">
        <f ca="1">C76+MIN(1-C76, C76*152/1024 - 448/1024)</f>
        <v>1</v>
      </c>
      <c r="D78" s="138">
        <f ca="1">D76+MIN(1-D76, D76*152/1024 - 448/1024)</f>
        <v>1</v>
      </c>
      <c r="E78" s="138">
        <f ca="1">E76+MIN(1-E76, E76*152/1024 - 448/1024)</f>
        <v>1</v>
      </c>
      <c r="F78" s="44"/>
    </row>
    <row r="79" spans="1:6">
      <c r="A79" s="31" t="s">
        <v>565</v>
      </c>
      <c r="B79" s="138">
        <f ca="1">MAX(B77,B78)</f>
        <v>2.8084992887624467</v>
      </c>
      <c r="C79" s="140">
        <f ca="1">MAX(C77,C78)</f>
        <v>2.875</v>
      </c>
      <c r="D79" s="138">
        <f ca="1">MAX(D77,D78)</f>
        <v>2.875</v>
      </c>
      <c r="E79" s="138">
        <f ca="1">MAX(E77,E78)</f>
        <v>2.875</v>
      </c>
      <c r="F79" s="44"/>
    </row>
    <row r="80" spans="1:6">
      <c r="A80" s="31" t="s">
        <v>566</v>
      </c>
      <c r="B80" s="138">
        <f ca="1">MAX(MAX(B77,B78), 0)</f>
        <v>2.8084992887624467</v>
      </c>
      <c r="C80" s="140">
        <f ca="1">MAX(MAX(C77,C78), 0)</f>
        <v>2.875</v>
      </c>
      <c r="D80" s="138">
        <f ca="1">MAX(MAX(D77,D78), 0)</f>
        <v>2.875</v>
      </c>
      <c r="E80" s="138">
        <f ca="1">MAX(MAX(E77,E78), 0)</f>
        <v>2.875</v>
      </c>
      <c r="F80" s="44"/>
    </row>
    <row r="81" spans="1:6">
      <c r="A81" s="31" t="s">
        <v>567</v>
      </c>
      <c r="B81" s="138">
        <f ca="1">B76 + MAX(MIN(B76 * 0.25, 0.375), 0.25)</f>
        <v>3.5584992887624467</v>
      </c>
      <c r="C81" s="140">
        <f ca="1">C76 + MAX(MIN(C76 * 0.25, 0.375), 0.25)</f>
        <v>3.625</v>
      </c>
      <c r="D81" s="138">
        <f ca="1">D76 + MAX(MIN(D76 * 0.25, 0.375), 0.25)</f>
        <v>3.625</v>
      </c>
      <c r="E81" s="138">
        <f ca="1">E76 + MAX(MIN(E76 * 0.25, 0.375), 0.25)</f>
        <v>3.625</v>
      </c>
      <c r="F81" s="44"/>
    </row>
    <row r="82" spans="1:6">
      <c r="A82" s="31" t="s">
        <v>568</v>
      </c>
      <c r="B82" s="138">
        <f ca="1">B76 + MIN(B76*341/1024 + 358/1024, 1-B76)</f>
        <v>1</v>
      </c>
      <c r="C82" s="140">
        <f ca="1">C76 + MIN(C76*341/1024 + 358/1024, 1-C76)</f>
        <v>1</v>
      </c>
      <c r="D82" s="138">
        <f ca="1">D76 + MIN(D76*341/1024 + 358/1024, 1-D76)</f>
        <v>1</v>
      </c>
      <c r="E82" s="138">
        <f ca="1">E76 + MIN(E76*341/1024 + 358/1024, 1-E76)</f>
        <v>1</v>
      </c>
      <c r="F82" s="44"/>
    </row>
    <row r="83" spans="1:6">
      <c r="A83" s="31" t="s">
        <v>569</v>
      </c>
      <c r="B83" s="138">
        <f ca="1">MAX(B81,B82)</f>
        <v>3.5584992887624467</v>
      </c>
      <c r="C83" s="140">
        <f ca="1">MAX(C81,C82)</f>
        <v>3.625</v>
      </c>
      <c r="D83" s="138">
        <f ca="1">MAX(D81,D82)</f>
        <v>3.625</v>
      </c>
      <c r="E83" s="138">
        <f ca="1">MAX(E81,E82)</f>
        <v>3.625</v>
      </c>
      <c r="F83" s="44"/>
    </row>
    <row r="84" spans="1:6">
      <c r="A84" s="31" t="s">
        <v>570</v>
      </c>
      <c r="B84" s="138">
        <f ca="1">MIN(MAX(B81,B82), 3.25)</f>
        <v>3.25</v>
      </c>
      <c r="C84" s="140">
        <f ca="1">MIN(MAX(C81,C82), 3.25)</f>
        <v>3.25</v>
      </c>
      <c r="D84" s="138">
        <f ca="1">MIN(MAX(D81,D82), 3.25)</f>
        <v>3.25</v>
      </c>
      <c r="E84" s="138">
        <f ca="1">MIN(MAX(E81,E82), 3.25)</f>
        <v>3.25</v>
      </c>
      <c r="F84" s="44"/>
    </row>
    <row r="85" spans="1:6">
      <c r="A85" s="31" t="s">
        <v>571</v>
      </c>
      <c r="B85" s="138">
        <f t="shared" ref="B85:E86" ca="1" si="3">B83-B79</f>
        <v>0.75</v>
      </c>
      <c r="C85" s="140">
        <f t="shared" ca="1" si="3"/>
        <v>0.75</v>
      </c>
      <c r="D85" s="138">
        <f t="shared" ca="1" si="3"/>
        <v>0.75</v>
      </c>
      <c r="E85" s="138">
        <f t="shared" ca="1" si="3"/>
        <v>0.75</v>
      </c>
      <c r="F85" s="44"/>
    </row>
    <row r="86" spans="1:6">
      <c r="A86" s="31" t="s">
        <v>572</v>
      </c>
      <c r="B86" s="138">
        <f t="shared" ca="1" si="3"/>
        <v>0.4415007112375533</v>
      </c>
      <c r="C86" s="140">
        <f t="shared" ca="1" si="3"/>
        <v>0.375</v>
      </c>
      <c r="D86" s="138">
        <f t="shared" ca="1" si="3"/>
        <v>0.375</v>
      </c>
      <c r="E86" s="138">
        <f t="shared" ca="1" si="3"/>
        <v>0.375</v>
      </c>
      <c r="F86" s="44"/>
    </row>
    <row r="87" spans="1:6">
      <c r="A87" s="31" t="s">
        <v>573</v>
      </c>
      <c r="B87" s="141">
        <f ca="1">IF(B79&lt;0, 1-(B86/B85), 0)</f>
        <v>0</v>
      </c>
      <c r="C87" s="142">
        <f ca="1">IF(C79&lt;0, 1-(C86/C85), 0)</f>
        <v>0</v>
      </c>
      <c r="D87" s="141">
        <f ca="1">IF(D79&lt;0, 1-(D86/D85), 0)</f>
        <v>0</v>
      </c>
      <c r="E87" s="141">
        <f ca="1">IF(E79&lt;0, 1-(E86/E85), 0)</f>
        <v>0</v>
      </c>
      <c r="F87" s="44"/>
    </row>
    <row r="88" spans="1:6">
      <c r="A88" s="31" t="s">
        <v>574</v>
      </c>
      <c r="B88" s="141">
        <f ca="1">IF(B83&gt;3, 1-(B86/B85), 0)</f>
        <v>0.41133238501659564</v>
      </c>
      <c r="C88" s="142">
        <f ca="1">IF(C83&gt;3, 1-(C86/C85), 0)</f>
        <v>0.5</v>
      </c>
      <c r="D88" s="141">
        <f ca="1">IF(D83&gt;3, 1-(D86/D85), 0)</f>
        <v>0.5</v>
      </c>
      <c r="E88" s="141">
        <f ca="1">IF(E83&gt;3, 1-(E86/E85), 0)</f>
        <v>0.5</v>
      </c>
      <c r="F88" s="44"/>
    </row>
    <row r="89" spans="1:6">
      <c r="A89" s="31" t="s">
        <v>575</v>
      </c>
      <c r="B89" s="141">
        <f ca="1">MAX(0, MIN(1/3, (0.5 - ABS(B76-1)) * 1.2))</f>
        <v>0</v>
      </c>
      <c r="C89" s="142">
        <f ca="1">MAX(0, MIN(1/3, (0.5 - ABS(C76-1)) * 1.2))</f>
        <v>0</v>
      </c>
      <c r="D89" s="141">
        <f ca="1">MAX(0, MIN(1/3, (0.5 - ABS(D76-1)) * 1.2))</f>
        <v>0</v>
      </c>
      <c r="E89" s="141">
        <f ca="1">MAX(0, MIN(1/3, (0.5 - ABS(E76-1)) * 1.2))</f>
        <v>0</v>
      </c>
      <c r="F89" s="44"/>
    </row>
    <row r="90" spans="1:6">
      <c r="A90" s="31" t="s">
        <v>576</v>
      </c>
      <c r="B90" s="138">
        <f ca="1">((0 * B87) + (3.25 * B88) + (1 * B89) + (1 - B87 - B88 - B89) * ((B84 + B80) / 2)) * 1.02</f>
        <v>3.1824524429441792</v>
      </c>
      <c r="C90" s="140">
        <f ca="1">((0 * C87) + (3.25 * C88) + (1 * C89) + (1 - C87 - C88 - C89) * ((C84 + C80) / 2)) * 1.02</f>
        <v>3.2193749999999999</v>
      </c>
      <c r="D90" s="138">
        <f ca="1">((0 * D87) + (3.25 * D88) + (1 * D89) + (1 - D87 - D88 - D89) * ((D84 + D80) / 2)) * 1.02</f>
        <v>3.2193749999999999</v>
      </c>
      <c r="E90" s="138">
        <f ca="1">((0 * E87) + (3.25 * E88) + (1 * E89) + (1 - E87 - E88 - E89) * ((E84 + E80) / 2)) * 1.02</f>
        <v>3.2193749999999999</v>
      </c>
      <c r="F90" s="44"/>
    </row>
    <row r="91" spans="1:6">
      <c r="A91" s="9" t="s">
        <v>577</v>
      </c>
      <c r="B91" s="138"/>
      <c r="C91" s="140"/>
      <c r="D91" s="138"/>
      <c r="E91" s="138"/>
      <c r="F91" s="44"/>
    </row>
    <row r="92" spans="1:6">
      <c r="A92" s="31" t="s">
        <v>562</v>
      </c>
      <c r="B92" s="138">
        <f ca="1">B74+1</f>
        <v>4.1834992887624463</v>
      </c>
      <c r="C92" s="140">
        <f ca="1">C74+1</f>
        <v>4.25</v>
      </c>
      <c r="D92" s="138">
        <f ca="1">D74+1</f>
        <v>4.25</v>
      </c>
      <c r="E92" s="138">
        <f ca="1">E74+1</f>
        <v>4.25</v>
      </c>
      <c r="F92" s="44"/>
    </row>
    <row r="93" spans="1:6">
      <c r="A93" s="31" t="s">
        <v>563</v>
      </c>
      <c r="B93" s="138">
        <f ca="1">B92+MIN(B92*(152/1024) - (752/1024), -0.375)</f>
        <v>3.8084992887624463</v>
      </c>
      <c r="C93" s="140">
        <f ca="1">C92+MIN(C92*(152/1024) - (752/1024), -0.375)</f>
        <v>3.875</v>
      </c>
      <c r="D93" s="138">
        <f ca="1">D92+MIN(D92*(152/1024) - (752/1024), -0.375)</f>
        <v>3.875</v>
      </c>
      <c r="E93" s="138">
        <f ca="1">E92+MIN(E92*(152/1024) - (752/1024), -0.375)</f>
        <v>3.875</v>
      </c>
      <c r="F93" s="44"/>
    </row>
    <row r="94" spans="1:6">
      <c r="A94" s="31" t="s">
        <v>564</v>
      </c>
      <c r="B94" s="138">
        <f ca="1">B92+MIN(1-B92, B92*152/1024 - 448/1024)</f>
        <v>1</v>
      </c>
      <c r="C94" s="140">
        <f ca="1">C92+MIN(1-C92, C92*152/1024 - 448/1024)</f>
        <v>1</v>
      </c>
      <c r="D94" s="138">
        <f ca="1">D92+MIN(1-D92, D92*152/1024 - 448/1024)</f>
        <v>1</v>
      </c>
      <c r="E94" s="138">
        <f ca="1">E92+MIN(1-E92, E92*152/1024 - 448/1024)</f>
        <v>1</v>
      </c>
      <c r="F94" s="44"/>
    </row>
    <row r="95" spans="1:6">
      <c r="A95" s="31" t="s">
        <v>565</v>
      </c>
      <c r="B95" s="138">
        <f ca="1">MAX(B93,B94)</f>
        <v>3.8084992887624463</v>
      </c>
      <c r="C95" s="140">
        <f ca="1">MAX(C93,C94)</f>
        <v>3.875</v>
      </c>
      <c r="D95" s="138">
        <f ca="1">MAX(D93,D94)</f>
        <v>3.875</v>
      </c>
      <c r="E95" s="138">
        <f ca="1">MAX(E93,E94)</f>
        <v>3.875</v>
      </c>
      <c r="F95" s="44"/>
    </row>
    <row r="96" spans="1:6">
      <c r="A96" s="31" t="s">
        <v>566</v>
      </c>
      <c r="B96" s="138">
        <f ca="1">MAX(MAX(B93,B94), 0)</f>
        <v>3.8084992887624463</v>
      </c>
      <c r="C96" s="140">
        <f ca="1">MAX(MAX(C93,C94), 0)</f>
        <v>3.875</v>
      </c>
      <c r="D96" s="138">
        <f ca="1">MAX(MAX(D93,D94), 0)</f>
        <v>3.875</v>
      </c>
      <c r="E96" s="138">
        <f ca="1">MAX(MAX(E93,E94), 0)</f>
        <v>3.875</v>
      </c>
      <c r="F96" s="44"/>
    </row>
    <row r="97" spans="1:6">
      <c r="A97" s="31" t="s">
        <v>567</v>
      </c>
      <c r="B97" s="138">
        <f ca="1">B92 + MAX(MIN(B92 * 0.25, 0.375), 0.25)</f>
        <v>4.5584992887624463</v>
      </c>
      <c r="C97" s="140">
        <f ca="1">C92 + MAX(MIN(C92 * 0.25, 0.375), 0.25)</f>
        <v>4.625</v>
      </c>
      <c r="D97" s="138">
        <f ca="1">D92 + MAX(MIN(D92 * 0.25, 0.375), 0.25)</f>
        <v>4.625</v>
      </c>
      <c r="E97" s="138">
        <f ca="1">E92 + MAX(MIN(E92 * 0.25, 0.375), 0.25)</f>
        <v>4.625</v>
      </c>
      <c r="F97" s="44"/>
    </row>
    <row r="98" spans="1:6">
      <c r="A98" s="31" t="s">
        <v>568</v>
      </c>
      <c r="B98" s="138">
        <f ca="1">B92 + MIN(B92*341/1024 + 358/1024, 1-B92)</f>
        <v>1</v>
      </c>
      <c r="C98" s="140">
        <f ca="1">C92 + MIN(C92*341/1024 + 358/1024, 1-C92)</f>
        <v>1</v>
      </c>
      <c r="D98" s="138">
        <f ca="1">D92 + MIN(D92*341/1024 + 358/1024, 1-D92)</f>
        <v>1</v>
      </c>
      <c r="E98" s="138">
        <f ca="1">E92 + MIN(E92*341/1024 + 358/1024, 1-E92)</f>
        <v>1</v>
      </c>
      <c r="F98" s="44"/>
    </row>
    <row r="99" spans="1:6">
      <c r="A99" s="31" t="s">
        <v>569</v>
      </c>
      <c r="B99" s="138">
        <f ca="1">MAX(B97,B98)</f>
        <v>4.5584992887624463</v>
      </c>
      <c r="C99" s="140">
        <f ca="1">MAX(C97,C98)</f>
        <v>4.625</v>
      </c>
      <c r="D99" s="138">
        <f ca="1">MAX(D97,D98)</f>
        <v>4.625</v>
      </c>
      <c r="E99" s="138">
        <f ca="1">MAX(E97,E98)</f>
        <v>4.625</v>
      </c>
      <c r="F99" s="44"/>
    </row>
    <row r="100" spans="1:6">
      <c r="A100" s="31" t="s">
        <v>570</v>
      </c>
      <c r="B100" s="138">
        <f ca="1">MIN(MAX(B97,B98), 4.25)</f>
        <v>4.25</v>
      </c>
      <c r="C100" s="140">
        <f ca="1">MIN(MAX(C97,C98), 4.25)</f>
        <v>4.25</v>
      </c>
      <c r="D100" s="138">
        <f ca="1">MIN(MAX(D97,D98), 4.25)</f>
        <v>4.25</v>
      </c>
      <c r="E100" s="138">
        <f ca="1">MIN(MAX(E97,E98), 4.25)</f>
        <v>4.25</v>
      </c>
      <c r="F100" s="44"/>
    </row>
    <row r="101" spans="1:6">
      <c r="A101" s="31" t="s">
        <v>571</v>
      </c>
      <c r="B101" s="138">
        <f t="shared" ref="B101:E102" ca="1" si="4">B99-B95</f>
        <v>0.75</v>
      </c>
      <c r="C101" s="140">
        <f t="shared" ca="1" si="4"/>
        <v>0.75</v>
      </c>
      <c r="D101" s="138">
        <f t="shared" ca="1" si="4"/>
        <v>0.75</v>
      </c>
      <c r="E101" s="138">
        <f t="shared" ca="1" si="4"/>
        <v>0.75</v>
      </c>
      <c r="F101" s="44"/>
    </row>
    <row r="102" spans="1:6">
      <c r="A102" s="31" t="s">
        <v>572</v>
      </c>
      <c r="B102" s="138">
        <f t="shared" ca="1" si="4"/>
        <v>0.44150071123755374</v>
      </c>
      <c r="C102" s="140">
        <f t="shared" ca="1" si="4"/>
        <v>0.375</v>
      </c>
      <c r="D102" s="138">
        <f t="shared" ca="1" si="4"/>
        <v>0.375</v>
      </c>
      <c r="E102" s="138">
        <f t="shared" ca="1" si="4"/>
        <v>0.375</v>
      </c>
      <c r="F102" s="44"/>
    </row>
    <row r="103" spans="1:6">
      <c r="A103" s="31" t="s">
        <v>573</v>
      </c>
      <c r="B103" s="143">
        <f ca="1">IF(B95&lt;0, 1-(B102/B101), 0)</f>
        <v>0</v>
      </c>
      <c r="C103" s="144">
        <f ca="1">IF(C95&lt;0, 1-(C102/C101), 0)</f>
        <v>0</v>
      </c>
      <c r="D103" s="143">
        <f ca="1">IF(D95&lt;0, 1-(D102/D101), 0)</f>
        <v>0</v>
      </c>
      <c r="E103" s="143">
        <f ca="1">IF(E95&lt;0, 1-(E102/E101), 0)</f>
        <v>0</v>
      </c>
      <c r="F103" s="44"/>
    </row>
    <row r="104" spans="1:6">
      <c r="A104" s="31" t="s">
        <v>574</v>
      </c>
      <c r="B104" s="143">
        <f ca="1">IF(B99&gt;3, 1-(B102/B101), 0)</f>
        <v>0.41133238501659497</v>
      </c>
      <c r="C104" s="144">
        <f ca="1">IF(C99&gt;3, 1-(C102/C101), 0)</f>
        <v>0.5</v>
      </c>
      <c r="D104" s="143">
        <f ca="1">IF(D99&gt;3, 1-(D102/D101), 0)</f>
        <v>0.5</v>
      </c>
      <c r="E104" s="143">
        <f ca="1">IF(E99&gt;3, 1-(E102/E101), 0)</f>
        <v>0.5</v>
      </c>
      <c r="F104" s="44"/>
    </row>
    <row r="105" spans="1:6">
      <c r="A105" s="31" t="s">
        <v>575</v>
      </c>
      <c r="B105" s="143">
        <f ca="1">MAX(0, MIN(1/3, (0.5 - ABS(B92-1)) * 1.2))</f>
        <v>0</v>
      </c>
      <c r="C105" s="144">
        <f ca="1">MAX(0, MIN(1/3, (0.5 - ABS(C92-1)) * 1.2))</f>
        <v>0</v>
      </c>
      <c r="D105" s="143">
        <f ca="1">MAX(0, MIN(1/3, (0.5 - ABS(D92-1)) * 1.2))</f>
        <v>0</v>
      </c>
      <c r="E105" s="143">
        <f ca="1">MAX(0, MIN(1/3, (0.5 - ABS(E92-1)) * 1.2))</f>
        <v>0</v>
      </c>
      <c r="F105" s="44"/>
    </row>
    <row r="106" spans="1:6">
      <c r="A106" s="26" t="s">
        <v>578</v>
      </c>
      <c r="B106" s="145">
        <f ca="1">((0 * B103) + (4.25 * B104) + (1 * B105) + (1 - B103 - B104 - B105) * ((B100 + B96) / 2)) * 1.02</f>
        <v>4.2024524429441792</v>
      </c>
      <c r="C106" s="146">
        <f ca="1">((0 * C103) + (4.25 * C104) + (1 * C105) + (1 - C103 - C104 - C105) * ((C100 + C96) / 2)) * 1.02</f>
        <v>4.2393749999999999</v>
      </c>
      <c r="D106" s="145">
        <f ca="1">((0 * D103) + (4.25 * D104) + (1 * D105) + (1 - D103 - D104 - D105) * ((D100 + D96) / 2)) * 1.02</f>
        <v>4.2393749999999999</v>
      </c>
      <c r="E106" s="145">
        <f ca="1">((0 * E103) + (4.25 * E104) + (1 * E105) + (1 - E103 - E104 - E105) * ((E100 + E96) / 2)) * 1.02</f>
        <v>4.2393749999999999</v>
      </c>
      <c r="F106" s="44"/>
    </row>
    <row r="107" spans="1:6">
      <c r="A107" t="s">
        <v>39</v>
      </c>
      <c r="B107" s="5">
        <f ca="1">((B73-($M$4+$N$4))/2)/100+75%</f>
        <v>1.2549999999999999</v>
      </c>
      <c r="C107" s="130">
        <f ca="1">((C73-($M$4+$N$4))/2)/100+75%</f>
        <v>1.29</v>
      </c>
      <c r="D107" s="45">
        <f ca="1">((D73-($M$4+$N$4))/2)/100+75%</f>
        <v>1.095</v>
      </c>
      <c r="E107" s="5">
        <f ca="1">((E73-($M$4+$N$4))/2)/100+75%</f>
        <v>1.42</v>
      </c>
    </row>
    <row r="108" spans="1:6">
      <c r="A108" s="14" t="s">
        <v>38</v>
      </c>
      <c r="B108" s="28">
        <f ca="1">MAX(MIN(B107,99%), 20%)</f>
        <v>0.99</v>
      </c>
      <c r="C108" s="131">
        <f ca="1">MAX(MIN(C107,99%), 20%)</f>
        <v>0.99</v>
      </c>
      <c r="D108" s="28">
        <f ca="1">MAX(MIN(D107,99%), 20%)</f>
        <v>0.99</v>
      </c>
      <c r="E108" s="28">
        <f ca="1">MAX(MIN(E107,99%), 20%)</f>
        <v>0.99</v>
      </c>
    </row>
    <row r="109" spans="1:6">
      <c r="A109" s="119" t="s">
        <v>518</v>
      </c>
      <c r="B109" s="29">
        <f ca="1">$G$14</f>
        <v>100</v>
      </c>
      <c r="C109" s="63">
        <f ca="1">$H$14</f>
        <v>159</v>
      </c>
      <c r="D109" s="29">
        <f ca="1">$G$14</f>
        <v>100</v>
      </c>
      <c r="E109" s="29">
        <f ca="1">$H$14</f>
        <v>159</v>
      </c>
    </row>
    <row r="110" spans="1:6">
      <c r="A110" s="31" t="s">
        <v>520</v>
      </c>
      <c r="B110" s="35">
        <f ca="1">TRUNC(B109/9)</f>
        <v>11</v>
      </c>
      <c r="C110" s="67">
        <f ca="1">TRUNC(C109/9)</f>
        <v>17</v>
      </c>
      <c r="D110" s="35">
        <f ca="1">TRUNC(D109/9)</f>
        <v>11</v>
      </c>
      <c r="E110" s="35">
        <f ca="1">TRUNC(E109/9)</f>
        <v>17</v>
      </c>
    </row>
    <row r="111" spans="1:6">
      <c r="A111" s="31" t="s">
        <v>521</v>
      </c>
      <c r="B111" s="31">
        <f ca="1">TRUNC(MAX(MIN(TRUNC((B$38+B$39)/2), (8+B110)*2), (0-B110)*2)/2)</f>
        <v>-2</v>
      </c>
      <c r="C111" s="63">
        <f ca="1">TRUNC(MAX(MIN(TRUNC((C$38+C$39)/2), (8+C110)*2), (0-C110)*2)/2)</f>
        <v>1</v>
      </c>
      <c r="D111" s="31">
        <f ca="1">TRUNC(MAX(MIN(TRUNC((D$38+D$39)/2), (8+D110)*2), (0-D110)*2)/2)</f>
        <v>-3</v>
      </c>
      <c r="E111" s="31">
        <f ca="1">TRUNC(MAX(MIN(TRUNC((E$38+E$39)/2), (8+E110)*2), (0-E110)*2)/2)</f>
        <v>6</v>
      </c>
    </row>
    <row r="112" spans="1:6">
      <c r="A112" s="26" t="s">
        <v>522</v>
      </c>
      <c r="B112" s="70">
        <f ca="1">B109+B111</f>
        <v>98</v>
      </c>
      <c r="C112" s="71">
        <f ca="1">C109+C111</f>
        <v>160</v>
      </c>
      <c r="D112" s="70">
        <f ca="1">D109+D111</f>
        <v>97</v>
      </c>
      <c r="E112" s="70">
        <f ca="1">E109+E111</f>
        <v>165</v>
      </c>
    </row>
    <row r="114" spans="1:6">
      <c r="A114" s="65" t="s">
        <v>519</v>
      </c>
      <c r="B114" s="27"/>
      <c r="C114" s="27"/>
      <c r="D114" s="27"/>
      <c r="E114" s="27"/>
    </row>
    <row r="115" spans="1:6">
      <c r="A115" s="24" t="s">
        <v>30</v>
      </c>
      <c r="B115" s="23">
        <f ca="1">$G$23+HLOOKUP(VLOOKUP($G$19, Skills, 2, 0), INDIRECT(B$31), MATCH("Total", Slots, 0)+1, 0) + VLOOKUP(Gear!$B$4, INDIRECT(Gear!$A$4), MATCH("CombatSkill", StatHeader, 0), 0)</f>
        <v>682</v>
      </c>
      <c r="C115" s="56">
        <f ca="1">$H$23+HLOOKUP(VLOOKUP($H$19, Skills, 2, 0), INDIRECT(C$31), MATCH("Total", Slots, 0)+1, 0) + VLOOKUP(Gear!$Z$4, INDIRECT(Gear!$Y$4), MATCH("CombatSkill", StatHeader, 0), 0)</f>
        <v>682</v>
      </c>
      <c r="D115" s="23">
        <f ca="1">$G$23+HLOOKUP($A115, INDIRECT(D$31), MATCH("Total", Slots, 0)+1, 0) + VLOOKUP(Gear!$B$4, INDIRECT(Gear!$A$4), MATCH("CombatSkill", StatHeader, 0), 0)</f>
        <v>682</v>
      </c>
      <c r="E115" s="23">
        <f ca="1">$H$23+HLOOKUP($A115, INDIRECT(E$31), MATCH("Total", Slots, 0)+1, 0) + VLOOKUP(Gear!$Z$4, INDIRECT(Gear!$Y$4), MATCH("CombatSkill", StatHeader, 0), 0)</f>
        <v>682</v>
      </c>
    </row>
    <row r="116" spans="1:6">
      <c r="A116" s="24" t="s">
        <v>9</v>
      </c>
      <c r="B116" s="23">
        <f ca="1">8+B115</f>
        <v>690</v>
      </c>
      <c r="C116" s="57">
        <f ca="1">8+C115</f>
        <v>690</v>
      </c>
      <c r="D116" s="23">
        <f ca="1">8+D115</f>
        <v>690</v>
      </c>
      <c r="E116" s="23">
        <f ca="1">8+E115</f>
        <v>690</v>
      </c>
    </row>
    <row r="117" spans="1:6">
      <c r="A117" s="25" t="s">
        <v>10</v>
      </c>
      <c r="B117" s="38">
        <f ca="1">MIN(B115, 200) + TRUNC(MAX(MIN(B115-200, 200), 0)*0.9) + TRUNC(MAX(MIN(B115-400, 200), 0)*0.8) + TRUNC(MAX(MIN(B115-600, 200), 0)*0.9)</f>
        <v>613</v>
      </c>
      <c r="C117" s="61">
        <f ca="1">MIN(C115, 200) + TRUNC(MAX(MIN(C115-200, 200), 0)*0.9) + TRUNC(MAX(MIN(C115-400, 200), 0)*0.8) + TRUNC(MAX(MIN(C115-600, 200), 0)*0.9)</f>
        <v>613</v>
      </c>
      <c r="D117" s="38">
        <f ca="1">MIN(D115, 200) + TRUNC(MAX(MIN(D115-200, 200), 0)*0.9) + TRUNC(MAX(MIN(D115-400, 200), 0)*0.8) + TRUNC(MAX(MIN(D115-600, 200), 0)*0.9)</f>
        <v>613</v>
      </c>
      <c r="E117" s="38">
        <f ca="1">MIN(E115, 200) + TRUNC(MAX(MIN(E115-200, 200), 0)*0.9) + TRUNC(MAX(MIN(E115-400, 200), 0)*0.8) + TRUNC(MAX(MIN(E115-600, 200), 0)*0.9)</f>
        <v>613</v>
      </c>
    </row>
    <row r="118" spans="1:6">
      <c r="A118" s="119" t="s">
        <v>514</v>
      </c>
      <c r="B118" s="120">
        <f>50%</f>
        <v>0.5</v>
      </c>
      <c r="C118" s="121">
        <f>50%</f>
        <v>0.5</v>
      </c>
      <c r="D118" s="120">
        <f>50%</f>
        <v>0.5</v>
      </c>
      <c r="E118" s="120">
        <f>50%</f>
        <v>0.5</v>
      </c>
    </row>
    <row r="119" spans="1:6">
      <c r="A119" s="122" t="s">
        <v>515</v>
      </c>
      <c r="B119" s="123">
        <f>75%</f>
        <v>0.75</v>
      </c>
      <c r="C119" s="124">
        <f>75%</f>
        <v>0.75</v>
      </c>
      <c r="D119" s="123">
        <f>75%</f>
        <v>0.75</v>
      </c>
      <c r="E119" s="123">
        <f>75%</f>
        <v>0.75</v>
      </c>
    </row>
    <row r="120" spans="1:6">
      <c r="A120" s="24" t="s">
        <v>61</v>
      </c>
      <c r="B120" s="37">
        <f ca="1">B116 + TRUNC(B$34*B118) + B$40 + B$41 + B$43 + $E$9 + $H$9 + HLOOKUP("Att", INDIRECT(B$31), MATCH("Total", Slots, 0)+1, 0)</f>
        <v>915</v>
      </c>
      <c r="C120" s="62">
        <f ca="1">C116 + TRUNC(C$34*C118) + C$40 + C$41 + C$43 + $F$9 + $H$9 + HLOOKUP("Att", INDIRECT(C$31), MATCH("Total", Slots, 0)+1, 0)</f>
        <v>926</v>
      </c>
      <c r="D120" s="37">
        <f ca="1">D116 + TRUNC(D$34*D118) + D$40 + D$41 + D$43 + $E$9 + $H$9 + HLOOKUP("Att", INDIRECT(D$31), MATCH("Total", Slots, 0)+1, 0)</f>
        <v>984</v>
      </c>
      <c r="E120" s="37">
        <f ca="1">E116 + TRUNC(E$34*E118) + E$40 + E$41 + E$43 + $F$9 + $H$9 + HLOOKUP("Att", INDIRECT(E$31), MATCH("Total", Slots, 0)+1, 0)</f>
        <v>1004</v>
      </c>
      <c r="F120" s="44"/>
    </row>
    <row r="121" spans="1:6">
      <c r="A121" s="25" t="s">
        <v>62</v>
      </c>
      <c r="B121" s="38">
        <f ca="1">B117 + TRUNC(B$35*B119) + B$44 + B$45 + B$50 + B$46 + B$47 + B$48 + B$49 + B$51 + $E$10 + $H$10 + HLOOKUP("Acc", INDIRECT(B$31), MATCH("Total", Slots, 0)+1, 0)</f>
        <v>1220</v>
      </c>
      <c r="C121" s="61">
        <f ca="1">C117 + TRUNC(C$35*C119) + C$44 + C$45 + C$50 + C$46 + C$47 + C$48 + C$49 + C$51 + $E$10 + $H$10 + HLOOKUP("Acc", INDIRECT(C$31), MATCH("Total", Slots, 0)+1, 0)</f>
        <v>1202</v>
      </c>
      <c r="D121" s="38">
        <f ca="1">D117 + TRUNC(D$35*D119) + D$44 + D$45 + D$50 + D$46 + D$47 + D$48 + D$49 + D$51 + $E$10 + $H$10 + HLOOKUP("Acc", INDIRECT(D$31), MATCH("Total", Slots, 0)+1, 0)</f>
        <v>1188</v>
      </c>
      <c r="E121" s="38">
        <f ca="1">E117 + TRUNC(E$35*E119) + E$44 + E$45 + E$50 + E$46 + E$47 + E$48 + E$49 + E$51 + $E$10 + $H$10 + HLOOKUP("Acc", INDIRECT(E$31), MATCH("Total", Slots, 0)+1, 0)</f>
        <v>1228</v>
      </c>
    </row>
    <row r="122" spans="1:6">
      <c r="A122" s="24" t="s">
        <v>57</v>
      </c>
      <c r="B122" s="37">
        <f ca="1">FLOOR(MIN(B120*$B$9, $C$9),1)+$D$9</f>
        <v>0</v>
      </c>
      <c r="C122" s="62">
        <f ca="1">FLOOR(MIN(C120*$B$9, $C$9),1)+$D$9</f>
        <v>0</v>
      </c>
      <c r="D122" s="37">
        <f ca="1">FLOOR(MIN(D120*$B$9, $C$9),1)+$D$9</f>
        <v>0</v>
      </c>
      <c r="E122" s="37">
        <f ca="1">FLOOR(MIN(E120*$B$9, $C$9),1)+$D$9</f>
        <v>0</v>
      </c>
    </row>
    <row r="123" spans="1:6">
      <c r="A123" s="25" t="s">
        <v>58</v>
      </c>
      <c r="B123" s="38">
        <f ca="1">FLOOR(MIN(B121*$B$10, $C$10),1)+$D$10</f>
        <v>100</v>
      </c>
      <c r="C123" s="61">
        <f ca="1">FLOOR(MIN(C121*$B$10, $C$10),1)+$D$10</f>
        <v>100</v>
      </c>
      <c r="D123" s="38">
        <f ca="1">FLOOR(MIN(D121*$B$10, $C$10),1)+$D$10</f>
        <v>100</v>
      </c>
      <c r="E123" s="38">
        <f ca="1">FLOOR(MIN(E121*$B$10, $C$10),1)+$D$10</f>
        <v>100</v>
      </c>
      <c r="F123" s="44"/>
    </row>
    <row r="124" spans="1:6">
      <c r="A124" s="24" t="s">
        <v>129</v>
      </c>
      <c r="B124" s="29">
        <f ca="1">IF(AND(Setup!$F$9=1, $D$1="War"), TRUNC(B120*25%), 0)</f>
        <v>228</v>
      </c>
      <c r="C124" s="63">
        <f ca="1">IF(AND(Setup!$G$9=1, $D$1="War"), TRUNC(C120*25%), 0)</f>
        <v>231</v>
      </c>
      <c r="D124" s="29">
        <f ca="1">IF(AND(Setup!$F$9=1, $D$1="War"), TRUNC(D120*25%), 0)</f>
        <v>246</v>
      </c>
      <c r="E124" s="29">
        <f ca="1">IF(AND(Setup!$G$9=1, $D$1="War"), TRUNC(E120*25%), 0)</f>
        <v>251</v>
      </c>
      <c r="F124" s="44"/>
    </row>
    <row r="125" spans="1:6">
      <c r="A125" s="24" t="s">
        <v>130</v>
      </c>
      <c r="B125" s="29">
        <f ca="1">IF(Setup!$J$34=1, TRUNC(B120*Setup!$M$34), 0)</f>
        <v>512</v>
      </c>
      <c r="C125" s="63">
        <f ca="1">IF(Setup!$K$34=1, TRUNC(C120*Setup!$N$34), 0)</f>
        <v>518</v>
      </c>
      <c r="D125" s="29">
        <f ca="1">IF(Setup!$J$34=1, TRUNC(D120*Setup!$M$34), 0)</f>
        <v>551</v>
      </c>
      <c r="E125" s="29">
        <f ca="1">IF(Setup!$K$34=1, TRUNC(E120*Setup!$N$34), 0)</f>
        <v>562</v>
      </c>
      <c r="F125" s="44"/>
    </row>
    <row r="126" spans="1:6" s="209" customFormat="1">
      <c r="A126" s="24" t="s">
        <v>777</v>
      </c>
      <c r="B126" s="29">
        <f ca="1">IF(AND(Setup!$B$23=1,Gear!$B$3="Kikoku 121"), FLOOR((B116+TRUNC(B34*B118)+HLOOKUP("Att", INDIRECT(B$31), MATCH("Total", Slots, 0)+1, 0))*(100/1024), 1), 0)</f>
        <v>0</v>
      </c>
      <c r="C126" s="63">
        <f ca="1">IF(AND(Setup!$B$23=1,Gear!$B$3="Kikoku 121"), FLOOR((C116+TRUNC(C34*C118)+HLOOKUP("Att", INDIRECT(C$31), MATCH("Total", Slots, 0)+1, 0))*(100/1024), 1), 0)</f>
        <v>0</v>
      </c>
      <c r="D126" s="29">
        <f ca="1">IF(AND(Setup!$B$23=1,Gear!$B$3="Kikoku 121"), FLOOR((D116+TRUNC(D34*D118)+HLOOKUP("Att", INDIRECT(D$31), MATCH("Total", Slots, 0)+1, 0))*(100/1024), 1), 0)</f>
        <v>0</v>
      </c>
      <c r="E126" s="29">
        <f ca="1">IF(AND(Setup!$B$23=1,Gear!$B$3="Kikoku 121"), FLOOR((E116+TRUNC(E34*E118)+HLOOKUP("Att", INDIRECT(E$31), MATCH("Total", Slots, 0)+1, 0))*(100/1024), 1), 0)</f>
        <v>0</v>
      </c>
      <c r="F126" s="44"/>
    </row>
    <row r="127" spans="1:6">
      <c r="A127" s="24" t="s">
        <v>356</v>
      </c>
      <c r="B127" s="29">
        <v>0</v>
      </c>
      <c r="C127" s="63">
        <v>0</v>
      </c>
      <c r="D127" s="29">
        <f ca="1">TRUNC((VLOOKUP(Setup!B$21, WeaponskillData, MATCH("Att Bonus", WeaponskillDataCols, 0), 0) + Weaponskill!N5) * D120)</f>
        <v>0</v>
      </c>
      <c r="E127" s="29">
        <f ca="1">TRUNC((VLOOKUP(Setup!C$21, WeaponskillData, MATCH("Att Bonus", WeaponskillDataCols, 0), 0) + Weaponskill!N538) * E120)</f>
        <v>1088</v>
      </c>
      <c r="F127" s="44"/>
    </row>
    <row r="128" spans="1:6">
      <c r="A128" s="25" t="s">
        <v>154</v>
      </c>
      <c r="B128" s="26">
        <f>IF(AND(Setup!$F$28=1, OR(Setup!F51=1, Setup!$F$23=1)), FLOOR(0.25*B120, 1), 0)</f>
        <v>0</v>
      </c>
      <c r="C128" s="64">
        <f>IF(AND(Setup!$G$28=1, OR(Setup!G45=1, Setup!$G$23=1)), FLOOR(0.25*C120, 1), 0)</f>
        <v>0</v>
      </c>
      <c r="D128" s="26">
        <f>IF(AND(Setup!$F$28=1, OR(Setup!F45=1, Setup!$F$23=1)), FLOOR(0.25*D120, 1), 0)</f>
        <v>0</v>
      </c>
      <c r="E128" s="26">
        <f>IF(AND(Setup!$G$28=1, OR(Setup!G45=1, Setup!$G$23=1)), FLOOR(0.25*E120, 1), 0)</f>
        <v>0</v>
      </c>
      <c r="F128" s="44"/>
    </row>
    <row r="129" spans="1:6" s="209" customFormat="1">
      <c r="A129" s="24" t="s">
        <v>760</v>
      </c>
      <c r="B129" s="29">
        <f ca="1">IF(Setup!$J$49=1, FLOOR(Setup!$M$49*B120, 1), 0)</f>
        <v>441</v>
      </c>
      <c r="C129" s="220">
        <f ca="1">IF(Setup!$J$49=1, FLOOR(Setup!$M$49*C120, 1), 0)</f>
        <v>446</v>
      </c>
      <c r="D129" s="29">
        <f ca="1">IF(Setup!$J$49=1, FLOOR(Setup!$M$49*D120, 1), 0)</f>
        <v>474</v>
      </c>
      <c r="E129" s="29">
        <f ca="1">IF(Setup!$J$49=1, FLOOR(Setup!$M$49*E120, 1), 0)</f>
        <v>483</v>
      </c>
      <c r="F129" s="44"/>
    </row>
    <row r="130" spans="1:6" s="209" customFormat="1">
      <c r="A130" s="24" t="s">
        <v>747</v>
      </c>
      <c r="B130" s="29"/>
      <c r="C130" s="63"/>
      <c r="D130" s="29"/>
      <c r="E130" s="29"/>
      <c r="F130" s="44"/>
    </row>
    <row r="131" spans="1:6" s="209" customFormat="1">
      <c r="A131" s="24" t="s">
        <v>778</v>
      </c>
      <c r="B131" s="29"/>
      <c r="C131" s="63"/>
      <c r="D131" s="29"/>
      <c r="E131" s="29"/>
      <c r="F131" s="44"/>
    </row>
    <row r="132" spans="1:6" s="209" customFormat="1">
      <c r="A132" s="25" t="s">
        <v>748</v>
      </c>
      <c r="B132" s="26"/>
      <c r="C132" s="64"/>
      <c r="D132" s="26"/>
      <c r="E132" s="26"/>
      <c r="F132" s="44"/>
    </row>
    <row r="133" spans="1:6">
      <c r="A133" s="31" t="s">
        <v>516</v>
      </c>
      <c r="B133" s="39">
        <f ca="1">B120+B122+B124+B125+B128+B129+B126</f>
        <v>2096</v>
      </c>
      <c r="C133" s="125">
        <f t="shared" ref="C133:E133" ca="1" si="5">C120+C122+C124+C125+C128+C129+C126</f>
        <v>2121</v>
      </c>
      <c r="D133" s="39">
        <f t="shared" ca="1" si="5"/>
        <v>2255</v>
      </c>
      <c r="E133" s="39">
        <f t="shared" ca="1" si="5"/>
        <v>2300</v>
      </c>
      <c r="F133" s="44"/>
    </row>
    <row r="134" spans="1:6">
      <c r="A134" s="26" t="s">
        <v>517</v>
      </c>
      <c r="B134" s="126">
        <f ca="1">B121+B123</f>
        <v>1320</v>
      </c>
      <c r="C134" s="127">
        <f ca="1">C121+C123</f>
        <v>1302</v>
      </c>
      <c r="D134" s="126">
        <f ca="1">D121+D123</f>
        <v>1288</v>
      </c>
      <c r="E134" s="126">
        <f ca="1">E121+E123</f>
        <v>1328</v>
      </c>
      <c r="F134" s="44"/>
    </row>
    <row r="135" spans="1:6">
      <c r="A135" s="82" t="s">
        <v>37</v>
      </c>
      <c r="B135" s="128">
        <f ca="1">MAX(MIN(B133/$M$3, 3.25)-$N$3, 0)</f>
        <v>2.9815078236130867</v>
      </c>
      <c r="C135" s="129">
        <f ca="1">MAX(MIN(C133/$M$3, 3.25)-$N$3, 0)</f>
        <v>3.0170697012802274</v>
      </c>
      <c r="D135" s="128">
        <f ca="1">MAX(MIN(D133/$M$3, 3.25)-$N$3, 0)</f>
        <v>3.2076813655761023</v>
      </c>
      <c r="E135" s="128">
        <f ca="1">MAX(MIN(E133/$M$3, 3.25)-$N$3, 0)</f>
        <v>3.25</v>
      </c>
      <c r="F135" s="44"/>
    </row>
    <row r="136" spans="1:6">
      <c r="A136" s="9" t="s">
        <v>561</v>
      </c>
      <c r="B136" s="138"/>
      <c r="C136" s="139"/>
      <c r="D136" s="138"/>
      <c r="E136" s="138"/>
      <c r="F136" s="44"/>
    </row>
    <row r="137" spans="1:6">
      <c r="A137" s="31" t="s">
        <v>562</v>
      </c>
      <c r="B137" s="138">
        <f ca="1">B135</f>
        <v>2.9815078236130867</v>
      </c>
      <c r="C137" s="140">
        <f ca="1">C135</f>
        <v>3.0170697012802274</v>
      </c>
      <c r="D137" s="138">
        <f ca="1">D135</f>
        <v>3.2076813655761023</v>
      </c>
      <c r="E137" s="138">
        <f ca="1">E135</f>
        <v>3.25</v>
      </c>
      <c r="F137" s="44"/>
    </row>
    <row r="138" spans="1:6">
      <c r="A138" s="31" t="s">
        <v>563</v>
      </c>
      <c r="B138" s="138">
        <f ca="1">B137+MIN(B137*(152/1024) - (752/1024), -0.375)</f>
        <v>2.6065078236130867</v>
      </c>
      <c r="C138" s="140">
        <f ca="1">C137+MIN(C137*(152/1024) - (752/1024), -0.375)</f>
        <v>2.6420697012802274</v>
      </c>
      <c r="D138" s="138">
        <f ca="1">D137+MIN(D137*(152/1024) - (752/1024), -0.375)</f>
        <v>2.8326813655761023</v>
      </c>
      <c r="E138" s="138">
        <f ca="1">E137+MIN(E137*(152/1024) - (752/1024), -0.375)</f>
        <v>2.875</v>
      </c>
      <c r="F138" s="44"/>
    </row>
    <row r="139" spans="1:6">
      <c r="A139" s="31" t="s">
        <v>564</v>
      </c>
      <c r="B139" s="138">
        <f ca="1">B137+MIN(1-B137, B137*152/1024 - 448/1024)</f>
        <v>1</v>
      </c>
      <c r="C139" s="140">
        <f ca="1">C137+MIN(1-C137, C137*152/1024 - 448/1024)</f>
        <v>1</v>
      </c>
      <c r="D139" s="138">
        <f ca="1">D137+MIN(1-D137, D137*152/1024 - 448/1024)</f>
        <v>1</v>
      </c>
      <c r="E139" s="138">
        <f ca="1">E137+MIN(1-E137, E137*152/1024 - 448/1024)</f>
        <v>1</v>
      </c>
      <c r="F139" s="44"/>
    </row>
    <row r="140" spans="1:6">
      <c r="A140" s="31" t="s">
        <v>565</v>
      </c>
      <c r="B140" s="138">
        <f ca="1">MAX(B138,B139)</f>
        <v>2.6065078236130867</v>
      </c>
      <c r="C140" s="140">
        <f ca="1">MAX(C138,C139)</f>
        <v>2.6420697012802274</v>
      </c>
      <c r="D140" s="138">
        <f ca="1">MAX(D138,D139)</f>
        <v>2.8326813655761023</v>
      </c>
      <c r="E140" s="138">
        <f ca="1">MAX(E138,E139)</f>
        <v>2.875</v>
      </c>
      <c r="F140" s="44"/>
    </row>
    <row r="141" spans="1:6">
      <c r="A141" s="31" t="s">
        <v>566</v>
      </c>
      <c r="B141" s="138">
        <f ca="1">MAX(MAX(B138,B139), 0)</f>
        <v>2.6065078236130867</v>
      </c>
      <c r="C141" s="140">
        <f ca="1">MAX(MAX(C138,C139), 0)</f>
        <v>2.6420697012802274</v>
      </c>
      <c r="D141" s="138">
        <f ca="1">MAX(MAX(D138,D139), 0)</f>
        <v>2.8326813655761023</v>
      </c>
      <c r="E141" s="138">
        <f ca="1">MAX(MAX(E138,E139), 0)</f>
        <v>2.875</v>
      </c>
      <c r="F141" s="44"/>
    </row>
    <row r="142" spans="1:6">
      <c r="A142" s="31" t="s">
        <v>567</v>
      </c>
      <c r="B142" s="138">
        <f ca="1">B137 + MAX(MIN(B137 * 0.25, 0.375), 0.25)</f>
        <v>3.3565078236130867</v>
      </c>
      <c r="C142" s="140">
        <f ca="1">C137 + MAX(MIN(C137 * 0.25, 0.375), 0.25)</f>
        <v>3.3920697012802274</v>
      </c>
      <c r="D142" s="138">
        <f ca="1">D137 + MAX(MIN(D137 * 0.25, 0.375), 0.25)</f>
        <v>3.5826813655761023</v>
      </c>
      <c r="E142" s="138">
        <f ca="1">E137 + MAX(MIN(E137 * 0.25, 0.375), 0.25)</f>
        <v>3.625</v>
      </c>
      <c r="F142" s="44"/>
    </row>
    <row r="143" spans="1:6">
      <c r="A143" s="31" t="s">
        <v>568</v>
      </c>
      <c r="B143" s="138">
        <f ca="1">B137 + MIN(B137*341/1024 + 358/1024, 1-B137)</f>
        <v>1</v>
      </c>
      <c r="C143" s="140">
        <f ca="1">C137 + MIN(C137*341/1024 + 358/1024, 1-C137)</f>
        <v>1</v>
      </c>
      <c r="D143" s="138">
        <f ca="1">D137 + MIN(D137*341/1024 + 358/1024, 1-D137)</f>
        <v>1</v>
      </c>
      <c r="E143" s="138">
        <f ca="1">E137 + MIN(E137*341/1024 + 358/1024, 1-E137)</f>
        <v>1</v>
      </c>
      <c r="F143" s="44"/>
    </row>
    <row r="144" spans="1:6">
      <c r="A144" s="31" t="s">
        <v>569</v>
      </c>
      <c r="B144" s="138">
        <f ca="1">MAX(B142,B143)</f>
        <v>3.3565078236130867</v>
      </c>
      <c r="C144" s="140">
        <f ca="1">MAX(C142,C143)</f>
        <v>3.3920697012802274</v>
      </c>
      <c r="D144" s="138">
        <f ca="1">MAX(D142,D143)</f>
        <v>3.5826813655761023</v>
      </c>
      <c r="E144" s="138">
        <f ca="1">MAX(E142,E143)</f>
        <v>3.625</v>
      </c>
      <c r="F144" s="44"/>
    </row>
    <row r="145" spans="1:6">
      <c r="A145" s="31" t="s">
        <v>570</v>
      </c>
      <c r="B145" s="138">
        <f ca="1">MIN(MAX(B142,B143), 3.25)</f>
        <v>3.25</v>
      </c>
      <c r="C145" s="140">
        <f ca="1">MIN(MAX(C142,C143), 3.25)</f>
        <v>3.25</v>
      </c>
      <c r="D145" s="138">
        <f ca="1">MIN(MAX(D142,D143), 3.25)</f>
        <v>3.25</v>
      </c>
      <c r="E145" s="138">
        <f ca="1">MIN(MAX(E142,E143), 3.25)</f>
        <v>3.25</v>
      </c>
      <c r="F145" s="44"/>
    </row>
    <row r="146" spans="1:6">
      <c r="A146" s="31" t="s">
        <v>571</v>
      </c>
      <c r="B146" s="138">
        <f ca="1">B144-B140</f>
        <v>0.75</v>
      </c>
      <c r="C146" s="140">
        <f t="shared" ref="C146:E147" ca="1" si="6">C144-C140</f>
        <v>0.75</v>
      </c>
      <c r="D146" s="138">
        <f t="shared" ca="1" si="6"/>
        <v>0.75</v>
      </c>
      <c r="E146" s="138">
        <f t="shared" ca="1" si="6"/>
        <v>0.75</v>
      </c>
      <c r="F146" s="44"/>
    </row>
    <row r="147" spans="1:6">
      <c r="A147" s="31" t="s">
        <v>572</v>
      </c>
      <c r="B147" s="138">
        <f ca="1">B145-B141</f>
        <v>0.64349217638691325</v>
      </c>
      <c r="C147" s="140">
        <f t="shared" ca="1" si="6"/>
        <v>0.60793029871977255</v>
      </c>
      <c r="D147" s="138">
        <f t="shared" ca="1" si="6"/>
        <v>0.41731863442389772</v>
      </c>
      <c r="E147" s="138">
        <f t="shared" ca="1" si="6"/>
        <v>0.375</v>
      </c>
      <c r="F147" s="44"/>
    </row>
    <row r="148" spans="1:6">
      <c r="A148" s="31" t="s">
        <v>573</v>
      </c>
      <c r="B148" s="141">
        <f ca="1">IF(B140&lt;0, 1-(B147/B146), 0)</f>
        <v>0</v>
      </c>
      <c r="C148" s="142">
        <f ca="1">IF(C140&lt;0, 1-(C147/C146), 0)</f>
        <v>0</v>
      </c>
      <c r="D148" s="141">
        <f ca="1">IF(D140&lt;0, 1-(D147/D146), 0)</f>
        <v>0</v>
      </c>
      <c r="E148" s="141">
        <f ca="1">IF(E140&lt;0, 1-(E147/E146), 0)</f>
        <v>0</v>
      </c>
      <c r="F148" s="44"/>
    </row>
    <row r="149" spans="1:6">
      <c r="A149" s="31" t="s">
        <v>574</v>
      </c>
      <c r="B149" s="141">
        <f ca="1">IF(B144&gt;3, 1-(B147/B146), 0)</f>
        <v>0.14201043148411563</v>
      </c>
      <c r="C149" s="142">
        <f ca="1">IF(C144&gt;3, 1-(C147/C146), 0)</f>
        <v>0.18942626837363663</v>
      </c>
      <c r="D149" s="141">
        <f ca="1">IF(D144&gt;3, 1-(D147/D146), 0)</f>
        <v>0.44357515410146975</v>
      </c>
      <c r="E149" s="141">
        <f ca="1">IF(E144&gt;3, 1-(E147/E146), 0)</f>
        <v>0.5</v>
      </c>
      <c r="F149" s="44"/>
    </row>
    <row r="150" spans="1:6">
      <c r="A150" s="31" t="s">
        <v>575</v>
      </c>
      <c r="B150" s="141">
        <f ca="1">MAX(0, MIN(1/3, (0.5 - ABS(B137-1)) * 1.2))</f>
        <v>0</v>
      </c>
      <c r="C150" s="142">
        <f ca="1">MAX(0, MIN(1/3, (0.5 - ABS(C137-1)) * 1.2))</f>
        <v>0</v>
      </c>
      <c r="D150" s="141">
        <f ca="1">MAX(0, MIN(1/3, (0.5 - ABS(D137-1)) * 1.2))</f>
        <v>0</v>
      </c>
      <c r="E150" s="141">
        <f ca="1">MAX(0, MIN(1/3, (0.5 - ABS(E137-1)) * 1.2))</f>
        <v>0</v>
      </c>
      <c r="F150" s="44"/>
    </row>
    <row r="151" spans="1:6">
      <c r="A151" s="31" t="s">
        <v>576</v>
      </c>
      <c r="B151" s="138">
        <f ca="1">((0 * B148) + (3.25 * B149) + (1 * B150) + (1 - B148 - B149 - B150) * ((B145 + B141) / 2)) * 1.02</f>
        <v>3.0334241168716067</v>
      </c>
      <c r="C151" s="140">
        <f ca="1">((0 * C148) + (3.25 * C149) + (1 * C150) + (1 - C148 - C149 - C150) * ((C145 + C141) / 2)) * 1.02</f>
        <v>3.0636861112909721</v>
      </c>
      <c r="D151" s="138">
        <f ca="1">((0 * D148) + (3.25 * D149) + (1 * D150) + (1 - D148 - D149 - D150) * ((D145 + D141) / 2)) * 1.02</f>
        <v>3.1965747070065498</v>
      </c>
      <c r="E151" s="138">
        <f ca="1">((0 * E148) + (3.25 * E149) + (1 * E150) + (1 - E148 - E149 - E150) * ((E145 + E141) / 2)) * 1.02</f>
        <v>3.2193749999999999</v>
      </c>
      <c r="F151" s="44"/>
    </row>
    <row r="152" spans="1:6">
      <c r="A152" s="9" t="s">
        <v>577</v>
      </c>
      <c r="B152" s="138"/>
      <c r="C152" s="140"/>
      <c r="D152" s="138"/>
      <c r="E152" s="138"/>
      <c r="F152" s="44"/>
    </row>
    <row r="153" spans="1:6">
      <c r="A153" s="31" t="s">
        <v>562</v>
      </c>
      <c r="B153" s="138">
        <f ca="1">B135+1</f>
        <v>3.9815078236130867</v>
      </c>
      <c r="C153" s="140">
        <f ca="1">C135+1</f>
        <v>4.0170697012802279</v>
      </c>
      <c r="D153" s="138">
        <f ca="1">D135+1</f>
        <v>4.2076813655761018</v>
      </c>
      <c r="E153" s="138">
        <f ca="1">E135+1</f>
        <v>4.25</v>
      </c>
      <c r="F153" s="44"/>
    </row>
    <row r="154" spans="1:6">
      <c r="A154" s="31" t="s">
        <v>563</v>
      </c>
      <c r="B154" s="138">
        <f ca="1">B153+MIN(B153*(152/1024) - (752/1024), -0.375)</f>
        <v>3.6065078236130867</v>
      </c>
      <c r="C154" s="140">
        <f ca="1">C153+MIN(C153*(152/1024) - (752/1024), -0.375)</f>
        <v>3.6420697012802279</v>
      </c>
      <c r="D154" s="138">
        <f ca="1">D153+MIN(D153*(152/1024) - (752/1024), -0.375)</f>
        <v>3.8326813655761018</v>
      </c>
      <c r="E154" s="138">
        <f ca="1">E153+MIN(E153*(152/1024) - (752/1024), -0.375)</f>
        <v>3.875</v>
      </c>
      <c r="F154" s="44"/>
    </row>
    <row r="155" spans="1:6">
      <c r="A155" s="31" t="s">
        <v>564</v>
      </c>
      <c r="B155" s="138">
        <f ca="1">B153+MIN(1-B153, B153*152/1024 - 448/1024)</f>
        <v>1</v>
      </c>
      <c r="C155" s="140">
        <f ca="1">C153+MIN(1-C153, C153*152/1024 - 448/1024)</f>
        <v>1</v>
      </c>
      <c r="D155" s="138">
        <f ca="1">D153+MIN(1-D153, D153*152/1024 - 448/1024)</f>
        <v>1</v>
      </c>
      <c r="E155" s="138">
        <f ca="1">E153+MIN(1-E153, E153*152/1024 - 448/1024)</f>
        <v>1</v>
      </c>
      <c r="F155" s="44"/>
    </row>
    <row r="156" spans="1:6">
      <c r="A156" s="31" t="s">
        <v>565</v>
      </c>
      <c r="B156" s="138">
        <f ca="1">MAX(B154,B155)</f>
        <v>3.6065078236130867</v>
      </c>
      <c r="C156" s="140">
        <f ca="1">MAX(C154,C155)</f>
        <v>3.6420697012802279</v>
      </c>
      <c r="D156" s="138">
        <f ca="1">MAX(D154,D155)</f>
        <v>3.8326813655761018</v>
      </c>
      <c r="E156" s="138">
        <f ca="1">MAX(E154,E155)</f>
        <v>3.875</v>
      </c>
      <c r="F156" s="44"/>
    </row>
    <row r="157" spans="1:6">
      <c r="A157" s="31" t="s">
        <v>566</v>
      </c>
      <c r="B157" s="138">
        <f ca="1">MAX(MAX(B154,B155), 0)</f>
        <v>3.6065078236130867</v>
      </c>
      <c r="C157" s="140">
        <f ca="1">MAX(MAX(C154,C155), 0)</f>
        <v>3.6420697012802279</v>
      </c>
      <c r="D157" s="138">
        <f ca="1">MAX(MAX(D154,D155), 0)</f>
        <v>3.8326813655761018</v>
      </c>
      <c r="E157" s="138">
        <f ca="1">MAX(MAX(E154,E155), 0)</f>
        <v>3.875</v>
      </c>
      <c r="F157" s="44"/>
    </row>
    <row r="158" spans="1:6">
      <c r="A158" s="31" t="s">
        <v>567</v>
      </c>
      <c r="B158" s="138">
        <f ca="1">B153 + MAX(MIN(B153 * 0.25, 0.375), 0.25)</f>
        <v>4.3565078236130867</v>
      </c>
      <c r="C158" s="140">
        <f ca="1">C153 + MAX(MIN(C153 * 0.25, 0.375), 0.25)</f>
        <v>4.3920697012802279</v>
      </c>
      <c r="D158" s="138">
        <f ca="1">D153 + MAX(MIN(D153 * 0.25, 0.375), 0.25)</f>
        <v>4.5826813655761018</v>
      </c>
      <c r="E158" s="138">
        <f ca="1">E153 + MAX(MIN(E153 * 0.25, 0.375), 0.25)</f>
        <v>4.625</v>
      </c>
      <c r="F158" s="44"/>
    </row>
    <row r="159" spans="1:6">
      <c r="A159" s="31" t="s">
        <v>568</v>
      </c>
      <c r="B159" s="138">
        <f ca="1">B153 + MIN(B153*341/1024 + 358/1024, 1-B153)</f>
        <v>1</v>
      </c>
      <c r="C159" s="140">
        <f ca="1">C153 + MIN(C153*341/1024 + 358/1024, 1-C153)</f>
        <v>1</v>
      </c>
      <c r="D159" s="138">
        <f ca="1">D153 + MIN(D153*341/1024 + 358/1024, 1-D153)</f>
        <v>1</v>
      </c>
      <c r="E159" s="138">
        <f ca="1">E153 + MIN(E153*341/1024 + 358/1024, 1-E153)</f>
        <v>1</v>
      </c>
      <c r="F159" s="44"/>
    </row>
    <row r="160" spans="1:6">
      <c r="A160" s="31" t="s">
        <v>569</v>
      </c>
      <c r="B160" s="138">
        <f ca="1">MAX(B158,B159)</f>
        <v>4.3565078236130867</v>
      </c>
      <c r="C160" s="140">
        <f ca="1">MAX(C158,C159)</f>
        <v>4.3920697012802279</v>
      </c>
      <c r="D160" s="138">
        <f ca="1">MAX(D158,D159)</f>
        <v>4.5826813655761018</v>
      </c>
      <c r="E160" s="138">
        <f ca="1">MAX(E158,E159)</f>
        <v>4.625</v>
      </c>
      <c r="F160" s="44"/>
    </row>
    <row r="161" spans="1:6">
      <c r="A161" s="31" t="s">
        <v>570</v>
      </c>
      <c r="B161" s="138">
        <f ca="1">MIN(MAX(B158,B159), 4.25)</f>
        <v>4.25</v>
      </c>
      <c r="C161" s="140">
        <f ca="1">MIN(MAX(C158,C159), 4.25)</f>
        <v>4.25</v>
      </c>
      <c r="D161" s="138">
        <f ca="1">MIN(MAX(D158,D159), 4.25)</f>
        <v>4.25</v>
      </c>
      <c r="E161" s="138">
        <f ca="1">MIN(MAX(E158,E159), 4.25)</f>
        <v>4.25</v>
      </c>
      <c r="F161" s="44"/>
    </row>
    <row r="162" spans="1:6">
      <c r="A162" s="31" t="s">
        <v>571</v>
      </c>
      <c r="B162" s="138">
        <f ca="1">B160-B156</f>
        <v>0.75</v>
      </c>
      <c r="C162" s="140">
        <f t="shared" ref="C162:E163" ca="1" si="7">C160-C156</f>
        <v>0.75</v>
      </c>
      <c r="D162" s="138">
        <f t="shared" ca="1" si="7"/>
        <v>0.75</v>
      </c>
      <c r="E162" s="138">
        <f t="shared" ca="1" si="7"/>
        <v>0.75</v>
      </c>
      <c r="F162" s="44"/>
    </row>
    <row r="163" spans="1:6">
      <c r="A163" s="31" t="s">
        <v>572</v>
      </c>
      <c r="B163" s="138">
        <f ca="1">B161-B157</f>
        <v>0.64349217638691325</v>
      </c>
      <c r="C163" s="140">
        <f t="shared" ca="1" si="7"/>
        <v>0.60793029871977211</v>
      </c>
      <c r="D163" s="138">
        <f t="shared" ca="1" si="7"/>
        <v>0.41731863442389816</v>
      </c>
      <c r="E163" s="138">
        <f t="shared" ca="1" si="7"/>
        <v>0.375</v>
      </c>
      <c r="F163" s="44"/>
    </row>
    <row r="164" spans="1:6">
      <c r="A164" s="31" t="s">
        <v>573</v>
      </c>
      <c r="B164" s="143">
        <f ca="1">IF(B156&lt;0, 1-(B163/B162), 0)</f>
        <v>0</v>
      </c>
      <c r="C164" s="144">
        <f ca="1">IF(C156&lt;0, 1-(C163/C162), 0)</f>
        <v>0</v>
      </c>
      <c r="D164" s="143">
        <f ca="1">IF(D156&lt;0, 1-(D163/D162), 0)</f>
        <v>0</v>
      </c>
      <c r="E164" s="143">
        <f ca="1">IF(E156&lt;0, 1-(E163/E162), 0)</f>
        <v>0</v>
      </c>
      <c r="F164" s="44"/>
    </row>
    <row r="165" spans="1:6">
      <c r="A165" s="31" t="s">
        <v>574</v>
      </c>
      <c r="B165" s="143">
        <f ca="1">IF(B160&gt;3, 1-(B163/B162), 0)</f>
        <v>0.14201043148411563</v>
      </c>
      <c r="C165" s="144">
        <f ca="1">IF(C160&gt;3, 1-(C163/C162), 0)</f>
        <v>0.18942626837363719</v>
      </c>
      <c r="D165" s="143">
        <f ca="1">IF(D160&gt;3, 1-(D163/D162), 0)</f>
        <v>0.44357515410146908</v>
      </c>
      <c r="E165" s="143">
        <f ca="1">IF(E160&gt;3, 1-(E163/E162), 0)</f>
        <v>0.5</v>
      </c>
      <c r="F165" s="44"/>
    </row>
    <row r="166" spans="1:6">
      <c r="A166" s="31" t="s">
        <v>575</v>
      </c>
      <c r="B166" s="143">
        <f ca="1">MAX(0, MIN(1/3, (0.5 - ABS(B153-1)) * 1.2))</f>
        <v>0</v>
      </c>
      <c r="C166" s="144">
        <f ca="1">MAX(0, MIN(1/3, (0.5 - ABS(C153-1)) * 1.2))</f>
        <v>0</v>
      </c>
      <c r="D166" s="143">
        <f ca="1">MAX(0, MIN(1/3, (0.5 - ABS(D153-1)) * 1.2))</f>
        <v>0</v>
      </c>
      <c r="E166" s="143">
        <f ca="1">MAX(0, MIN(1/3, (0.5 - ABS(E153-1)) * 1.2))</f>
        <v>0</v>
      </c>
      <c r="F166" s="44"/>
    </row>
    <row r="167" spans="1:6">
      <c r="A167" s="26" t="s">
        <v>578</v>
      </c>
      <c r="B167" s="145">
        <f ca="1">((0 * B164) + (4.25 * B165) + (1 * B166) + (1 - B164 - B165 - B166) * ((B161 + B157) / 2)) * 1.02</f>
        <v>4.0534241168716072</v>
      </c>
      <c r="C167" s="146">
        <f ca="1">((0 * C164) + (4.25 * C165) + (1 * C166) + (1 - C164 - C165 - C166) * ((C161 + C157) / 2)) * 1.02</f>
        <v>4.0836861112909721</v>
      </c>
      <c r="D167" s="145">
        <f ca="1">((0 * D164) + (4.25 * D165) + (1 * D166) + (1 - D164 - D165 - D166) * ((D161 + D157) / 2)) * 1.02</f>
        <v>4.2165747070065498</v>
      </c>
      <c r="E167" s="145">
        <f ca="1">((0 * E164) + (4.25 * E165) + (1 * E166) + (1 - E164 - E165 - E166) * ((E161 + E157) / 2)) * 1.02</f>
        <v>4.2393749999999999</v>
      </c>
      <c r="F167" s="44"/>
    </row>
    <row r="168" spans="1:6">
      <c r="A168" t="s">
        <v>39</v>
      </c>
      <c r="B168" s="5">
        <f ca="1">((B134-($M$4+$N$4))/2)/100+75%</f>
        <v>1.2549999999999999</v>
      </c>
      <c r="C168" s="130">
        <f ca="1">((C134-($M$4+$N$4))/2)/100+75%</f>
        <v>1.165</v>
      </c>
      <c r="D168" s="45">
        <f ca="1">((D134-($M$4+$N$4))/2)/100+75%</f>
        <v>1.095</v>
      </c>
      <c r="E168" s="5">
        <f ca="1">((E134-($M$4+$N$4))/2)/100+75%</f>
        <v>1.2949999999999999</v>
      </c>
      <c r="F168" s="44"/>
    </row>
    <row r="169" spans="1:6">
      <c r="A169" s="14" t="s">
        <v>38</v>
      </c>
      <c r="B169" s="28">
        <f ca="1">MAX(MIN(B168,95%), 20%)</f>
        <v>0.95</v>
      </c>
      <c r="C169" s="131">
        <f ca="1">MAX(MIN(C168,95%), 20%)</f>
        <v>0.95</v>
      </c>
      <c r="D169" s="28">
        <f ca="1">MAX(MIN(D168,95%), 20%)</f>
        <v>0.95</v>
      </c>
      <c r="E169" s="28">
        <f ca="1">MAX(MIN(E168,95%), 20%)</f>
        <v>0.95</v>
      </c>
      <c r="F169" s="44"/>
    </row>
    <row r="170" spans="1:6">
      <c r="A170" s="119" t="s">
        <v>518</v>
      </c>
      <c r="B170" s="29">
        <f ca="1">$G$20</f>
        <v>100</v>
      </c>
      <c r="C170" s="63">
        <f ca="1">$H$20</f>
        <v>135</v>
      </c>
      <c r="D170" s="29">
        <f ca="1">$G$20</f>
        <v>100</v>
      </c>
      <c r="E170" s="29">
        <f ca="1">$H$20</f>
        <v>135</v>
      </c>
      <c r="F170" s="44"/>
    </row>
    <row r="171" spans="1:6">
      <c r="A171" s="31" t="s">
        <v>520</v>
      </c>
      <c r="B171" s="35">
        <f ca="1">TRUNC(B170/9)</f>
        <v>11</v>
      </c>
      <c r="C171" s="67">
        <f ca="1">TRUNC(C170/9)</f>
        <v>15</v>
      </c>
      <c r="D171" s="35">
        <f ca="1">TRUNC(D170/9)</f>
        <v>11</v>
      </c>
      <c r="E171" s="35">
        <f ca="1">TRUNC(E170/9)</f>
        <v>15</v>
      </c>
      <c r="F171" s="44"/>
    </row>
    <row r="172" spans="1:6">
      <c r="A172" s="31" t="s">
        <v>521</v>
      </c>
      <c r="B172" s="31">
        <f ca="1">TRUNC(MAX(MIN(TRUNC((B$38+B$39)/2), (8+B171)*2), (0-B171)*2)/2)</f>
        <v>-2</v>
      </c>
      <c r="C172" s="63">
        <f ca="1">TRUNC(MAX(MIN(TRUNC((C$38+C$39)/2), (8+C171)*2), (0-C171)*2)/2)</f>
        <v>1</v>
      </c>
      <c r="D172" s="31">
        <f ca="1">TRUNC(MAX(MIN(TRUNC((D$38+D$39)/2), (8+D171)*2), (0-D171)*2)/2)</f>
        <v>-3</v>
      </c>
      <c r="E172" s="31">
        <f ca="1">TRUNC(MAX(MIN(TRUNC((E$38+E$39)/2), (8+E171)*2), (0-E171)*2)/2)</f>
        <v>6</v>
      </c>
      <c r="F172" s="44"/>
    </row>
    <row r="173" spans="1:6">
      <c r="A173" s="26" t="s">
        <v>522</v>
      </c>
      <c r="B173" s="70">
        <f ca="1">B170+B172</f>
        <v>98</v>
      </c>
      <c r="C173" s="71">
        <f ca="1">C170+C172</f>
        <v>136</v>
      </c>
      <c r="D173" s="70">
        <f ca="1">D170+D172</f>
        <v>97</v>
      </c>
      <c r="E173" s="70">
        <f ca="1">E170+E172</f>
        <v>141</v>
      </c>
    </row>
    <row r="174" spans="1:6">
      <c r="A174" s="29"/>
      <c r="B174" s="66"/>
      <c r="C174" s="66"/>
      <c r="D174" s="66"/>
      <c r="E174" s="66"/>
    </row>
    <row r="175" spans="1:6">
      <c r="A175" s="65" t="s">
        <v>656</v>
      </c>
      <c r="B175" s="27"/>
      <c r="C175" s="27"/>
      <c r="D175" s="27"/>
      <c r="E175" s="27"/>
    </row>
    <row r="176" spans="1:6">
      <c r="A176" s="135" t="s">
        <v>657</v>
      </c>
      <c r="B176" s="23">
        <f ca="1">$G$27+HLOOKUP(A176, INDIRECT(B$31), MATCH("Total", Slots, 0)+1, 0)</f>
        <v>668</v>
      </c>
      <c r="C176" s="56">
        <f ca="1">$H$27+HLOOKUP(A176, INDIRECT(B$31), MATCH("Total", Slots, 0)+1, 0)</f>
        <v>668</v>
      </c>
      <c r="D176" s="23"/>
      <c r="E176" s="23"/>
    </row>
    <row r="177" spans="1:5">
      <c r="A177" s="24" t="s">
        <v>9</v>
      </c>
      <c r="B177" s="23">
        <f ca="1">8+B176</f>
        <v>676</v>
      </c>
      <c r="C177" s="57">
        <f ca="1">8+C176</f>
        <v>676</v>
      </c>
      <c r="D177" s="23"/>
      <c r="E177" s="23"/>
    </row>
    <row r="178" spans="1:5">
      <c r="A178" s="25" t="s">
        <v>10</v>
      </c>
      <c r="B178" s="38">
        <f ca="1">MIN(B176, 200) + TRUNC(MAX(MIN(B176-200, 200), 0)*0.9) + TRUNC(MAX(MIN(B176-400, 200), 0)*0.8) + TRUNC(MAX(MIN(B176-600, 200), 0)*0.9)</f>
        <v>601</v>
      </c>
      <c r="C178" s="61">
        <f ca="1">MIN(C176, 200) + TRUNC(MAX(MIN(C176-200, 200), 0)*0.9) + TRUNC(MAX(MIN(C176-400, 200), 0)*0.8) + TRUNC(MAX(MIN(C176-600, 200), 0)*0.9)</f>
        <v>601</v>
      </c>
      <c r="D178" s="38"/>
      <c r="E178" s="38"/>
    </row>
    <row r="179" spans="1:5">
      <c r="A179" s="119" t="s">
        <v>514</v>
      </c>
      <c r="B179" s="120">
        <v>0.75</v>
      </c>
      <c r="C179" s="121">
        <v>0.75</v>
      </c>
      <c r="D179" s="120"/>
      <c r="E179" s="120"/>
    </row>
    <row r="180" spans="1:5">
      <c r="A180" s="150" t="s">
        <v>670</v>
      </c>
      <c r="B180" s="123">
        <f>75%</f>
        <v>0.75</v>
      </c>
      <c r="C180" s="124">
        <f>75%</f>
        <v>0.75</v>
      </c>
      <c r="D180" s="123"/>
      <c r="E180" s="123"/>
    </row>
    <row r="181" spans="1:5">
      <c r="A181" s="159" t="s">
        <v>680</v>
      </c>
      <c r="B181" s="160">
        <f>IF(AND(Setup!B14&gt;1, Setup!F6=1, LEFT(Gear!B11,9)="Mochizuki"), 25*(Setup!B14-1), 0)</f>
        <v>0</v>
      </c>
      <c r="C181" s="161">
        <f>IF(AND(Setup!B14&gt;1, Setup!G6=1, LEFT(Gear!Z11,9)="Mochizuki"), 25*(Setup!B14-1), 0)</f>
        <v>0</v>
      </c>
      <c r="D181" s="162"/>
      <c r="E181" s="162"/>
    </row>
    <row r="182" spans="1:5">
      <c r="A182" s="24" t="s">
        <v>61</v>
      </c>
      <c r="B182" s="37">
        <f ca="1">B177 + TRUNC(B$34*B179) + B181 + B$40 + B$41 + B$43 + $H$9 + HLOOKUP("R.Att", INDIRECT(B$31), MATCH("Total", Slots, 0)+1, 0)</f>
        <v>912</v>
      </c>
      <c r="C182" s="62">
        <f ca="1">C177 + TRUNC(C$34*C179) + C181 + C$40 + C$41 + C$43 + $H$9 + HLOOKUP("R.Att", INDIRECT(C$31), MATCH("Total", Slots, 0)+1, 0)</f>
        <v>928</v>
      </c>
      <c r="D182" s="37"/>
      <c r="E182" s="37"/>
    </row>
    <row r="183" spans="1:5">
      <c r="A183" s="25" t="s">
        <v>62</v>
      </c>
      <c r="B183" s="38">
        <f ca="1">B178 + TRUNC(B$36*B180) + B$45 + B$46 + B$47 + B$48 + B$51 + $H$10 + HLOOKUP("R.Acc", INDIRECT(B$31), MATCH("Total", Slots, 0)+1, 0)</f>
        <v>1001</v>
      </c>
      <c r="C183" s="61">
        <f ca="1">C178 + TRUNC(C$36*C180) + C$45 + C$46 + C$47 + C$48 + C$51 + $H$10 + HLOOKUP("R.Acc", INDIRECT(C$31), MATCH("Total", Slots, 0)+1, 0)</f>
        <v>1007</v>
      </c>
      <c r="D183" s="38"/>
      <c r="E183" s="38"/>
    </row>
    <row r="184" spans="1:5">
      <c r="A184" s="24" t="s">
        <v>57</v>
      </c>
      <c r="B184" s="37">
        <f ca="1">FLOOR(MIN(B182*$B$9, $C$9),1)+$D$9</f>
        <v>0</v>
      </c>
      <c r="C184" s="62">
        <f ca="1">FLOOR(MIN(C182*$B$9, $C$9),1)+$D$9</f>
        <v>0</v>
      </c>
      <c r="D184" s="37"/>
      <c r="E184" s="37"/>
    </row>
    <row r="185" spans="1:5">
      <c r="A185" s="25" t="s">
        <v>58</v>
      </c>
      <c r="B185" s="38">
        <f ca="1">FLOOR(MIN(B183*$B$10, $C$10),1)+$D$10</f>
        <v>100</v>
      </c>
      <c r="C185" s="61">
        <f ca="1">FLOOR(MIN(C183*$B$10, $C$10),1)+$D$10</f>
        <v>100</v>
      </c>
      <c r="D185" s="38"/>
      <c r="E185" s="38"/>
    </row>
    <row r="186" spans="1:5">
      <c r="A186" s="135" t="s">
        <v>678</v>
      </c>
      <c r="B186" s="37">
        <v>100</v>
      </c>
      <c r="C186" s="62">
        <v>100</v>
      </c>
      <c r="D186" s="37"/>
      <c r="E186" s="37"/>
    </row>
    <row r="187" spans="1:5">
      <c r="A187" s="150" t="s">
        <v>679</v>
      </c>
      <c r="B187" s="38">
        <f>IF(AND(Setup!B14&gt;0, Setup!F6=1), 100, 0)</f>
        <v>0</v>
      </c>
      <c r="C187" s="61">
        <f>IF(AND(Setup!B14&gt;0, Setup!G6=1), 100, 0)</f>
        <v>0</v>
      </c>
      <c r="D187" s="38"/>
      <c r="E187" s="38"/>
    </row>
    <row r="188" spans="1:5">
      <c r="A188" s="24" t="s">
        <v>129</v>
      </c>
      <c r="B188" s="29">
        <f ca="1">IF(AND(Setup!$F$9=1, $D$1="War"), TRUNC(B182*25%), 0)</f>
        <v>228</v>
      </c>
      <c r="C188" s="63">
        <f ca="1">IF(AND(Setup!$G$9=1, $D$1="War"), TRUNC(C182*25%), 0)</f>
        <v>232</v>
      </c>
      <c r="D188" s="29"/>
      <c r="E188" s="29"/>
    </row>
    <row r="189" spans="1:5">
      <c r="A189" s="24" t="s">
        <v>130</v>
      </c>
      <c r="B189" s="29">
        <f ca="1">IF(Setup!$J$34=1, TRUNC(B182*Setup!$M$34), 0)</f>
        <v>510</v>
      </c>
      <c r="C189" s="63">
        <f ca="1">IF(Setup!$K$34=1, TRUNC(C182*Setup!$N$34), 0)</f>
        <v>519</v>
      </c>
      <c r="D189" s="29"/>
      <c r="E189" s="29"/>
    </row>
    <row r="190" spans="1:5">
      <c r="A190" s="24" t="s">
        <v>356</v>
      </c>
      <c r="B190" s="29">
        <v>0</v>
      </c>
      <c r="C190" s="63">
        <v>0</v>
      </c>
      <c r="D190" s="29"/>
      <c r="E190" s="29"/>
    </row>
    <row r="191" spans="1:5">
      <c r="A191" s="25" t="s">
        <v>154</v>
      </c>
      <c r="B191" s="26">
        <f>IF(AND(Setup!$F$28=1, OR(Setup!F107=1, Setup!$F$23=1)), TRUNC(25%*B182), 0)</f>
        <v>0</v>
      </c>
      <c r="C191" s="64">
        <f>IF(AND(Setup!$G$28=1, OR(Setup!G101=1, Setup!$G$23=1)), TRUNC(25%*C182), 0)</f>
        <v>0</v>
      </c>
      <c r="D191" s="26"/>
      <c r="E191" s="26"/>
    </row>
    <row r="192" spans="1:5" s="209" customFormat="1">
      <c r="A192" s="24" t="s">
        <v>760</v>
      </c>
      <c r="B192" s="29">
        <f ca="1">IF(Setup!$J$49=1, FLOOR(Setup!$M$49*B182, 1), 0)</f>
        <v>439</v>
      </c>
      <c r="C192" s="220">
        <f ca="1">IF(Setup!$J$49=1, FLOOR(Setup!$M$49*C182, 1), 0)</f>
        <v>447</v>
      </c>
      <c r="D192" s="29"/>
      <c r="E192" s="29"/>
    </row>
    <row r="193" spans="1:5" s="209" customFormat="1">
      <c r="A193" s="24" t="s">
        <v>747</v>
      </c>
      <c r="B193" s="29"/>
      <c r="C193" s="63"/>
      <c r="D193" s="29"/>
      <c r="E193" s="29"/>
    </row>
    <row r="194" spans="1:5" s="209" customFormat="1">
      <c r="A194" s="24" t="s">
        <v>778</v>
      </c>
      <c r="B194" s="29"/>
      <c r="C194" s="63"/>
      <c r="D194" s="29"/>
      <c r="E194" s="29"/>
    </row>
    <row r="195" spans="1:5" s="209" customFormat="1">
      <c r="A195" s="25" t="s">
        <v>748</v>
      </c>
      <c r="B195" s="26"/>
      <c r="C195" s="64"/>
      <c r="D195" s="26"/>
      <c r="E195" s="26"/>
    </row>
    <row r="196" spans="1:5">
      <c r="A196" s="31" t="s">
        <v>516</v>
      </c>
      <c r="B196" s="39">
        <f ca="1">B182+B184+B188+B189+B191+B192</f>
        <v>2089</v>
      </c>
      <c r="C196" s="125">
        <f ca="1">C182+C184+C188+C189+C191+C192</f>
        <v>2126</v>
      </c>
      <c r="D196" s="39"/>
      <c r="E196" s="39"/>
    </row>
    <row r="197" spans="1:5">
      <c r="A197" s="26" t="s">
        <v>517</v>
      </c>
      <c r="B197" s="126">
        <f ca="1">B183+B185+B186+B187+B$50</f>
        <v>1201</v>
      </c>
      <c r="C197" s="127">
        <f ca="1">C183+C185+C186+C187+C$50</f>
        <v>1207</v>
      </c>
      <c r="D197" s="126"/>
      <c r="E197" s="126"/>
    </row>
    <row r="198" spans="1:5">
      <c r="A198" s="152" t="s">
        <v>37</v>
      </c>
      <c r="B198" s="153">
        <f ca="1">MAX(MIN(B196/$M$3, 3.25)-$N$3, 0)</f>
        <v>2.9715504978662874</v>
      </c>
      <c r="C198" s="154">
        <f ca="1">MAX(MIN(C196/$M$3, 3.25)-$N$3, 0)</f>
        <v>3.0241820768136556</v>
      </c>
      <c r="D198" s="153"/>
      <c r="E198" s="153"/>
    </row>
    <row r="199" spans="1:5">
      <c r="A199" s="26" t="s">
        <v>672</v>
      </c>
      <c r="B199" s="155">
        <f ca="1">B198*1.25</f>
        <v>3.7144381223328593</v>
      </c>
      <c r="C199" s="156">
        <f ca="1">C198*1.25</f>
        <v>3.7802275960170695</v>
      </c>
      <c r="D199" s="155"/>
      <c r="E199" s="155"/>
    </row>
    <row r="200" spans="1:5">
      <c r="A200" t="s">
        <v>39</v>
      </c>
      <c r="B200" s="5">
        <f ca="1">((B197-($M$4+$N$4))/2)/100+75%</f>
        <v>0.66</v>
      </c>
      <c r="C200" s="130">
        <f ca="1">((C197-($M$4+$N$4))/2)/100+75%</f>
        <v>0.69</v>
      </c>
      <c r="D200" s="45"/>
      <c r="E200" s="5"/>
    </row>
    <row r="201" spans="1:5">
      <c r="A201" s="14" t="s">
        <v>38</v>
      </c>
      <c r="B201" s="28">
        <f ca="1">MAX(MIN(B200,95%), 20%)</f>
        <v>0.66</v>
      </c>
      <c r="C201" s="131">
        <f ca="1">MAX(MIN(C200,95%), 20%)</f>
        <v>0.69</v>
      </c>
      <c r="D201" s="28"/>
      <c r="E201" s="28"/>
    </row>
    <row r="202" spans="1:5">
      <c r="A202" s="119" t="s">
        <v>518</v>
      </c>
      <c r="B202" s="29">
        <f ca="1">$G$25</f>
        <v>99</v>
      </c>
      <c r="C202" s="63">
        <f ca="1">$H$25</f>
        <v>99</v>
      </c>
      <c r="D202" s="29"/>
      <c r="E202" s="29"/>
    </row>
    <row r="203" spans="1:5">
      <c r="A203" s="31" t="s">
        <v>520</v>
      </c>
      <c r="B203" s="35">
        <f ca="1">TRUNC(B202/9)</f>
        <v>11</v>
      </c>
      <c r="C203" s="67">
        <f ca="1">TRUNC(C202/9)</f>
        <v>11</v>
      </c>
      <c r="D203" s="35"/>
      <c r="E203" s="35"/>
    </row>
    <row r="204" spans="1:5">
      <c r="A204" s="31" t="s">
        <v>521</v>
      </c>
      <c r="B204" s="31">
        <f ca="1">IF(B202&gt;0, MAX(MIN(TRUNC((B$38+B$39)/2), (8+B203)*2), (0-B203)*2), 0)</f>
        <v>-5</v>
      </c>
      <c r="C204" s="63">
        <f ca="1">IF(C202&gt;0, MAX(MIN(TRUNC((C$38+C$39)/2), (8+C203)*2), (0-C203)*2), 0)</f>
        <v>3</v>
      </c>
      <c r="D204" s="31"/>
      <c r="E204" s="31"/>
    </row>
    <row r="205" spans="1:5">
      <c r="A205" s="26" t="s">
        <v>522</v>
      </c>
      <c r="B205" s="70">
        <f ca="1">B202+B204</f>
        <v>94</v>
      </c>
      <c r="C205" s="71">
        <f ca="1">C202+C204</f>
        <v>102</v>
      </c>
      <c r="D205" s="70"/>
      <c r="E205" s="70"/>
    </row>
    <row r="206" spans="1:5">
      <c r="A206" s="135" t="s">
        <v>288</v>
      </c>
      <c r="B206" s="66">
        <f ca="1">G26</f>
        <v>192</v>
      </c>
      <c r="C206" s="151">
        <f ca="1">H26</f>
        <v>192</v>
      </c>
      <c r="D206" s="66"/>
      <c r="E206" s="66"/>
    </row>
    <row r="207" spans="1:5">
      <c r="A207" s="24" t="s">
        <v>289</v>
      </c>
      <c r="B207" s="66">
        <f ca="1">IF(B206&gt;0, IF(B206&gt;175, TRUNC(B206*489/2000)+17, TRUNC((B206-12)*11/64)+32), 0)</f>
        <v>63</v>
      </c>
      <c r="C207" s="67">
        <f ca="1">IF(C206&gt;0, IF(C206&gt;175, TRUNC(C206*489/2000)+17, TRUNC((C206-12)*11/64)+32), 0)</f>
        <v>63</v>
      </c>
      <c r="D207" s="66"/>
      <c r="E207" s="66"/>
    </row>
    <row r="208" spans="1:5">
      <c r="A208" s="44" t="s">
        <v>13</v>
      </c>
      <c r="B208" s="66">
        <f ca="1">$B$18+$B$19+$C$18+HLOOKUP($A208, INDIRECT(B$31), MATCH("Total", Slots, 0)+1, 0)+IF(Setup!$J38=1, Setup!M38, 0)</f>
        <v>97</v>
      </c>
      <c r="C208" s="67">
        <f ca="1">$B$18+$B$19+$D$18+HLOOKUP($A208, INDIRECT(C$31), MATCH("Total", Slots, 0)+1, 0)+IF(Setup!$J38=1, Setup!N38, 0)</f>
        <v>107</v>
      </c>
      <c r="D208" s="66"/>
      <c r="E208" s="66"/>
    </row>
    <row r="209" spans="1:5">
      <c r="A209" s="14" t="s">
        <v>290</v>
      </c>
      <c r="B209" s="70">
        <f ca="1">TRUNC(B207*(1+B208/100))</f>
        <v>124</v>
      </c>
      <c r="C209" s="71">
        <f ca="1">TRUNC(C207*(1+C208/100))</f>
        <v>130</v>
      </c>
      <c r="D209" s="70"/>
      <c r="E209" s="70"/>
    </row>
    <row r="210" spans="1:5">
      <c r="A210" s="119" t="s">
        <v>673</v>
      </c>
      <c r="B210" s="68">
        <f ca="1">B36-$L$5</f>
        <v>15</v>
      </c>
      <c r="C210" s="88">
        <f ca="1">C36-$L$5</f>
        <v>-3</v>
      </c>
      <c r="D210" s="66"/>
      <c r="E210" s="66"/>
    </row>
    <row r="211" spans="1:5">
      <c r="A211" s="119" t="s">
        <v>114</v>
      </c>
      <c r="B211" s="43">
        <f ca="1">MAX(0, TRUNC(B210/10))/100 + 5%</f>
        <v>6.0000000000000005E-2</v>
      </c>
      <c r="C211" s="15">
        <f ca="1">MAX(0, TRUNC(C210/10))/100 + 5%</f>
        <v>0.05</v>
      </c>
      <c r="D211" s="66"/>
      <c r="E211" s="66"/>
    </row>
    <row r="212" spans="1:5">
      <c r="A212" s="119" t="s">
        <v>674</v>
      </c>
      <c r="B212" s="95">
        <f>IF(Setup!$F31=1, VLOOKUP("C.Rate", Ionis, 2, 0), 0)</f>
        <v>0.02</v>
      </c>
      <c r="C212" s="157">
        <f>IF(Setup!$G31=1, VLOOKUP("C.Rate", Ionis, 2, 0), 0)</f>
        <v>0.02</v>
      </c>
      <c r="D212" s="66"/>
      <c r="E212" s="66"/>
    </row>
    <row r="213" spans="1:5">
      <c r="A213" s="135" t="s">
        <v>437</v>
      </c>
      <c r="B213" s="95">
        <f>IF(Setup!J37=1, Setup!M37, 0)</f>
        <v>0</v>
      </c>
      <c r="C213" s="157">
        <f>IF(Setup!K37=1, Setup!N37, 0)</f>
        <v>0</v>
      </c>
      <c r="D213" s="66"/>
      <c r="E213" s="66"/>
    </row>
    <row r="214" spans="1:5">
      <c r="A214" s="135" t="s">
        <v>127</v>
      </c>
      <c r="B214" s="95">
        <f ca="1">HLOOKUP($A214, INDIRECT(B$31), MATCH("Total", Slots, 0)+1, 0)</f>
        <v>0.13</v>
      </c>
      <c r="C214" s="157">
        <f ca="1">HLOOKUP($A214, INDIRECT(C$31), MATCH("Total", Slots, 0)+1, 0)</f>
        <v>0.13</v>
      </c>
      <c r="D214" s="66"/>
      <c r="E214" s="66"/>
    </row>
    <row r="215" spans="1:5">
      <c r="A215" s="150" t="s">
        <v>675</v>
      </c>
      <c r="B215" s="86">
        <f ca="1">B211+B212+B213+B214+$B16+C16</f>
        <v>0.21000000000000002</v>
      </c>
      <c r="C215" s="87">
        <f ca="1">C211+C212+C213+C214+$B16+D16</f>
        <v>0.2</v>
      </c>
      <c r="D215" s="70"/>
      <c r="E215" s="70"/>
    </row>
    <row r="216" spans="1:5">
      <c r="A216" s="44"/>
      <c r="B216" s="66"/>
      <c r="C216" s="66"/>
      <c r="D216" s="66"/>
      <c r="E216" s="66"/>
    </row>
    <row r="217" spans="1:5">
      <c r="A217" s="29"/>
      <c r="B217" s="66"/>
      <c r="C217" s="66"/>
      <c r="D217" s="66"/>
      <c r="E217" s="66"/>
    </row>
    <row r="219" spans="1:5">
      <c r="A219" s="27" t="s">
        <v>523</v>
      </c>
      <c r="B219" s="65"/>
      <c r="C219" s="65"/>
      <c r="D219" s="65"/>
      <c r="E219" s="65"/>
    </row>
    <row r="220" spans="1:5">
      <c r="A220" t="s">
        <v>12</v>
      </c>
      <c r="B220" s="2">
        <f ca="1">MIN(MAX($B$13+$C$13+HLOOKUP($A220, INDIRECT(B$31), MATCH("Total", Slots, 0)+1, 0) + IF(Setup!$J36=1, Setup!$M36, 0), 0), 100%)</f>
        <v>0.32</v>
      </c>
      <c r="C220" s="110">
        <f ca="1">MIN(MAX($B$13+$D$13+HLOOKUP($A220, INDIRECT(C$31), MATCH("Total", Slots, 0)+1, 0) + IF(Setup!$K36=1, Setup!$N36, 0), 0), 100%)</f>
        <v>0.32</v>
      </c>
      <c r="D220" s="2">
        <f ca="1">MIN(MAX($B$13+$C$13+HLOOKUP($A220, INDIRECT(D$31), MATCH("Total", Slots, 0)+1, 0) + IF(Setup!$J36=1, Setup!$M36, 0), 0), 100%)</f>
        <v>0.13</v>
      </c>
      <c r="E220" s="2">
        <f ca="1">MIN(MAX($B$13+$D$13+HLOOKUP($A220, INDIRECT(E$31), MATCH("Total", Slots, 0)+1, 0) + IF(Setup!$K36=1, Setup!$N36, 0), 0), 100%)</f>
        <v>0.29000000000000004</v>
      </c>
    </row>
    <row r="221" spans="1:5">
      <c r="A221" s="44" t="s">
        <v>164</v>
      </c>
      <c r="B221" s="43">
        <f ca="1">$B$14+$C$14+HLOOKUP($A221, INDIRECT(B$31), MATCH("Total", Slots, 0)+1, 0)</f>
        <v>0.35000000000000003</v>
      </c>
      <c r="C221" s="15">
        <f ca="1">$B$14+$D$14+HLOOKUP($A221, INDIRECT(C$31), MATCH("Total", Slots, 0)+1, 0)</f>
        <v>0.27</v>
      </c>
      <c r="D221" s="43">
        <f ca="1">$B$14+$C$14+HLOOKUP($A221, INDIRECT(D$31), MATCH("Total", Slots, 0)+1, 0)</f>
        <v>0.13999999999999999</v>
      </c>
      <c r="E221" s="43">
        <f ca="1">$B$14+$D$14+HLOOKUP($A221, INDIRECT(E$31), MATCH("Total", Slots, 0)+1, 0)</f>
        <v>0.18</v>
      </c>
    </row>
    <row r="222" spans="1:5">
      <c r="A222" s="24" t="s">
        <v>360</v>
      </c>
      <c r="B222" s="43">
        <f ca="1">HLOOKUP($A222, INDIRECT(B$31), MATCH("Total", Slots, 0)+1, 0)</f>
        <v>0.02</v>
      </c>
      <c r="C222" s="15">
        <f ca="1">HLOOKUP($A222, INDIRECT(C$31), MATCH("Total", Slots, 0)+1, 0)</f>
        <v>0.02</v>
      </c>
      <c r="D222" s="43">
        <f ca="1">HLOOKUP($A222, INDIRECT(D$31), MATCH("Total", Slots, 0)+1, 0)</f>
        <v>0</v>
      </c>
      <c r="E222" s="43">
        <f ca="1">HLOOKUP($A222, INDIRECT(E$31), MATCH("Total", Slots, 0)+1, 0)</f>
        <v>0</v>
      </c>
    </row>
    <row r="223" spans="1:5">
      <c r="A223" s="24" t="s">
        <v>654</v>
      </c>
      <c r="B223" s="43">
        <f ca="1">IF(AND(Setup!B14&gt;0, Setup!F6=1), 100%, $B$22 + HLOOKUP($A223, INDIRECT(B$31), MATCH("Total", Slots, 0)+1, 0))</f>
        <v>0.4</v>
      </c>
      <c r="C223" s="15">
        <f ca="1">IF(AND(Setup!B14&gt;0, Setup!G6=1), 100%, $B$22 + HLOOKUP($A223, INDIRECT(C$31), MATCH("Total", Slots, 0)+1, 0))</f>
        <v>0.4</v>
      </c>
      <c r="D223" s="43">
        <v>0</v>
      </c>
      <c r="E223" s="43">
        <v>0</v>
      </c>
    </row>
    <row r="224" spans="1:5">
      <c r="A224" s="25" t="s">
        <v>286</v>
      </c>
      <c r="B224" s="86">
        <f>IF(COUNTIF(Gear!B5:B17, "Iga +2")=5, 10%, IF(COUNTIF(Gear!B5:B17, "Iga +2")=4, 7%, IF(COUNTIF(Gear!B5:B17, "Iga +2")=3, 4%, IF(COUNTIF(Gear!B5:B17, "Iga +2")=2, 2%, 0))))</f>
        <v>0</v>
      </c>
      <c r="C224" s="87">
        <f>IF(COUNTIF(Gear!Z5:Z17, "Iga +2")=5, 10%, IF(COUNTIF(Gear!Z5:Z17, "Iga +2")=4, 7%, IF(COUNTIF(Gear!Z5:Z17, "Iga +2")=3, 4%, IF(COUNTIF(Gear!Z5:Z17, "Iga +2")=2, 2%, 0))))</f>
        <v>0</v>
      </c>
      <c r="D224" s="86">
        <v>0</v>
      </c>
      <c r="E224" s="86">
        <v>0</v>
      </c>
    </row>
    <row r="225" spans="1:5">
      <c r="A225" s="24" t="s">
        <v>131</v>
      </c>
      <c r="B225" s="43">
        <f ca="1">$K$19+HLOOKUP($A225, INDIRECT(B$31), MATCH("Total", Slots, 0)+1, 0)</f>
        <v>0.35</v>
      </c>
      <c r="C225" s="15">
        <f ca="1">$L$19+HLOOKUP($A225, INDIRECT(C$31), MATCH("Total", Slots, 0)+1, 0)</f>
        <v>0.35</v>
      </c>
      <c r="D225" s="43">
        <f ca="1">$K$19+HLOOKUP($A225, INDIRECT(D$31), MATCH("Total", Slots, 0)+1, 0)</f>
        <v>0.35</v>
      </c>
      <c r="E225" s="43">
        <f ca="1">$L$19+HLOOKUP($A225, INDIRECT(E$31), MATCH("Total", Slots, 0)+1, 0)</f>
        <v>0.39999999999999997</v>
      </c>
    </row>
    <row r="226" spans="1:5">
      <c r="A226" s="24" t="s">
        <v>287</v>
      </c>
      <c r="B226" s="68">
        <f ca="1">FLOOR(($G15+$G21)*(100%-B225), 1)</f>
        <v>227</v>
      </c>
      <c r="C226" s="58">
        <f ca="1">FLOOR(($H15+$H21)*(100%-C225), 1)</f>
        <v>295</v>
      </c>
      <c r="D226" s="68">
        <f ca="1">FLOOR(($G15+$G21)*(100%-D225), 1)</f>
        <v>227</v>
      </c>
      <c r="E226" s="68">
        <f ca="1">FLOOR(($H15+$H21)*(100%-E225), 1)</f>
        <v>272</v>
      </c>
    </row>
    <row r="227" spans="1:5">
      <c r="A227" s="24" t="s">
        <v>288</v>
      </c>
      <c r="B227" s="68">
        <f ca="1">FLOOR(B226/2,1)</f>
        <v>113</v>
      </c>
      <c r="C227" s="58">
        <f ca="1">FLOOR(C226/2,1)</f>
        <v>147</v>
      </c>
      <c r="D227" s="68">
        <f ca="1">FLOOR(D226/2,1)</f>
        <v>113</v>
      </c>
      <c r="E227" s="68">
        <f ca="1">FLOOR(E226/2,1)</f>
        <v>136</v>
      </c>
    </row>
    <row r="228" spans="1:5">
      <c r="A228" s="24" t="s">
        <v>289</v>
      </c>
      <c r="B228" s="66">
        <f ca="1">IF(B227&gt;175, TRUNC(B227*489/2000)+17, TRUNC((B227-12)*11/64)+32)</f>
        <v>49</v>
      </c>
      <c r="C228" s="67">
        <f t="shared" ref="C228:E228" ca="1" si="8">IF(C227&gt;175, TRUNC(C227*489/2000)+17, TRUNC((C227-12)*11/64)+32)</f>
        <v>55</v>
      </c>
      <c r="D228" s="66">
        <f t="shared" ca="1" si="8"/>
        <v>49</v>
      </c>
      <c r="E228" s="66">
        <f t="shared" ca="1" si="8"/>
        <v>53</v>
      </c>
    </row>
    <row r="229" spans="1:5">
      <c r="A229" s="44" t="s">
        <v>13</v>
      </c>
      <c r="B229" s="66">
        <f ca="1">$B$18+$B$19+$C$18+HLOOKUP($A229, INDIRECT(B$31), MATCH("Total", Slots, 0)+1, 0)+IF(Setup!$J38=1, Setup!M38, 0)</f>
        <v>97</v>
      </c>
      <c r="C229" s="67">
        <f ca="1">$B$18+$B$19+$D$18+HLOOKUP($A229, INDIRECT(C$31), MATCH("Total", Slots, 0)+1, 0)+IF(Setup!$K38=1, Setup!N38, 0)</f>
        <v>107</v>
      </c>
      <c r="D229" s="66">
        <f ca="1">$B$18+$B$19+$C$18+HLOOKUP($A229, INDIRECT(D$31), MATCH("Total", Slots, 0)+1, 0)+IF(Setup!$J38=1, Setup!M38, 0)</f>
        <v>70</v>
      </c>
      <c r="E229" s="66">
        <f ca="1">$B$18+$B$19+$D$18+HLOOKUP($A229, INDIRECT(E$31), MATCH("Total", Slots, 0)+1, 0)+IF(Setup!$K38=1, Setup!N38, 0)</f>
        <v>93</v>
      </c>
    </row>
    <row r="230" spans="1:5">
      <c r="A230" s="14" t="s">
        <v>290</v>
      </c>
      <c r="B230" s="70">
        <f ca="1">TRUNC(B228*(1+B229/100))</f>
        <v>96</v>
      </c>
      <c r="C230" s="71">
        <f t="shared" ref="C230:E230" ca="1" si="9">TRUNC(C228*(1+C229/100))</f>
        <v>113</v>
      </c>
      <c r="D230" s="70">
        <f t="shared" ca="1" si="9"/>
        <v>83</v>
      </c>
      <c r="E230" s="70">
        <f t="shared" ca="1" si="9"/>
        <v>102</v>
      </c>
    </row>
    <row r="231" spans="1:5">
      <c r="A231" s="24" t="s">
        <v>303</v>
      </c>
      <c r="B231" s="68">
        <f ca="1">B35-$L$5</f>
        <v>76</v>
      </c>
      <c r="C231" s="88">
        <f ca="1">C35-$L$5</f>
        <v>98</v>
      </c>
      <c r="D231" s="68">
        <f ca="1">D35-$L$5</f>
        <v>104</v>
      </c>
      <c r="E231" s="68">
        <f ca="1">E35-$L$5</f>
        <v>142</v>
      </c>
    </row>
    <row r="232" spans="1:5">
      <c r="A232" t="s">
        <v>68</v>
      </c>
      <c r="B232" s="12">
        <f ca="1">IF(B231&gt;50, 15%, IF(B231&gt;39,5%+(B231-40)/100,IF(B231&gt;29,4%,IF(B231&gt;19,3%,IF(B231&gt;13,2%,IF(B231&gt;6,1%,0))))))+5%</f>
        <v>0.2</v>
      </c>
      <c r="C232" s="72">
        <f ca="1">IF(C231&gt;50, 15%, IF(C231&gt;39,5%+(C231-40)/100,IF(C231&gt;29,4%,IF(C231&gt;19,3%,IF(C231&gt;13,2%,IF(C231&gt;6,1%,0))))))+5%</f>
        <v>0.2</v>
      </c>
      <c r="D232" s="12">
        <f ca="1">IF(D231&gt;50, 15%, IF(D231&gt;39,5%+(D231-40)/100,IF(D231&gt;29,4%,IF(D231&gt;19,3%,IF(D231&gt;13,2%,IF(D231&gt;6,1%,0))))))+5%</f>
        <v>0.2</v>
      </c>
      <c r="E232" s="12">
        <f ca="1">IF(E231&gt;50, 15%, IF(E231&gt;39,5%+(E231-40)/100,IF(E231&gt;29,4%,IF(E231&gt;19,3%,IF(E231&gt;13,2%,IF(E231&gt;6,1%,0))))))+5%</f>
        <v>0.2</v>
      </c>
    </row>
    <row r="233" spans="1:5">
      <c r="A233" s="31" t="s">
        <v>547</v>
      </c>
      <c r="B233" s="12">
        <f>IF(Setup!$F31=1, VLOOKUP("C.Rate", Ionis, 2, 0), 0)</f>
        <v>0.02</v>
      </c>
      <c r="C233" s="72">
        <f>IF(Setup!$G31=1, VLOOKUP("C.Rate", Ionis, 2, 0), 0)</f>
        <v>0.02</v>
      </c>
      <c r="D233" s="12">
        <f>IF(Setup!$F31=1, VLOOKUP("C.Rate", Ionis, 2, 0), 0)</f>
        <v>0.02</v>
      </c>
      <c r="E233" s="12">
        <f>IF(Setup!$G31=1, VLOOKUP("C.Rate", Ionis, 2, 0), 0)</f>
        <v>0.02</v>
      </c>
    </row>
    <row r="234" spans="1:5">
      <c r="A234" t="s">
        <v>127</v>
      </c>
      <c r="B234" s="2">
        <f ca="1">MAX(MIN(B232+B233+Setup!$B$13+$B$16+$C$16+HLOOKUP($A234, INDIRECT(B$31), MATCH("Total", Slots, 0)+1, 0)-HLOOKUP($A234, INDIRECT(B$31), 3, 0) + IF(Setup!J37=1, Setup!M37, 0), 100%), 0)</f>
        <v>0.4</v>
      </c>
      <c r="C234" s="15">
        <f ca="1">MAX(MIN(C232+C233+Setup!$C$13+$B$16+$D$16+HLOOKUP($A234, INDIRECT(C$31), MATCH("Total", Slots, 0)+1, 0)-HLOOKUP($A234, INDIRECT(C$31), 3, 0) + IF(Setup!K37=1, Setup!N37, 0), 100%), 0)</f>
        <v>0.4</v>
      </c>
      <c r="D234" s="2">
        <f ca="1">MAX(MIN(D232+D233+Setup!$B$13+$B$16+$C$16+HLOOKUP($A234, INDIRECT(D$31), MATCH("Total", Slots, 0)+1, 0)-HLOOKUP($A234, INDIRECT(D$31), 3, 0) + IF(Setup!J37=1, Setup!M37, 0), 100%), 0)</f>
        <v>0.52</v>
      </c>
      <c r="E234" s="2">
        <f ca="1">MAX(MIN(E232+E233+Setup!$C$13+$B$16+$D$16+HLOOKUP($A234, INDIRECT(E$31), MATCH("Total", Slots, 0)+1, 0)-HLOOKUP($A234, INDIRECT(E$31), 3, 0) + IF(Setup!K37=1, Setup!N37, 0), 100%), 0)</f>
        <v>0.30000000000000004</v>
      </c>
    </row>
    <row r="235" spans="1:5">
      <c r="A235" t="s">
        <v>320</v>
      </c>
      <c r="B235" s="2">
        <f ca="1">MAX(MIN(B232+Setup!$B$13+$B$16+$C$16+HLOOKUP($A234, INDIRECT(B$31), MATCH("Total", Slots, 0)+1, 0)-HLOOKUP($A234, INDIRECT(B$31), 2, 0) + IF(Setup!J37=1, Setup!M37, 0), 100%), 0)</f>
        <v>0.38</v>
      </c>
      <c r="C235" s="15">
        <f ca="1">MAX(MIN(C232+Setup!$C$13+$B$16+$D$16+HLOOKUP($A234, INDIRECT(C$31), MATCH("Total", Slots, 0)+1, 0)-HLOOKUP($A234, INDIRECT(C$31), 2, 0) + IF(Setup!K37=1, Setup!N37, 0), 100%), 0)</f>
        <v>0.38</v>
      </c>
      <c r="D235" s="2">
        <f ca="1">MAX(MIN(D232+Setup!$B$13+$B$16+$C$16+HLOOKUP($A234, INDIRECT(D$31), MATCH("Total", Slots, 0)+1, 0)-HLOOKUP($A234, INDIRECT(D$31), 2, 0) + IF(Setup!J37=1, Setup!M37, 0), 100%), 0)</f>
        <v>0.5</v>
      </c>
      <c r="E235" s="2">
        <f ca="1">MAX(MIN(E232+Setup!$C$13+$B$16+$D$16+HLOOKUP($A234, INDIRECT(E$31), MATCH("Total", Slots, 0)+1, 0)-HLOOKUP($A234, INDIRECT(E$31), 2, 0) + IF(Setup!K37=1, Setup!N37, 0), 100%), 0)</f>
        <v>0.28000000000000003</v>
      </c>
    </row>
    <row r="236" spans="1:5">
      <c r="A236" t="s">
        <v>304</v>
      </c>
      <c r="B236" s="12">
        <f>IF(AND(Setup!$F4=1, Setup!$F5=0), 20%, 0)</f>
        <v>0.2</v>
      </c>
      <c r="C236" s="72">
        <f>IF(AND(Setup!$G4=1, Setup!$G5=0), 20%, 0)</f>
        <v>0.2</v>
      </c>
      <c r="D236" s="12">
        <f>IF(AND(Setup!$F4=1, Setup!$F5=0), 20%, 0)</f>
        <v>0.2</v>
      </c>
      <c r="E236" s="12">
        <f>IF(AND(Setup!$G4=1, Setup!$G5=0), 20%, 0)</f>
        <v>0.2</v>
      </c>
    </row>
    <row r="237" spans="1:5">
      <c r="A237" t="s">
        <v>291</v>
      </c>
      <c r="B237" s="2">
        <f ca="1">MAX(MIN(B234+B236 + $L$8, 100%), 1%)</f>
        <v>0.60000000000000009</v>
      </c>
      <c r="C237" s="15">
        <f ca="1">MAX(MIN(C234+C236 + $L$8, 100%), 1%)</f>
        <v>0.60000000000000009</v>
      </c>
      <c r="D237" s="2">
        <f ca="1">MIN(D234+D236 + $L$8, 100%)</f>
        <v>0.72</v>
      </c>
      <c r="E237" s="2">
        <f ca="1">MIN(E234+E236 + $L$8, 100%)</f>
        <v>0.5</v>
      </c>
    </row>
    <row r="238" spans="1:5">
      <c r="A238" t="s">
        <v>321</v>
      </c>
      <c r="B238" s="2">
        <f ca="1">MAX(MIN(B235+B236 + $L$8, 100%), 1%)</f>
        <v>0.58000000000000007</v>
      </c>
      <c r="C238" s="15">
        <f ca="1">MAX(MIN(C235+C236 + $L$8, 100%), 1%)</f>
        <v>0.58000000000000007</v>
      </c>
      <c r="D238" s="2">
        <f ca="1">MIN(D235+D236 + $L$8, 100%)</f>
        <v>0.7</v>
      </c>
      <c r="E238" s="2">
        <f ca="1">MIN(E235+E236 + $L$8, 100%)</f>
        <v>0.48000000000000004</v>
      </c>
    </row>
    <row r="239" spans="1:5">
      <c r="A239" s="44" t="s">
        <v>126</v>
      </c>
      <c r="B239" s="43">
        <f ca="1">MAX(MIN($B$17+$C$17 + HLOOKUP($A239, INDIRECT(B$31), MATCH("Total", Slots, 0)+1, 0) - $L$7, 100%), -100%)</f>
        <v>0</v>
      </c>
      <c r="C239" s="15">
        <f ca="1">MAX(MIN($B$17+$D$17 + HLOOKUP($A239, INDIRECT(C$31), MATCH("Total", Slots, 0)+1, 0) - $L$7, 100%), -100%)</f>
        <v>0</v>
      </c>
      <c r="D239" s="43">
        <f ca="1">MAX(MIN($B$17+$C$17 + HLOOKUP($A239, INDIRECT(D$31), MATCH("Total", Slots, 0)+1, 0) - $L$7, 100%), -100%)</f>
        <v>0.26</v>
      </c>
      <c r="E239" s="43">
        <f ca="1">MAX(MIN($B$17+$D$17 + HLOOKUP($A239, INDIRECT(E$31), MATCH("Total", Slots, 0)+1, 0) - $L$7, 100%), -100%)</f>
        <v>0</v>
      </c>
    </row>
    <row r="240" spans="1:5">
      <c r="A240" s="25" t="s">
        <v>292</v>
      </c>
      <c r="B240" s="86">
        <f ca="1">100%+B239</f>
        <v>1</v>
      </c>
      <c r="C240" s="87">
        <f ca="1">100%+C239</f>
        <v>1</v>
      </c>
      <c r="D240" s="86">
        <f ca="1">100%+D239</f>
        <v>1.26</v>
      </c>
      <c r="E240" s="86">
        <f ca="1">100%+E239</f>
        <v>1</v>
      </c>
    </row>
    <row r="242" spans="1:5">
      <c r="A242" s="14" t="s">
        <v>28</v>
      </c>
      <c r="B242" s="27" t="s">
        <v>267</v>
      </c>
      <c r="C242" s="27" t="s">
        <v>268</v>
      </c>
      <c r="D242" s="55" t="s">
        <v>269</v>
      </c>
      <c r="E242" s="27" t="s">
        <v>270</v>
      </c>
    </row>
    <row r="243" spans="1:5">
      <c r="A243" s="24" t="s">
        <v>465</v>
      </c>
      <c r="B243" s="111">
        <f>TRUNC(MAX(0, Setup!J11-300)/10) + 20</f>
        <v>35</v>
      </c>
      <c r="C243" s="111">
        <f>TRUNC(MAX(0, Setup!K11-300)/10) + 20</f>
        <v>35</v>
      </c>
      <c r="D243" s="112"/>
      <c r="E243" s="111"/>
    </row>
    <row r="244" spans="1:5">
      <c r="A244" s="24" t="s">
        <v>466</v>
      </c>
      <c r="B244" s="111">
        <f>IF(Setup!J15&lt;150, MAX(1, TRUNC(SQRT(Setup!J15))-1), TRUNC(Setup!J15/20)+5)</f>
        <v>28</v>
      </c>
      <c r="C244" s="111">
        <f>IF(Setup!K15&lt;150, MAX(1, TRUNC(SQRT(Setup!K15))-1), TRUNC(Setup!K15/20)+5)</f>
        <v>28</v>
      </c>
      <c r="D244" s="112"/>
      <c r="E244" s="111"/>
    </row>
    <row r="245" spans="1:5">
      <c r="A245" s="24" t="s">
        <v>467</v>
      </c>
      <c r="B245" s="111">
        <f ca="1">IF(G16&gt;0, G16, IF(Setup!J$12=1, B$243, IF(Setup!J$17=1, B$244, 0)))</f>
        <v>0</v>
      </c>
      <c r="C245" s="111">
        <f ca="1">IF(H16&gt;0, H16, IF(Setup!K$12=1, C$243, IF(Setup!K$17=1, C$244, 0)))</f>
        <v>0</v>
      </c>
      <c r="D245" s="112"/>
      <c r="E245" s="111"/>
    </row>
    <row r="246" spans="1:5">
      <c r="A246" s="14" t="s">
        <v>468</v>
      </c>
      <c r="B246" s="113">
        <f ca="1">IF(G22&gt;0, G22, IF(Setup!J$12=1, B$243, IF(Setup!J$17=1, B$244, 0)))</f>
        <v>0</v>
      </c>
      <c r="C246" s="115">
        <f ca="1">IF(H22&gt;0, H22, IF(Setup!K$12=1, C$243, IF(Setup!K$17=1, C$244, 0)))</f>
        <v>0</v>
      </c>
      <c r="D246" s="114"/>
      <c r="E246" s="113"/>
    </row>
    <row r="247" spans="1:5">
      <c r="A247" s="24" t="s">
        <v>132</v>
      </c>
      <c r="B247" s="6">
        <f ca="1">B112*(B90*(100%-B237)+B106*B237*B240)</f>
        <v>371.85633940852961</v>
      </c>
      <c r="C247" s="6">
        <f ca="1">C112*(C90*(100%-C237)+C106*C237*C240)</f>
        <v>613.0200000000001</v>
      </c>
      <c r="D247" s="73"/>
      <c r="E247" s="74"/>
    </row>
    <row r="248" spans="1:5">
      <c r="A248" s="24" t="s">
        <v>133</v>
      </c>
      <c r="B248" s="6">
        <f ca="1">B173*(B151*(100%-B238)+B167*B238*B240)</f>
        <v>355.2523634534175</v>
      </c>
      <c r="C248" s="6">
        <f ca="1">C173*(C151*(100%-C238)+C167*C238*C240)</f>
        <v>497.1189111355722</v>
      </c>
      <c r="D248" s="73"/>
      <c r="E248" s="74"/>
    </row>
    <row r="249" spans="1:5">
      <c r="A249" s="119" t="s">
        <v>671</v>
      </c>
      <c r="B249" s="6">
        <f ca="1">B205*B198*(1-B215) + B205*B199*B215*B240</f>
        <v>293.99034850640118</v>
      </c>
      <c r="C249" s="6">
        <f ca="1">C205*C198*(1-C215) + C205*C199*C215*C240</f>
        <v>323.88990042674254</v>
      </c>
      <c r="D249" s="73"/>
      <c r="E249" s="74"/>
    </row>
    <row r="250" spans="1:5">
      <c r="A250" t="s">
        <v>305</v>
      </c>
      <c r="B250" s="6">
        <f ca="1">AvgHitsPerHand1Set1</f>
        <v>2.1943416</v>
      </c>
      <c r="C250" s="6">
        <f ca="1">AvgHitsPerHand1Set2</f>
        <v>2.0759467199999997</v>
      </c>
      <c r="D250" s="75"/>
    </row>
    <row r="251" spans="1:5">
      <c r="A251" t="s">
        <v>306</v>
      </c>
      <c r="B251" s="6">
        <f ca="1">AvgHitsPerHand2Set1</f>
        <v>1.9303416</v>
      </c>
      <c r="C251" s="6">
        <f ca="1">AvgHitsPerHand2Set2</f>
        <v>1.7999467200000001</v>
      </c>
      <c r="D251" s="75"/>
    </row>
    <row r="252" spans="1:5">
      <c r="A252" s="31" t="s">
        <v>677</v>
      </c>
      <c r="B252" s="6">
        <f ca="1">B223*B201</f>
        <v>0.26400000000000001</v>
      </c>
      <c r="C252" s="6">
        <f ca="1">C223*C201</f>
        <v>0.27599999999999997</v>
      </c>
      <c r="D252" s="75"/>
    </row>
    <row r="253" spans="1:5">
      <c r="A253" s="31" t="s">
        <v>556</v>
      </c>
      <c r="B253" s="35">
        <f>IF(LEFT(Gear!$B3,6)="Kikoku", IF(ISERROR(VALUE(RIGHT(Gear!$B3,3))), 0, VALUE(RIGHT(Gear!$B3,3))), 0)</f>
        <v>0</v>
      </c>
      <c r="C253" s="35">
        <f>IF(LEFT(Gear!$Z3,6)="Kikoku", IF(ISERROR(VALUE(RIGHT(Gear!$Z3,3))), 0, VALUE(RIGHT(Gear!$Z3,3))), 0)</f>
        <v>0</v>
      </c>
      <c r="D253" s="75"/>
    </row>
    <row r="254" spans="1:5">
      <c r="A254" s="31" t="s">
        <v>557</v>
      </c>
      <c r="B254" s="6">
        <f ca="1">IF(B253&gt;0, IF(B253&lt;95, 5%, IF(B253&gt;119, 16%, 12%)), 0) * B247 * B108 * 2</f>
        <v>0</v>
      </c>
      <c r="C254" s="6">
        <f ca="1">IF(C253&gt;0, IF(C253&lt;95, 5%, IF(C253&gt;119, 16%, 12%)), 0) * C247 * C108 * 2</f>
        <v>0</v>
      </c>
      <c r="D254" s="75"/>
    </row>
    <row r="255" spans="1:5">
      <c r="A255" s="31" t="s">
        <v>766</v>
      </c>
      <c r="B255" s="6">
        <f>IF(LEFT(Gear!$B3,7)="Kannagi", IF(RIGHT(Gear!$B3,3)="121", (G17*B250*B247)*2, (G17*B250*B247)), 0)</f>
        <v>0</v>
      </c>
      <c r="C255" s="6">
        <f>IF(LEFT(Gear!$Z3,7)="Kannagi", IF(RIGHT(Gear!$Z3,3)="121", (H17*C250*C247)*2, (H17*C250*C247)), 0)</f>
        <v>0</v>
      </c>
      <c r="D255" s="75"/>
    </row>
    <row r="256" spans="1:5">
      <c r="A256" s="31" t="s">
        <v>558</v>
      </c>
      <c r="B256" s="6">
        <f ca="1">(1-B222)*(1-B221)*B220*B108*2</f>
        <v>0.40360319999999994</v>
      </c>
      <c r="C256" s="6">
        <f ca="1">(1-C222)*(1-C221)*C220*C108*2</f>
        <v>0.45327743999999998</v>
      </c>
      <c r="D256" s="75"/>
    </row>
    <row r="257" spans="1:5">
      <c r="A257" s="31" t="s">
        <v>559</v>
      </c>
      <c r="B257" s="6">
        <f ca="1">IF(B115&gt;0, (1-B222)*(1-B221)*B220*B169*2, 0)</f>
        <v>0.38729599999999992</v>
      </c>
      <c r="C257" s="6">
        <f ca="1">IF(C115&gt;0, (1-C222)*(1-C221)*C220*C169*2, 0)</f>
        <v>0.43496319999999994</v>
      </c>
      <c r="D257" s="75"/>
    </row>
    <row r="258" spans="1:5">
      <c r="A258" s="31" t="s">
        <v>560</v>
      </c>
      <c r="B258" s="6">
        <f>IF(Gear!B17="Quiahuiz", 5% * (B247*B256 + B248*B257), 0)</f>
        <v>0</v>
      </c>
      <c r="C258" s="6">
        <f>IF(Gear!Z17="Quiahuiz", 5% * (C247*C256 + C248*C257), 0)</f>
        <v>0</v>
      </c>
      <c r="D258" s="75"/>
    </row>
    <row r="259" spans="1:5">
      <c r="A259" s="27" t="s">
        <v>293</v>
      </c>
      <c r="B259" s="76">
        <f ca="1">(B250*(B247+B245)) + (B251*(B248+B246)) + B249*B252 + B254 + B255 + B258</f>
        <v>1579.3517024659973</v>
      </c>
      <c r="C259" s="76">
        <f ca="1">(C250*(C247+C245)) + (C251*(C248+C246)) + C249*C252 + C254 + C255 + C258</f>
        <v>2256.7780243606257</v>
      </c>
      <c r="D259" s="77"/>
      <c r="E259" s="14"/>
    </row>
    <row r="260" spans="1:5">
      <c r="A260" t="s">
        <v>155</v>
      </c>
      <c r="B260" s="2">
        <f>MIN(IF(Setup!J$4=1, IF(Setup!$I$4="Haste",150, IF(Setup!$I$4="Haste II", 307, 0)), 0) + (IF(Setup!J$25=1, 96 + 16 * Setup!M25, 0) + IF(Setup!J$26=1, 64 + 16 * Setup!M25, 0)) * IF(Setup!J24=1, 2, 1) + IF(Setup!J16=1, TRUNC(((Setup!J15/15)/100)*1024), 0), 448) / 1024</f>
        <v>0.4375</v>
      </c>
      <c r="C260" s="2">
        <f>MIN(IF(Setup!K$4=1, IF(Setup!$I$4="Haste",150, IF(Setup!$I$4="Haste II", 307, 0)), 0) + (IF(Setup!K$25=1, 96 + 16 * Setup!N25, 0) + IF(Setup!K$26=1, 64 + 16 * Setup!N25, 0)) * IF(Setup!K24=1, 2, 1) + IF(Setup!K16=1, TRUNC(((Setup!K15/15)/100)*1024), 0), 448) / 1024</f>
        <v>0.4375</v>
      </c>
      <c r="D260" s="75"/>
    </row>
    <row r="261" spans="1:5">
      <c r="A261" t="s">
        <v>156</v>
      </c>
      <c r="B261" s="12">
        <f>IF(AND(Setup!F11=1, $D$1="Dnc"), 50, IF(Setup!J21=1, 100, 0)) / 1024</f>
        <v>0</v>
      </c>
      <c r="C261" s="12">
        <f>IF(AND(Setup!G11=1, $D$1="Dnc"), 50, IF(Setup!K21=1, 100, 0)) / 1024</f>
        <v>0</v>
      </c>
      <c r="D261" s="75"/>
    </row>
    <row r="262" spans="1:5">
      <c r="A262" t="s">
        <v>67</v>
      </c>
      <c r="B262" s="2">
        <f ca="1">MIN(HLOOKUP("Haste", INDIRECT(B$31), MATCH("Total", Slots, 0)+1, 0) + IF(Setup!$F31=1, VLOOKUP("Haste", Ionis, 2, 0), 0)/1024, 25%)</f>
        <v>0.25</v>
      </c>
      <c r="C262" s="2">
        <f ca="1">MIN(HLOOKUP("Haste", INDIRECT(C$31), MATCH("Total", Slots, 0)+1, 0) + IF(Setup!$G31=1, VLOOKUP("Haste", Ionis, 2, 0), 0)/1024, 25%)</f>
        <v>0.25</v>
      </c>
      <c r="D262" s="75"/>
    </row>
    <row r="263" spans="1:5">
      <c r="A263" t="s">
        <v>41</v>
      </c>
      <c r="B263" s="2">
        <f ca="1">B260+B261+B262</f>
        <v>0.6875</v>
      </c>
      <c r="C263" s="2">
        <f ca="1">C260+C261+C262</f>
        <v>0.6875</v>
      </c>
      <c r="D263" s="75"/>
    </row>
    <row r="264" spans="1:5">
      <c r="A264" t="s">
        <v>294</v>
      </c>
      <c r="B264" s="13">
        <f ca="1">B226*(1-B263)</f>
        <v>70.9375</v>
      </c>
      <c r="C264" s="13">
        <f ca="1">C226*(1-C263)</f>
        <v>92.1875</v>
      </c>
      <c r="D264" s="75"/>
    </row>
    <row r="265" spans="1:5">
      <c r="A265" t="s">
        <v>295</v>
      </c>
      <c r="B265" s="13">
        <f ca="1">(G15+G21) * 0.2</f>
        <v>70</v>
      </c>
      <c r="C265" s="69">
        <f ca="1">(H15+H21) * 0.2</f>
        <v>90.800000000000011</v>
      </c>
      <c r="D265" s="75"/>
    </row>
    <row r="266" spans="1:5">
      <c r="A266" s="14" t="s">
        <v>296</v>
      </c>
      <c r="B266" s="78">
        <f ca="1">MAX(B264,B265)</f>
        <v>70.9375</v>
      </c>
      <c r="C266" s="78">
        <f ca="1">MAX(C264,C265)</f>
        <v>92.1875</v>
      </c>
      <c r="D266" s="77"/>
      <c r="E266" s="14"/>
    </row>
    <row r="267" spans="1:5">
      <c r="A267" s="79" t="s">
        <v>202</v>
      </c>
      <c r="B267" s="80">
        <f ca="1">B259/(B266/60)</f>
        <v>1335.839325433795</v>
      </c>
      <c r="C267" s="80">
        <f ca="1">C259/(C266/60)</f>
        <v>1468.8182395838651</v>
      </c>
      <c r="D267" s="81"/>
      <c r="E267" s="82"/>
    </row>
    <row r="268" spans="1:5">
      <c r="A268" t="s">
        <v>473</v>
      </c>
      <c r="B268" s="7"/>
      <c r="C268" s="7"/>
      <c r="D268" s="4">
        <f ca="1">HLOOKUP($A268, INDIRECT(D$31), MATCH("Total", Slots, 0)+1, 0)</f>
        <v>0.1953125</v>
      </c>
      <c r="E268" s="4">
        <f ca="1">HLOOKUP($A268, INDIRECT(E$31), MATCH("Total", Slots, 0)+1, 0)</f>
        <v>0.1953125</v>
      </c>
    </row>
    <row r="269" spans="1:5">
      <c r="A269" t="s">
        <v>302</v>
      </c>
      <c r="B269" s="7"/>
      <c r="C269" s="7"/>
      <c r="D269" s="7">
        <f ca="1">C20+HLOOKUP($A269, INDIRECT(D$31), MATCH("Total", Slots, 0)+1, 0)</f>
        <v>250</v>
      </c>
      <c r="E269" s="7">
        <f ca="1">D20+HLOOKUP($A269, INDIRECT(E$31), MATCH("Total", Slots, 0)+1, 0)</f>
        <v>500</v>
      </c>
    </row>
    <row r="270" spans="1:5">
      <c r="A270" t="s">
        <v>354</v>
      </c>
      <c r="B270" s="7"/>
      <c r="C270" s="7"/>
      <c r="D270" s="89">
        <f ca="1">HLOOKUP($A270, INDIRECT(D$31), MATCH("Total", Slots, 0)+1, 0)</f>
        <v>0</v>
      </c>
      <c r="E270" s="89">
        <f ca="1">HLOOKUP($A270, INDIRECT(E$31), MATCH("Total", Slots, 0)+1, 0)</f>
        <v>0</v>
      </c>
    </row>
    <row r="271" spans="1:5">
      <c r="A271" t="s">
        <v>175</v>
      </c>
      <c r="B271" s="7"/>
      <c r="C271" s="7"/>
      <c r="D271" s="2">
        <f ca="1">1+HLOOKUP($A271, INDIRECT(D$31), MATCH("Total", Slots, 0)+1, 0)</f>
        <v>1</v>
      </c>
      <c r="E271" s="2">
        <f ca="1">1+HLOOKUP($A271, INDIRECT(E$31), MATCH("Total", Slots, 0)+1, 0)</f>
        <v>1</v>
      </c>
    </row>
    <row r="272" spans="1:5">
      <c r="A272" t="s">
        <v>374</v>
      </c>
      <c r="B272" s="7"/>
      <c r="C272" s="7"/>
      <c r="D272" s="91">
        <f>100% + IF(Setup!B21="Blade: Metsu", IF(OR(Gear!B3="Kikoku 90", Gear!B3="Kikoku 95"), 25%, IF(OR(Gear!B3="Kikoku 99", Gear!B3="Kikoku 119", Gear!B3="Kikoku 121"), 40%, 0)), 0)</f>
        <v>1</v>
      </c>
      <c r="E272" s="91">
        <f>100% + IF(Setup!C21="Blade: Metsu", IF(OR(Gear!Z3="Kikoku 90", Gear!Z3="Kikoku 95"), 25%, IF(OR(Gear!Z3="Kikoku 99", Gear!Z3="Kikoku 119", Gear!Z3="Kikoku 121"), 40%, 0)), 0)</f>
        <v>1</v>
      </c>
    </row>
    <row r="273" spans="1:7">
      <c r="A273" t="s">
        <v>124</v>
      </c>
      <c r="B273" s="7"/>
      <c r="C273" s="7"/>
      <c r="D273" s="39">
        <f ca="1">C21+IF(Setup!J39=1,Setup!M39,0)+IF(Setup!J18=1,10,0) + IF(Setup!J16=1, (TRUNC(Setup!J15/100)+1)*10, 0) + HLOOKUP($A273, INDIRECT(B$31), MATCH("Total", Slots, 0)+1, 0)</f>
        <v>0</v>
      </c>
      <c r="E273" s="39">
        <f ca="1">D21+IF(Setup!K39=1,Setup!N39,0)+IF(Setup!K18=1,10,0) + IF(Setup!K16=1, (TRUNC(Setup!K15/100)+1)*10, 0) + HLOOKUP($A273, INDIRECT(C$31), MATCH("Total", Slots, 0)+1, 0)</f>
        <v>0</v>
      </c>
    </row>
    <row r="274" spans="1:7">
      <c r="A274" t="s">
        <v>297</v>
      </c>
      <c r="B274" s="7"/>
      <c r="C274" s="7"/>
      <c r="D274" s="83">
        <f ca="1">FLOOR(D273*B$266/60/3 * 5, 1) + Setup!F40</f>
        <v>0</v>
      </c>
      <c r="E274" s="83">
        <f ca="1">FLOOR(E273*C$266/60/3 * 5, 1) + Setup!G40</f>
        <v>0</v>
      </c>
    </row>
    <row r="275" spans="1:7">
      <c r="A275" t="s">
        <v>40</v>
      </c>
      <c r="D275" s="84">
        <f ca="1">Weaponskill!Q3 * D272</f>
        <v>14407.607262098561</v>
      </c>
      <c r="E275" s="84">
        <f ca="1">Weaponskill!R3 * E272</f>
        <v>13663.284693550815</v>
      </c>
      <c r="F275" s="31"/>
    </row>
    <row r="276" spans="1:7">
      <c r="A276" t="s">
        <v>298</v>
      </c>
      <c r="D276" s="85">
        <f ca="1">Weaponskill!Q2</f>
        <v>2.9915356145640293</v>
      </c>
      <c r="E276" s="85">
        <f ca="1">Weaponskill!R2</f>
        <v>2.8538593060817963</v>
      </c>
      <c r="G276" s="31"/>
    </row>
    <row r="277" spans="1:7">
      <c r="A277" t="s">
        <v>299</v>
      </c>
      <c r="D277" s="6">
        <f ca="1">D276*$B$266+120</f>
        <v>332.21205765813579</v>
      </c>
      <c r="E277" s="6">
        <f ca="1">E276*$C$266+120</f>
        <v>383.09015477941557</v>
      </c>
    </row>
    <row r="278" spans="1:7">
      <c r="A278" t="s">
        <v>300</v>
      </c>
      <c r="D278" s="6">
        <f ca="1">B259*D276+D275</f>
        <v>19132.294127947924</v>
      </c>
      <c r="E278" s="6">
        <f ca="1">C259*E276+E275</f>
        <v>20103.811660133277</v>
      </c>
    </row>
    <row r="279" spans="1:7">
      <c r="A279" t="s">
        <v>206</v>
      </c>
      <c r="D279" s="6">
        <f ca="1">D278/(D277/60)</f>
        <v>3455.43643349082</v>
      </c>
      <c r="E279" s="6">
        <f ca="1">E278/(E277/60)</f>
        <v>3148.6810207966496</v>
      </c>
    </row>
  </sheetData>
  <phoneticPr fontId="2" type="noConversion"/>
  <conditionalFormatting sqref="B262:C262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3">
    <tabColor indexed="47"/>
  </sheetPr>
  <dimension ref="A1:AE1064"/>
  <sheetViews>
    <sheetView workbookViewId="0">
      <selection activeCell="E12" sqref="E12"/>
    </sheetView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3" width="9.28515625" customWidth="1"/>
    <col min="24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376</v>
      </c>
      <c r="Q1" s="44" t="s">
        <v>322</v>
      </c>
      <c r="R1" s="44" t="s">
        <v>323</v>
      </c>
    </row>
    <row r="2" spans="1:28">
      <c r="A2" s="9" t="str">
        <f>Setup!B21</f>
        <v>Evisceration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376</v>
      </c>
      <c r="K2" s="92">
        <f>VLOOKUP($A$2, WeaponskillData, MATCH("WSC1 Value", WeaponskillDataCols, 0), 0)</f>
        <v>0.5</v>
      </c>
      <c r="P2" s="44" t="s">
        <v>307</v>
      </c>
      <c r="Q2" s="93">
        <f ca="1">T531+Set1OverTP</f>
        <v>2.9915356145640293</v>
      </c>
      <c r="R2" s="93">
        <f ca="1">T1064+Set2OverTP</f>
        <v>2.8538593060817963</v>
      </c>
    </row>
    <row r="3" spans="1:28">
      <c r="A3" t="s">
        <v>49</v>
      </c>
      <c r="B3" s="35">
        <f ca="1">Set1MeleeTP</f>
        <v>96</v>
      </c>
      <c r="D3" t="s">
        <v>43</v>
      </c>
      <c r="E3" s="2">
        <f ca="1">Set1DA</f>
        <v>0.13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14407.607262098561</v>
      </c>
      <c r="R3" s="46">
        <f ca="1">X1064</f>
        <v>13663.284693550815</v>
      </c>
    </row>
    <row r="4" spans="1:28">
      <c r="A4" t="s">
        <v>50</v>
      </c>
      <c r="B4">
        <f ca="1">Set1WSTP</f>
        <v>83</v>
      </c>
      <c r="D4" t="s">
        <v>162</v>
      </c>
      <c r="E4" s="2">
        <f ca="1">Set1TA</f>
        <v>0.13999999999999999</v>
      </c>
      <c r="F4" s="2"/>
      <c r="I4" t="s">
        <v>106</v>
      </c>
      <c r="J4">
        <f ca="1">TRUNC(J2*K2+J3*K3)</f>
        <v>188</v>
      </c>
    </row>
    <row r="5" spans="1:28">
      <c r="A5" t="s">
        <v>377</v>
      </c>
      <c r="B5">
        <f ca="1">Set1WSStoreTP</f>
        <v>70</v>
      </c>
      <c r="D5" t="s">
        <v>324</v>
      </c>
      <c r="E5" s="2">
        <f ca="1">Set1QA</f>
        <v>0</v>
      </c>
      <c r="I5" t="s">
        <v>107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581</v>
      </c>
      <c r="N5" s="147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325</v>
      </c>
      <c r="B6">
        <f ca="1">TRUNC(10*(1+B5/100))</f>
        <v>17</v>
      </c>
      <c r="D6" t="s">
        <v>455</v>
      </c>
      <c r="E6" s="2">
        <f ca="1">Melee!B24</f>
        <v>0</v>
      </c>
      <c r="I6" s="30" t="s">
        <v>326</v>
      </c>
      <c r="J6" s="3">
        <f ca="1">J5+Set1FTP</f>
        <v>1.4453125</v>
      </c>
      <c r="K6" s="3">
        <f ca="1">K5+Set1FTP</f>
        <v>1.4453125</v>
      </c>
      <c r="L6" s="3">
        <f ca="1">L5+Set1FTP</f>
        <v>1.4453125</v>
      </c>
      <c r="M6" s="6"/>
    </row>
    <row r="7" spans="1:28">
      <c r="A7" t="s">
        <v>52</v>
      </c>
      <c r="B7" s="5">
        <f ca="1">Set1WSHitRate</f>
        <v>0.99</v>
      </c>
      <c r="D7" t="s">
        <v>456</v>
      </c>
      <c r="E7" s="2">
        <f ca="1">Melee!B25</f>
        <v>0</v>
      </c>
      <c r="I7" t="s">
        <v>171</v>
      </c>
      <c r="J7" s="35">
        <f ca="1">MIN(TRUNC(V531+Set1TPBonus), 3000)</f>
        <v>1674</v>
      </c>
      <c r="K7" t="s">
        <v>327</v>
      </c>
      <c r="L7" s="3">
        <f ca="1">IF(J7&lt;1000, 0, IF(J7&lt;2000, J6+(J7-1000)/1000*(K6-J6), K6+(J7-2000)/1000*(L6-K6)))</f>
        <v>1.4453125</v>
      </c>
    </row>
    <row r="8" spans="1:28">
      <c r="D8" t="s">
        <v>457</v>
      </c>
      <c r="E8" s="2">
        <f ca="1">Melee!B26</f>
        <v>0</v>
      </c>
      <c r="I8" t="s">
        <v>329</v>
      </c>
      <c r="J8" s="92">
        <f>VLOOKUP($A$2, WeaponskillData, MATCH("Crit0", WeaponskillDataCols, 0), 0)</f>
        <v>0.1</v>
      </c>
      <c r="K8" s="1">
        <f ca="1">(MIN(J7-1000, 1000)/1000)*VLOOKUP($A$2, WeaponskillData, MATCH("Crit1", WeaponskillDataCols, 0), 0) + (MAX(J7-2000, 0)/1000)*VLOOKUP($A$2, WeaponskillData, MATCH("Crit2", WeaponskillDataCols, 0), 0)</f>
        <v>0.16850000000000001</v>
      </c>
      <c r="P8" t="s">
        <v>330</v>
      </c>
      <c r="Q8" s="4">
        <f>Set1OverTP</f>
        <v>0.6</v>
      </c>
    </row>
    <row r="9" spans="1:28">
      <c r="A9" t="s">
        <v>328</v>
      </c>
      <c r="B9">
        <f>VLOOKUP($A$2, WeaponskillData, MATCH("Extra Hits", WeaponskillDataCols, 0), 0)</f>
        <v>4</v>
      </c>
      <c r="K9" t="s">
        <v>151</v>
      </c>
      <c r="L9" t="s">
        <v>108</v>
      </c>
      <c r="M9" t="s">
        <v>116</v>
      </c>
      <c r="P9" t="s">
        <v>359</v>
      </c>
      <c r="Q9" s="2">
        <f ca="1">Set1ConserveTP</f>
        <v>0</v>
      </c>
    </row>
    <row r="10" spans="1:28">
      <c r="A10" t="s">
        <v>331</v>
      </c>
      <c r="B10">
        <f>IF(VLOOKUP($A$2, WeaponskillData, MATCH("Offhand", WeaponskillDataCols, 0), 0) = 1, IF(ISBLANK(Gear!B4), 0, 1), 0)</f>
        <v>1</v>
      </c>
      <c r="I10" t="s">
        <v>332</v>
      </c>
      <c r="J10">
        <f ca="1">Data!D112</f>
        <v>97</v>
      </c>
      <c r="K10">
        <f ca="1">FLOOR((J10+J4)*L7, 1)</f>
        <v>411</v>
      </c>
      <c r="L10" s="1">
        <f ca="1">IF(J8=0, 0, MAX(MIN($J$8+$K$8+Data!D237, 100%), 1%))</f>
        <v>0.98849999999999993</v>
      </c>
      <c r="M10" s="2">
        <f ca="1">Data!D240</f>
        <v>1.26</v>
      </c>
      <c r="P10" t="s">
        <v>358</v>
      </c>
      <c r="Q10">
        <f ca="1">Set1SaveTP</f>
        <v>100</v>
      </c>
    </row>
    <row r="11" spans="1:28">
      <c r="I11" t="s">
        <v>150</v>
      </c>
      <c r="J11">
        <f ca="1">Data!D112</f>
        <v>97</v>
      </c>
      <c r="K11">
        <f ca="1">IF(J11&gt;0, FLOOR((J11+$J$4) * IF(VLOOKUP($A$2, WeaponskillData, MATCH("FTPCarry", WeaponskillDataCols, 0), 0)=1, $L$7, 1), 1), 0)</f>
        <v>411</v>
      </c>
      <c r="L11" s="1">
        <f ca="1">IF(J8=0, 0, MAX(MIN($J$8+$K$8+Data!D237, 100%), 1%))</f>
        <v>0.98849999999999993</v>
      </c>
      <c r="M11" s="2">
        <f ca="1">Data!D240</f>
        <v>1.26</v>
      </c>
      <c r="P11" t="s">
        <v>371</v>
      </c>
      <c r="Q11">
        <f>Set1MinTP</f>
        <v>1000</v>
      </c>
      <c r="AA11" s="13"/>
    </row>
    <row r="12" spans="1:28">
      <c r="I12" t="s">
        <v>333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MAX(MIN($J$8+$K$8+Data!D237, 100%), 1%))</f>
        <v>0.98849999999999993</v>
      </c>
      <c r="P12" t="s">
        <v>407</v>
      </c>
      <c r="Q12" s="89">
        <f ca="1">Set1WSDmg</f>
        <v>1</v>
      </c>
      <c r="V12" s="35"/>
      <c r="AB12" s="4"/>
    </row>
    <row r="13" spans="1:28">
      <c r="I13" t="s">
        <v>149</v>
      </c>
      <c r="J13">
        <f ca="1">Data!D173</f>
        <v>97</v>
      </c>
      <c r="K13">
        <f ca="1">IF(J13&gt;0, FLOOR((J13+$J$4) * IF(VLOOKUP($A$2, WeaponskillData, MATCH("FTPCarry", WeaponskillDataCols, 0), 0)=1, $L$7, 1), 1), 0)</f>
        <v>411</v>
      </c>
      <c r="L13" s="1">
        <f ca="1">IF(J8=0, 0, MAX(MIN($J$8+$K$8+Data!D238, 100%), 1%))</f>
        <v>0.96849999999999992</v>
      </c>
      <c r="AA13" s="7"/>
    </row>
    <row r="14" spans="1:28">
      <c r="I14" t="s">
        <v>37</v>
      </c>
      <c r="J14" s="6">
        <f ca="1">Data!D74</f>
        <v>3.25</v>
      </c>
      <c r="K14" s="31" t="s">
        <v>579</v>
      </c>
      <c r="L14" s="6">
        <f ca="1">Data!D90</f>
        <v>3.2193749999999999</v>
      </c>
      <c r="M14" s="6">
        <f ca="1">Data!D106</f>
        <v>4.2393749999999999</v>
      </c>
      <c r="N14" s="6"/>
      <c r="AA14" s="13"/>
    </row>
    <row r="15" spans="1:28">
      <c r="I15" t="s">
        <v>125</v>
      </c>
      <c r="J15" s="7">
        <f ca="1">Set1Regain</f>
        <v>0</v>
      </c>
      <c r="K15" s="31" t="s">
        <v>580</v>
      </c>
      <c r="L15" s="6">
        <f ca="1">Data!D151</f>
        <v>3.1965747070065498</v>
      </c>
      <c r="M15" s="6">
        <f ca="1">Data!D167</f>
        <v>4.2165747070065498</v>
      </c>
    </row>
    <row r="17" spans="1:31">
      <c r="A17" t="s">
        <v>378</v>
      </c>
      <c r="B17" t="s">
        <v>379</v>
      </c>
      <c r="C17" t="s">
        <v>44</v>
      </c>
      <c r="D17" s="30" t="s">
        <v>335</v>
      </c>
      <c r="E17" t="s">
        <v>334</v>
      </c>
      <c r="F17" t="s">
        <v>380</v>
      </c>
      <c r="G17" t="s">
        <v>336</v>
      </c>
      <c r="H17" t="s">
        <v>337</v>
      </c>
      <c r="I17" t="s">
        <v>338</v>
      </c>
      <c r="J17" t="s">
        <v>339</v>
      </c>
      <c r="K17" s="2" t="s">
        <v>340</v>
      </c>
      <c r="L17" t="s">
        <v>341</v>
      </c>
      <c r="M17" t="s">
        <v>372</v>
      </c>
      <c r="N17" s="44" t="s">
        <v>373</v>
      </c>
      <c r="O17" s="19" t="s">
        <v>342</v>
      </c>
      <c r="P17" s="19" t="s">
        <v>343</v>
      </c>
      <c r="Q17" s="19" t="s">
        <v>344</v>
      </c>
      <c r="R17" s="19" t="s">
        <v>345</v>
      </c>
      <c r="S17" s="19" t="s">
        <v>346</v>
      </c>
      <c r="T17" s="24" t="s">
        <v>347</v>
      </c>
      <c r="U17" s="24" t="s">
        <v>170</v>
      </c>
      <c r="V17" s="24" t="s">
        <v>348</v>
      </c>
      <c r="W17" s="24" t="s">
        <v>63</v>
      </c>
      <c r="X17" s="24" t="s">
        <v>349</v>
      </c>
    </row>
    <row r="18" spans="1:31">
      <c r="A18">
        <v>0</v>
      </c>
      <c r="B18">
        <v>0</v>
      </c>
      <c r="C18">
        <f t="shared" ref="C18:C81" si="0">MIN(8, 1+$B$10+$B$9+A18+B18)</f>
        <v>6</v>
      </c>
      <c r="D18">
        <f t="shared" ref="D18:D81" si="1">C18-(1+$B$10)</f>
        <v>4</v>
      </c>
      <c r="E18">
        <f t="shared" ref="E18:E81" si="2">MIN(A18, C18-(1+$B$10+$B$9))</f>
        <v>0</v>
      </c>
      <c r="F18" s="100">
        <f t="shared" ref="F18:F81" ca="1" si="3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0.55980323999999992</v>
      </c>
      <c r="G18">
        <v>1</v>
      </c>
      <c r="H18">
        <v>1</v>
      </c>
      <c r="I18">
        <v>7</v>
      </c>
      <c r="J18" s="1">
        <f t="shared" ref="J18:J81" ca="1" si="4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t="shared" ref="K18:K81" ca="1" si="5">F18*J18</f>
        <v>0</v>
      </c>
      <c r="L18" s="13">
        <f t="shared" ref="L18:L81" ca="1" si="6">MAX((G18+H18)*Set1WSTP + I18*$B$6, Set1SaveTP)</f>
        <v>285</v>
      </c>
      <c r="M18" s="7">
        <f t="shared" ref="M18:M81" ca="1" si="7">MAX(Set1MinTP-(L18+Set1Regain), 0)</f>
        <v>715</v>
      </c>
      <c r="N18" s="44">
        <f t="shared" ref="N18:N81" ca="1" si="8">CEILING(M18/Set1MeleeTP, 1)</f>
        <v>8</v>
      </c>
      <c r="O18" s="94">
        <f t="shared" ref="O18:O81" ca="1" si="9">VLOOKUP(N18,AvgRoundsSet1,2)</f>
        <v>2.3721134347108093</v>
      </c>
      <c r="P18" s="94">
        <f t="shared" ref="P18:P81" ca="1" si="1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23.721134347108087</v>
      </c>
      <c r="Q18" s="94">
        <f t="shared" ref="Q18:Q81" ca="1" si="1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23.721134347108087</v>
      </c>
      <c r="R18" s="94">
        <f t="shared" ref="R18:R81" ca="1" si="12">(P18+Q18)/20</f>
        <v>2.3721134347108088</v>
      </c>
      <c r="S18" s="94">
        <f t="shared" ref="S18:S81" ca="1" si="13">R18*Set1ConserveTP + O18*(1-Set1ConserveTP)</f>
        <v>2.3721134347108093</v>
      </c>
      <c r="T18" s="4">
        <f t="shared" ref="T18:T81" ca="1" si="14">K18*S18</f>
        <v>0</v>
      </c>
      <c r="U18" s="46">
        <f t="shared" ref="U18:U81" ca="1" si="15">MIN(L18+(S18+Set1OverTP)*AvgHitsPerRound1*Set1MeleeTP + Set1Regain + 10.5*Set1ConserveTP, 3000)</f>
        <v>1461.8387274667198</v>
      </c>
      <c r="V18" s="4">
        <f t="shared" ref="V18:V81" ca="1" si="16">U18*K18</f>
        <v>0</v>
      </c>
      <c r="W18" s="13">
        <f t="shared" ref="W18:W81" ca="1" si="17">G18*$K$10*((1-$L$10)*$L$14 + $L$10*$M$14*$M$10)*Set1WSDmg + H18*$K$13*((1-$L$13)*$L$15 + $L$13*$M$15*$M$11) + I18*$K$11*((1-$L$11)*$L$14 + $L$11*$M$14*$M$11) + E18*$K$12*$L$12*$M$10</f>
        <v>19639.172433464904</v>
      </c>
      <c r="X18" s="4">
        <f t="shared" ref="X18:X81" ca="1" si="18">K18*W18</f>
        <v>0</v>
      </c>
      <c r="AE18" s="4"/>
    </row>
    <row r="19" spans="1:31">
      <c r="A19">
        <v>0</v>
      </c>
      <c r="B19">
        <v>0</v>
      </c>
      <c r="C19">
        <f t="shared" si="0"/>
        <v>6</v>
      </c>
      <c r="D19">
        <f t="shared" si="1"/>
        <v>4</v>
      </c>
      <c r="E19">
        <f t="shared" si="2"/>
        <v>0</v>
      </c>
      <c r="F19" s="100">
        <f t="shared" ca="1" si="3"/>
        <v>0.55980323999999992</v>
      </c>
      <c r="G19">
        <v>1</v>
      </c>
      <c r="H19">
        <v>1</v>
      </c>
      <c r="I19">
        <v>6</v>
      </c>
      <c r="J19" s="1">
        <f t="shared" ca="1" si="4"/>
        <v>0</v>
      </c>
      <c r="K19" s="1">
        <f t="shared" ca="1" si="5"/>
        <v>0</v>
      </c>
      <c r="L19" s="13">
        <f t="shared" ca="1" si="6"/>
        <v>268</v>
      </c>
      <c r="M19" s="7">
        <f t="shared" ca="1" si="7"/>
        <v>732</v>
      </c>
      <c r="N19" s="44">
        <f t="shared" ca="1" si="8"/>
        <v>8</v>
      </c>
      <c r="O19" s="94">
        <f t="shared" ca="1" si="9"/>
        <v>2.3721134347108093</v>
      </c>
      <c r="P19" s="94">
        <f t="shared" ca="1" si="10"/>
        <v>23.721134347108087</v>
      </c>
      <c r="Q19" s="94">
        <f t="shared" ca="1" si="11"/>
        <v>23.721134347108087</v>
      </c>
      <c r="R19" s="94">
        <f t="shared" ca="1" si="12"/>
        <v>2.3721134347108088</v>
      </c>
      <c r="S19" s="94">
        <f t="shared" ca="1" si="13"/>
        <v>2.3721134347108093</v>
      </c>
      <c r="T19" s="4">
        <f t="shared" ca="1" si="14"/>
        <v>0</v>
      </c>
      <c r="U19" s="46">
        <f t="shared" ca="1" si="15"/>
        <v>1444.8387274667198</v>
      </c>
      <c r="V19" s="4">
        <f t="shared" ca="1" si="16"/>
        <v>0</v>
      </c>
      <c r="W19" s="13">
        <f t="shared" ca="1" si="17"/>
        <v>17453.800451508654</v>
      </c>
      <c r="X19" s="4">
        <f t="shared" ca="1" si="18"/>
        <v>0</v>
      </c>
      <c r="AE19" s="4"/>
    </row>
    <row r="20" spans="1:31">
      <c r="A20">
        <v>0</v>
      </c>
      <c r="B20">
        <v>0</v>
      </c>
      <c r="C20">
        <f t="shared" si="0"/>
        <v>6</v>
      </c>
      <c r="D20">
        <f t="shared" si="1"/>
        <v>4</v>
      </c>
      <c r="E20">
        <f t="shared" si="2"/>
        <v>0</v>
      </c>
      <c r="F20" s="100">
        <f t="shared" ca="1" si="3"/>
        <v>0.55980323999999992</v>
      </c>
      <c r="G20">
        <v>1</v>
      </c>
      <c r="H20">
        <v>1</v>
      </c>
      <c r="I20">
        <v>5</v>
      </c>
      <c r="J20" s="1">
        <f t="shared" ca="1" si="4"/>
        <v>0</v>
      </c>
      <c r="K20" s="1">
        <f t="shared" ca="1" si="5"/>
        <v>0</v>
      </c>
      <c r="L20" s="13">
        <f t="shared" ca="1" si="6"/>
        <v>251</v>
      </c>
      <c r="M20" s="7">
        <f t="shared" ca="1" si="7"/>
        <v>749</v>
      </c>
      <c r="N20" s="44">
        <f t="shared" ca="1" si="8"/>
        <v>8</v>
      </c>
      <c r="O20" s="94">
        <f t="shared" ca="1" si="9"/>
        <v>2.3721134347108093</v>
      </c>
      <c r="P20" s="94">
        <f t="shared" ca="1" si="10"/>
        <v>23.721134347108087</v>
      </c>
      <c r="Q20" s="94">
        <f t="shared" ca="1" si="11"/>
        <v>23.721134347108087</v>
      </c>
      <c r="R20" s="94">
        <f t="shared" ca="1" si="12"/>
        <v>2.3721134347108088</v>
      </c>
      <c r="S20" s="94">
        <f t="shared" ca="1" si="13"/>
        <v>2.3721134347108093</v>
      </c>
      <c r="T20" s="4">
        <f t="shared" ca="1" si="14"/>
        <v>0</v>
      </c>
      <c r="U20" s="46">
        <f t="shared" ca="1" si="15"/>
        <v>1427.8387274667198</v>
      </c>
      <c r="V20" s="4">
        <f t="shared" ca="1" si="16"/>
        <v>0</v>
      </c>
      <c r="W20" s="13">
        <f t="shared" ca="1" si="17"/>
        <v>15268.428469552406</v>
      </c>
      <c r="X20" s="4">
        <f t="shared" ca="1" si="18"/>
        <v>0</v>
      </c>
      <c r="AE20" s="4"/>
    </row>
    <row r="21" spans="1:31">
      <c r="A21">
        <v>0</v>
      </c>
      <c r="B21">
        <v>0</v>
      </c>
      <c r="C21">
        <f t="shared" si="0"/>
        <v>6</v>
      </c>
      <c r="D21">
        <f t="shared" si="1"/>
        <v>4</v>
      </c>
      <c r="E21">
        <f t="shared" si="2"/>
        <v>0</v>
      </c>
      <c r="F21" s="100">
        <f t="shared" ca="1" si="3"/>
        <v>0.55980323999999992</v>
      </c>
      <c r="G21">
        <v>1</v>
      </c>
      <c r="H21">
        <v>1</v>
      </c>
      <c r="I21">
        <v>4</v>
      </c>
      <c r="J21" s="1">
        <f t="shared" ca="1" si="4"/>
        <v>0.90344054740499991</v>
      </c>
      <c r="K21" s="1">
        <f t="shared" ca="1" si="5"/>
        <v>0.50574894558469252</v>
      </c>
      <c r="L21" s="13">
        <f t="shared" ca="1" si="6"/>
        <v>234</v>
      </c>
      <c r="M21" s="7">
        <f t="shared" ca="1" si="7"/>
        <v>766</v>
      </c>
      <c r="N21" s="44">
        <f t="shared" ca="1" si="8"/>
        <v>8</v>
      </c>
      <c r="O21" s="94">
        <f t="shared" ca="1" si="9"/>
        <v>2.3721134347108093</v>
      </c>
      <c r="P21" s="94">
        <f t="shared" ca="1" si="10"/>
        <v>23.721134347108087</v>
      </c>
      <c r="Q21" s="94">
        <f t="shared" ca="1" si="11"/>
        <v>23.721134347108087</v>
      </c>
      <c r="R21" s="94">
        <f t="shared" ca="1" si="12"/>
        <v>2.3721134347108088</v>
      </c>
      <c r="S21" s="94">
        <f t="shared" ca="1" si="13"/>
        <v>2.3721134347108093</v>
      </c>
      <c r="T21" s="4">
        <f t="shared" ca="1" si="14"/>
        <v>1.1996938684122751</v>
      </c>
      <c r="U21" s="46">
        <f t="shared" ca="1" si="15"/>
        <v>1410.8387274667198</v>
      </c>
      <c r="V21" s="4">
        <f t="shared" ca="1" si="16"/>
        <v>713.53019880634292</v>
      </c>
      <c r="W21" s="13">
        <f t="shared" ca="1" si="17"/>
        <v>13083.056487596155</v>
      </c>
      <c r="X21" s="4">
        <f t="shared" ca="1" si="18"/>
        <v>6616.7420236267262</v>
      </c>
      <c r="AE21" s="4"/>
    </row>
    <row r="22" spans="1:31">
      <c r="A22">
        <v>0</v>
      </c>
      <c r="B22">
        <v>0</v>
      </c>
      <c r="C22">
        <f t="shared" si="0"/>
        <v>6</v>
      </c>
      <c r="D22">
        <f t="shared" si="1"/>
        <v>4</v>
      </c>
      <c r="E22">
        <f t="shared" si="2"/>
        <v>0</v>
      </c>
      <c r="F22" s="100">
        <f t="shared" ca="1" si="3"/>
        <v>0.55980323999999992</v>
      </c>
      <c r="G22">
        <v>1</v>
      </c>
      <c r="H22">
        <v>1</v>
      </c>
      <c r="I22">
        <v>3</v>
      </c>
      <c r="J22" s="1">
        <f t="shared" ca="1" si="4"/>
        <v>3.650264838000003E-2</v>
      </c>
      <c r="K22" s="1">
        <f t="shared" ca="1" si="5"/>
        <v>2.0434300831704767E-2</v>
      </c>
      <c r="L22" s="13">
        <f t="shared" ca="1" si="6"/>
        <v>217</v>
      </c>
      <c r="M22" s="7">
        <f t="shared" ca="1" si="7"/>
        <v>783</v>
      </c>
      <c r="N22" s="44">
        <f t="shared" ca="1" si="8"/>
        <v>9</v>
      </c>
      <c r="O22" s="94">
        <f t="shared" ca="1" si="9"/>
        <v>2.6080912058901573</v>
      </c>
      <c r="P22" s="94">
        <f t="shared" ca="1" si="10"/>
        <v>26.080912058901578</v>
      </c>
      <c r="Q22" s="94">
        <f t="shared" ca="1" si="11"/>
        <v>24.665045431825479</v>
      </c>
      <c r="R22" s="94">
        <f t="shared" ca="1" si="12"/>
        <v>2.5372978745363528</v>
      </c>
      <c r="S22" s="94">
        <f t="shared" ca="1" si="13"/>
        <v>2.6080912058901573</v>
      </c>
      <c r="T22" s="4">
        <f t="shared" ca="1" si="14"/>
        <v>5.3294520297683126E-2</v>
      </c>
      <c r="U22" s="46">
        <f t="shared" ca="1" si="15"/>
        <v>1487.2765406745989</v>
      </c>
      <c r="V22" s="4">
        <f t="shared" ca="1" si="16"/>
        <v>30.391456252081944</v>
      </c>
      <c r="W22" s="13">
        <f t="shared" ca="1" si="17"/>
        <v>10897.684505639903</v>
      </c>
      <c r="X22" s="4">
        <f t="shared" ca="1" si="18"/>
        <v>222.68656355725363</v>
      </c>
      <c r="AE22" s="4"/>
    </row>
    <row r="23" spans="1:31">
      <c r="A23">
        <v>0</v>
      </c>
      <c r="B23">
        <v>0</v>
      </c>
      <c r="C23">
        <f t="shared" si="0"/>
        <v>6</v>
      </c>
      <c r="D23">
        <f t="shared" si="1"/>
        <v>4</v>
      </c>
      <c r="E23">
        <f t="shared" si="2"/>
        <v>0</v>
      </c>
      <c r="F23" s="100">
        <f t="shared" ca="1" si="3"/>
        <v>0.55980323999999992</v>
      </c>
      <c r="G23">
        <v>1</v>
      </c>
      <c r="H23">
        <v>1</v>
      </c>
      <c r="I23">
        <v>2</v>
      </c>
      <c r="J23" s="1">
        <f t="shared" ca="1" si="4"/>
        <v>5.5307043000000101E-4</v>
      </c>
      <c r="K23" s="1">
        <f t="shared" ca="1" si="5"/>
        <v>3.0961061866219372E-4</v>
      </c>
      <c r="L23" s="13">
        <f t="shared" ca="1" si="6"/>
        <v>200</v>
      </c>
      <c r="M23" s="7">
        <f t="shared" ca="1" si="7"/>
        <v>800</v>
      </c>
      <c r="N23" s="44">
        <f t="shared" ca="1" si="8"/>
        <v>9</v>
      </c>
      <c r="O23" s="94">
        <f t="shared" ca="1" si="9"/>
        <v>2.6080912058901573</v>
      </c>
      <c r="P23" s="94">
        <f t="shared" ca="1" si="10"/>
        <v>26.080912058901578</v>
      </c>
      <c r="Q23" s="94">
        <f t="shared" ca="1" si="11"/>
        <v>26.080912058901578</v>
      </c>
      <c r="R23" s="94">
        <f t="shared" ca="1" si="12"/>
        <v>2.6080912058901577</v>
      </c>
      <c r="S23" s="94">
        <f t="shared" ca="1" si="13"/>
        <v>2.6080912058901573</v>
      </c>
      <c r="T23" s="4">
        <f t="shared" ca="1" si="14"/>
        <v>8.0749273178307851E-4</v>
      </c>
      <c r="U23" s="46">
        <f t="shared" ca="1" si="15"/>
        <v>1470.2765406745989</v>
      </c>
      <c r="V23" s="4">
        <f t="shared" ca="1" si="16"/>
        <v>0.45521322936277259</v>
      </c>
      <c r="W23" s="13">
        <f t="shared" ca="1" si="17"/>
        <v>8712.3125236836549</v>
      </c>
      <c r="X23" s="4">
        <f t="shared" ca="1" si="18"/>
        <v>2.6974244704360748</v>
      </c>
      <c r="AE23" s="4"/>
    </row>
    <row r="24" spans="1:31">
      <c r="A24">
        <v>0</v>
      </c>
      <c r="B24">
        <v>0</v>
      </c>
      <c r="C24">
        <f t="shared" si="0"/>
        <v>6</v>
      </c>
      <c r="D24">
        <f t="shared" si="1"/>
        <v>4</v>
      </c>
      <c r="E24">
        <f t="shared" si="2"/>
        <v>0</v>
      </c>
      <c r="F24" s="100">
        <f t="shared" ca="1" si="3"/>
        <v>0.55980323999999992</v>
      </c>
      <c r="G24">
        <v>1</v>
      </c>
      <c r="H24">
        <v>1</v>
      </c>
      <c r="I24">
        <v>1</v>
      </c>
      <c r="J24" s="1">
        <f t="shared" ca="1" si="4"/>
        <v>3.7243800000000099E-6</v>
      </c>
      <c r="K24" s="1">
        <f t="shared" ca="1" si="5"/>
        <v>2.0849199909912052E-6</v>
      </c>
      <c r="L24" s="13">
        <f t="shared" ca="1" si="6"/>
        <v>183</v>
      </c>
      <c r="M24" s="7">
        <f t="shared" ca="1" si="7"/>
        <v>817</v>
      </c>
      <c r="N24" s="44">
        <f t="shared" ca="1" si="8"/>
        <v>9</v>
      </c>
      <c r="O24" s="94">
        <f t="shared" ca="1" si="9"/>
        <v>2.6080912058901573</v>
      </c>
      <c r="P24" s="94">
        <f t="shared" ca="1" si="10"/>
        <v>26.080912058901578</v>
      </c>
      <c r="Q24" s="94">
        <f t="shared" ca="1" si="11"/>
        <v>26.080912058901578</v>
      </c>
      <c r="R24" s="94">
        <f t="shared" ca="1" si="12"/>
        <v>2.6080912058901577</v>
      </c>
      <c r="S24" s="94">
        <f t="shared" ca="1" si="13"/>
        <v>2.6080912058901573</v>
      </c>
      <c r="T24" s="4">
        <f t="shared" ca="1" si="14"/>
        <v>5.4376614934887486E-6</v>
      </c>
      <c r="U24" s="46">
        <f t="shared" ca="1" si="15"/>
        <v>1453.2765406745989</v>
      </c>
      <c r="V24" s="4">
        <f t="shared" ca="1" si="16"/>
        <v>3.0299653120910144E-3</v>
      </c>
      <c r="W24" s="13">
        <f t="shared" ca="1" si="17"/>
        <v>6526.9405417274047</v>
      </c>
      <c r="X24" s="4">
        <f t="shared" ca="1" si="18"/>
        <v>1.3608148815458432E-2</v>
      </c>
      <c r="AE24" s="4"/>
    </row>
    <row r="25" spans="1:31">
      <c r="A25">
        <v>0</v>
      </c>
      <c r="B25">
        <v>0</v>
      </c>
      <c r="C25">
        <f t="shared" si="0"/>
        <v>6</v>
      </c>
      <c r="D25">
        <f t="shared" si="1"/>
        <v>4</v>
      </c>
      <c r="E25">
        <f t="shared" si="2"/>
        <v>0</v>
      </c>
      <c r="F25" s="100">
        <f t="shared" ca="1" si="3"/>
        <v>0.55980323999999992</v>
      </c>
      <c r="G25">
        <v>1</v>
      </c>
      <c r="H25">
        <v>1</v>
      </c>
      <c r="I25">
        <v>0</v>
      </c>
      <c r="J25" s="1">
        <f t="shared" ca="1" si="4"/>
        <v>9.4050000000000352E-9</v>
      </c>
      <c r="K25" s="1">
        <f t="shared" ca="1" si="5"/>
        <v>5.2649494722000188E-9</v>
      </c>
      <c r="L25" s="13">
        <f t="shared" ca="1" si="6"/>
        <v>166</v>
      </c>
      <c r="M25" s="7">
        <f t="shared" ca="1" si="7"/>
        <v>834</v>
      </c>
      <c r="N25" s="44">
        <f t="shared" ca="1" si="8"/>
        <v>9</v>
      </c>
      <c r="O25" s="94">
        <f t="shared" ca="1" si="9"/>
        <v>2.6080912058901573</v>
      </c>
      <c r="P25" s="94">
        <f t="shared" ca="1" si="10"/>
        <v>26.080912058901578</v>
      </c>
      <c r="Q25" s="94">
        <f t="shared" ca="1" si="11"/>
        <v>26.080912058901578</v>
      </c>
      <c r="R25" s="94">
        <f t="shared" ca="1" si="12"/>
        <v>2.6080912058901577</v>
      </c>
      <c r="S25" s="94">
        <f t="shared" ca="1" si="13"/>
        <v>2.6080912058901573</v>
      </c>
      <c r="T25" s="4">
        <f t="shared" ca="1" si="14"/>
        <v>1.3731468417900894E-8</v>
      </c>
      <c r="U25" s="46">
        <f t="shared" ca="1" si="15"/>
        <v>1436.2765406745989</v>
      </c>
      <c r="V25" s="4">
        <f t="shared" ca="1" si="16"/>
        <v>7.5619234147579979E-6</v>
      </c>
      <c r="W25" s="13">
        <f t="shared" ca="1" si="17"/>
        <v>4341.5685597711545</v>
      </c>
      <c r="X25" s="4">
        <f t="shared" ca="1" si="18"/>
        <v>2.2858139097287335E-5</v>
      </c>
      <c r="AE25" s="4"/>
    </row>
    <row r="26" spans="1:31">
      <c r="A26">
        <v>0</v>
      </c>
      <c r="B26">
        <v>0</v>
      </c>
      <c r="C26">
        <f t="shared" si="0"/>
        <v>6</v>
      </c>
      <c r="D26">
        <f t="shared" si="1"/>
        <v>4</v>
      </c>
      <c r="E26">
        <f t="shared" si="2"/>
        <v>0</v>
      </c>
      <c r="F26" s="100">
        <f t="shared" ca="1" si="3"/>
        <v>0.55980323999999992</v>
      </c>
      <c r="G26">
        <v>1</v>
      </c>
      <c r="H26">
        <v>0</v>
      </c>
      <c r="I26">
        <v>7</v>
      </c>
      <c r="J26" s="1">
        <f t="shared" ca="1" si="4"/>
        <v>0</v>
      </c>
      <c r="K26" s="1">
        <f t="shared" ca="1" si="5"/>
        <v>0</v>
      </c>
      <c r="L26" s="13">
        <f t="shared" ca="1" si="6"/>
        <v>202</v>
      </c>
      <c r="M26" s="7">
        <f t="shared" ca="1" si="7"/>
        <v>798</v>
      </c>
      <c r="N26" s="44">
        <f t="shared" ca="1" si="8"/>
        <v>9</v>
      </c>
      <c r="O26" s="94">
        <f t="shared" ca="1" si="9"/>
        <v>2.6080912058901573</v>
      </c>
      <c r="P26" s="94">
        <f t="shared" ca="1" si="10"/>
        <v>26.080912058901578</v>
      </c>
      <c r="Q26" s="94">
        <f t="shared" ca="1" si="11"/>
        <v>26.080912058901578</v>
      </c>
      <c r="R26" s="94">
        <f t="shared" ca="1" si="12"/>
        <v>2.6080912058901577</v>
      </c>
      <c r="S26" s="94">
        <f t="shared" ca="1" si="13"/>
        <v>2.6080912058901573</v>
      </c>
      <c r="T26" s="4">
        <f t="shared" ca="1" si="14"/>
        <v>0</v>
      </c>
      <c r="U26" s="46">
        <f t="shared" ca="1" si="15"/>
        <v>1472.2765406745989</v>
      </c>
      <c r="V26" s="4">
        <f t="shared" ca="1" si="16"/>
        <v>0</v>
      </c>
      <c r="W26" s="13">
        <f t="shared" ca="1" si="17"/>
        <v>17482.975855650002</v>
      </c>
      <c r="X26" s="4">
        <f t="shared" ca="1" si="18"/>
        <v>0</v>
      </c>
      <c r="AE26" s="4"/>
    </row>
    <row r="27" spans="1:31">
      <c r="A27">
        <v>0</v>
      </c>
      <c r="B27">
        <v>0</v>
      </c>
      <c r="C27">
        <f t="shared" si="0"/>
        <v>6</v>
      </c>
      <c r="D27">
        <f t="shared" si="1"/>
        <v>4</v>
      </c>
      <c r="E27">
        <f t="shared" si="2"/>
        <v>0</v>
      </c>
      <c r="F27" s="100">
        <f t="shared" ca="1" si="3"/>
        <v>0.55980323999999992</v>
      </c>
      <c r="G27">
        <v>1</v>
      </c>
      <c r="H27">
        <v>0</v>
      </c>
      <c r="I27">
        <v>6</v>
      </c>
      <c r="J27" s="1">
        <f t="shared" ca="1" si="4"/>
        <v>0</v>
      </c>
      <c r="K27" s="1">
        <f t="shared" ca="1" si="5"/>
        <v>0</v>
      </c>
      <c r="L27" s="13">
        <f t="shared" ca="1" si="6"/>
        <v>185</v>
      </c>
      <c r="M27" s="7">
        <f t="shared" ca="1" si="7"/>
        <v>815</v>
      </c>
      <c r="N27" s="44">
        <f t="shared" ca="1" si="8"/>
        <v>9</v>
      </c>
      <c r="O27" s="94">
        <f t="shared" ca="1" si="9"/>
        <v>2.6080912058901573</v>
      </c>
      <c r="P27" s="94">
        <f t="shared" ca="1" si="10"/>
        <v>26.080912058901578</v>
      </c>
      <c r="Q27" s="94">
        <f t="shared" ca="1" si="11"/>
        <v>26.080912058901578</v>
      </c>
      <c r="R27" s="94">
        <f t="shared" ca="1" si="12"/>
        <v>2.6080912058901577</v>
      </c>
      <c r="S27" s="94">
        <f t="shared" ca="1" si="13"/>
        <v>2.6080912058901573</v>
      </c>
      <c r="T27" s="4">
        <f t="shared" ca="1" si="14"/>
        <v>0</v>
      </c>
      <c r="U27" s="46">
        <f t="shared" ca="1" si="15"/>
        <v>1455.2765406745989</v>
      </c>
      <c r="V27" s="4">
        <f t="shared" ca="1" si="16"/>
        <v>0</v>
      </c>
      <c r="W27" s="13">
        <f t="shared" ca="1" si="17"/>
        <v>15297.60387369375</v>
      </c>
      <c r="X27" s="4">
        <f t="shared" ca="1" si="18"/>
        <v>0</v>
      </c>
      <c r="AE27" s="4"/>
    </row>
    <row r="28" spans="1:31">
      <c r="A28">
        <v>0</v>
      </c>
      <c r="B28">
        <v>0</v>
      </c>
      <c r="C28">
        <f t="shared" si="0"/>
        <v>6</v>
      </c>
      <c r="D28">
        <f t="shared" si="1"/>
        <v>4</v>
      </c>
      <c r="E28">
        <f t="shared" si="2"/>
        <v>0</v>
      </c>
      <c r="F28" s="100">
        <f t="shared" ca="1" si="3"/>
        <v>0.55980323999999992</v>
      </c>
      <c r="G28">
        <v>1</v>
      </c>
      <c r="H28">
        <v>0</v>
      </c>
      <c r="I28">
        <v>5</v>
      </c>
      <c r="J28" s="1">
        <f t="shared" ca="1" si="4"/>
        <v>0</v>
      </c>
      <c r="K28" s="1">
        <f t="shared" ca="1" si="5"/>
        <v>0</v>
      </c>
      <c r="L28" s="13">
        <f t="shared" ca="1" si="6"/>
        <v>168</v>
      </c>
      <c r="M28" s="7">
        <f t="shared" ca="1" si="7"/>
        <v>832</v>
      </c>
      <c r="N28" s="44">
        <f t="shared" ca="1" si="8"/>
        <v>9</v>
      </c>
      <c r="O28" s="94">
        <f t="shared" ca="1" si="9"/>
        <v>2.6080912058901573</v>
      </c>
      <c r="P28" s="94">
        <f t="shared" ca="1" si="10"/>
        <v>26.080912058901578</v>
      </c>
      <c r="Q28" s="94">
        <f t="shared" ca="1" si="11"/>
        <v>26.080912058901578</v>
      </c>
      <c r="R28" s="94">
        <f t="shared" ca="1" si="12"/>
        <v>2.6080912058901577</v>
      </c>
      <c r="S28" s="94">
        <f t="shared" ca="1" si="13"/>
        <v>2.6080912058901573</v>
      </c>
      <c r="T28" s="4">
        <f t="shared" ca="1" si="14"/>
        <v>0</v>
      </c>
      <c r="U28" s="46">
        <f t="shared" ca="1" si="15"/>
        <v>1438.2765406745989</v>
      </c>
      <c r="V28" s="4">
        <f t="shared" ca="1" si="16"/>
        <v>0</v>
      </c>
      <c r="W28" s="13">
        <f t="shared" ca="1" si="17"/>
        <v>13112.231891737501</v>
      </c>
      <c r="X28" s="4">
        <f t="shared" ca="1" si="18"/>
        <v>0</v>
      </c>
      <c r="AE28" s="4"/>
    </row>
    <row r="29" spans="1:31">
      <c r="A29">
        <v>0</v>
      </c>
      <c r="B29">
        <v>0</v>
      </c>
      <c r="C29">
        <f t="shared" si="0"/>
        <v>6</v>
      </c>
      <c r="D29">
        <f t="shared" si="1"/>
        <v>4</v>
      </c>
      <c r="E29">
        <f t="shared" si="2"/>
        <v>0</v>
      </c>
      <c r="F29" s="100">
        <f t="shared" ca="1" si="3"/>
        <v>0.55980323999999992</v>
      </c>
      <c r="G29">
        <v>1</v>
      </c>
      <c r="H29">
        <v>0</v>
      </c>
      <c r="I29">
        <v>4</v>
      </c>
      <c r="J29" s="1">
        <f t="shared" ca="1" si="4"/>
        <v>9.1256620950000075E-3</v>
      </c>
      <c r="K29" s="1">
        <f t="shared" ca="1" si="5"/>
        <v>5.1085752079261916E-3</v>
      </c>
      <c r="L29" s="13">
        <f t="shared" ca="1" si="6"/>
        <v>151</v>
      </c>
      <c r="M29" s="7">
        <f t="shared" ca="1" si="7"/>
        <v>849</v>
      </c>
      <c r="N29" s="44">
        <f t="shared" ca="1" si="8"/>
        <v>9</v>
      </c>
      <c r="O29" s="94">
        <f t="shared" ca="1" si="9"/>
        <v>2.6080912058901573</v>
      </c>
      <c r="P29" s="94">
        <f t="shared" ca="1" si="10"/>
        <v>26.080912058901578</v>
      </c>
      <c r="Q29" s="94">
        <f t="shared" ca="1" si="11"/>
        <v>26.080912058901578</v>
      </c>
      <c r="R29" s="94">
        <f t="shared" ca="1" si="12"/>
        <v>2.6080912058901577</v>
      </c>
      <c r="S29" s="94">
        <f t="shared" ca="1" si="13"/>
        <v>2.6080912058901573</v>
      </c>
      <c r="T29" s="4">
        <f t="shared" ca="1" si="14"/>
        <v>1.3323630074420782E-2</v>
      </c>
      <c r="U29" s="46">
        <f t="shared" ca="1" si="15"/>
        <v>1421.2765406745989</v>
      </c>
      <c r="V29" s="4">
        <f t="shared" ca="1" si="16"/>
        <v>7.2606980992973575</v>
      </c>
      <c r="W29" s="13">
        <f t="shared" ca="1" si="17"/>
        <v>10926.859909781251</v>
      </c>
      <c r="X29" s="4">
        <f t="shared" ca="1" si="18"/>
        <v>55.820685635591126</v>
      </c>
      <c r="AE29" s="4"/>
    </row>
    <row r="30" spans="1:31">
      <c r="A30">
        <v>0</v>
      </c>
      <c r="B30">
        <v>0</v>
      </c>
      <c r="C30">
        <f t="shared" si="0"/>
        <v>6</v>
      </c>
      <c r="D30">
        <f t="shared" si="1"/>
        <v>4</v>
      </c>
      <c r="E30">
        <f t="shared" si="2"/>
        <v>0</v>
      </c>
      <c r="F30" s="100">
        <f t="shared" ca="1" si="3"/>
        <v>0.55980323999999992</v>
      </c>
      <c r="G30">
        <v>1</v>
      </c>
      <c r="H30">
        <v>0</v>
      </c>
      <c r="I30">
        <v>3</v>
      </c>
      <c r="J30" s="1">
        <f t="shared" ca="1" si="4"/>
        <v>3.6871362000000067E-4</v>
      </c>
      <c r="K30" s="1">
        <f t="shared" ca="1" si="5"/>
        <v>2.0640707910812915E-4</v>
      </c>
      <c r="L30" s="13">
        <f t="shared" ca="1" si="6"/>
        <v>134</v>
      </c>
      <c r="M30" s="7">
        <f t="shared" ca="1" si="7"/>
        <v>866</v>
      </c>
      <c r="N30" s="44">
        <f t="shared" ca="1" si="8"/>
        <v>10</v>
      </c>
      <c r="O30" s="94">
        <f t="shared" ca="1" si="9"/>
        <v>2.855590707781452</v>
      </c>
      <c r="P30" s="94">
        <f t="shared" ca="1" si="10"/>
        <v>26.328411560792873</v>
      </c>
      <c r="Q30" s="94">
        <f t="shared" ca="1" si="11"/>
        <v>26.080912058901578</v>
      </c>
      <c r="R30" s="94">
        <f t="shared" ca="1" si="12"/>
        <v>2.6204661809847223</v>
      </c>
      <c r="S30" s="94">
        <f t="shared" ca="1" si="13"/>
        <v>2.855590707781452</v>
      </c>
      <c r="T30" s="4">
        <f t="shared" ca="1" si="14"/>
        <v>5.8941413712148465E-4</v>
      </c>
      <c r="U30" s="46">
        <f t="shared" ca="1" si="15"/>
        <v>1502.276501057248</v>
      </c>
      <c r="V30" s="4">
        <f t="shared" ca="1" si="16"/>
        <v>0.31008050459600683</v>
      </c>
      <c r="W30" s="13">
        <f t="shared" ca="1" si="17"/>
        <v>8741.487927825001</v>
      </c>
      <c r="X30" s="4">
        <f t="shared" ca="1" si="18"/>
        <v>1.8043049902413308</v>
      </c>
      <c r="AE30" s="4"/>
    </row>
    <row r="31" spans="1:31">
      <c r="A31">
        <v>0</v>
      </c>
      <c r="B31">
        <v>0</v>
      </c>
      <c r="C31">
        <f t="shared" si="0"/>
        <v>6</v>
      </c>
      <c r="D31">
        <f t="shared" si="1"/>
        <v>4</v>
      </c>
      <c r="E31">
        <f t="shared" si="2"/>
        <v>0</v>
      </c>
      <c r="F31" s="100">
        <f t="shared" ca="1" si="3"/>
        <v>0.55980323999999992</v>
      </c>
      <c r="G31">
        <v>1</v>
      </c>
      <c r="H31">
        <v>0</v>
      </c>
      <c r="I31">
        <v>2</v>
      </c>
      <c r="J31" s="1">
        <f t="shared" ca="1" si="4"/>
        <v>5.5865700000000149E-6</v>
      </c>
      <c r="K31" s="1">
        <f t="shared" ca="1" si="5"/>
        <v>3.127379986486808E-6</v>
      </c>
      <c r="L31" s="13">
        <f t="shared" ca="1" si="6"/>
        <v>117</v>
      </c>
      <c r="M31" s="7">
        <f t="shared" ca="1" si="7"/>
        <v>883</v>
      </c>
      <c r="N31" s="44">
        <f t="shared" ca="1" si="8"/>
        <v>10</v>
      </c>
      <c r="O31" s="94">
        <f t="shared" ca="1" si="9"/>
        <v>2.855590707781452</v>
      </c>
      <c r="P31" s="94">
        <f t="shared" ca="1" si="10"/>
        <v>28.555907077814521</v>
      </c>
      <c r="Q31" s="94">
        <f t="shared" ca="1" si="11"/>
        <v>28.060908074031932</v>
      </c>
      <c r="R31" s="94">
        <f t="shared" ca="1" si="12"/>
        <v>2.8308407575923225</v>
      </c>
      <c r="S31" s="94">
        <f t="shared" ca="1" si="13"/>
        <v>2.855590707781452</v>
      </c>
      <c r="T31" s="4">
        <f t="shared" ca="1" si="14"/>
        <v>8.9305172291134118E-6</v>
      </c>
      <c r="U31" s="46">
        <f t="shared" ca="1" si="15"/>
        <v>1485.276501057248</v>
      </c>
      <c r="V31" s="4">
        <f t="shared" ca="1" si="16"/>
        <v>4.6450240038055897E-3</v>
      </c>
      <c r="W31" s="13">
        <f t="shared" ca="1" si="17"/>
        <v>6556.1159458687507</v>
      </c>
      <c r="X31" s="4">
        <f t="shared" ca="1" si="18"/>
        <v>2.0503465798196958E-2</v>
      </c>
      <c r="AE31" s="4"/>
    </row>
    <row r="32" spans="1:31">
      <c r="A32">
        <v>0</v>
      </c>
      <c r="B32">
        <v>0</v>
      </c>
      <c r="C32">
        <f t="shared" si="0"/>
        <v>6</v>
      </c>
      <c r="D32">
        <f t="shared" si="1"/>
        <v>4</v>
      </c>
      <c r="E32">
        <f t="shared" si="2"/>
        <v>0</v>
      </c>
      <c r="F32" s="100">
        <f t="shared" ca="1" si="3"/>
        <v>0.55980323999999992</v>
      </c>
      <c r="G32">
        <v>1</v>
      </c>
      <c r="H32">
        <v>0</v>
      </c>
      <c r="I32">
        <v>1</v>
      </c>
      <c r="J32" s="1">
        <f t="shared" ca="1" si="4"/>
        <v>3.7620000000000134E-8</v>
      </c>
      <c r="K32" s="1">
        <f t="shared" ca="1" si="5"/>
        <v>2.1059797888800072E-8</v>
      </c>
      <c r="L32" s="13">
        <f t="shared" ca="1" si="6"/>
        <v>100</v>
      </c>
      <c r="M32" s="7">
        <f t="shared" ca="1" si="7"/>
        <v>900</v>
      </c>
      <c r="N32" s="44">
        <f t="shared" ca="1" si="8"/>
        <v>10</v>
      </c>
      <c r="O32" s="94">
        <f t="shared" ca="1" si="9"/>
        <v>2.855590707781452</v>
      </c>
      <c r="P32" s="94">
        <f t="shared" ca="1" si="10"/>
        <v>28.555907077814521</v>
      </c>
      <c r="Q32" s="94">
        <f t="shared" ca="1" si="11"/>
        <v>28.555907077814521</v>
      </c>
      <c r="R32" s="94">
        <f t="shared" ca="1" si="12"/>
        <v>2.855590707781452</v>
      </c>
      <c r="S32" s="94">
        <f t="shared" ca="1" si="13"/>
        <v>2.855590707781452</v>
      </c>
      <c r="T32" s="4">
        <f t="shared" ca="1" si="14"/>
        <v>6.0138163159012927E-8</v>
      </c>
      <c r="U32" s="46">
        <f t="shared" ca="1" si="15"/>
        <v>1468.276501057248</v>
      </c>
      <c r="V32" s="4">
        <f t="shared" ca="1" si="16"/>
        <v>3.0921606357140189E-5</v>
      </c>
      <c r="W32" s="13">
        <f t="shared" ca="1" si="17"/>
        <v>4370.7439639125005</v>
      </c>
      <c r="X32" s="4">
        <f t="shared" ca="1" si="18"/>
        <v>9.2046984503690139E-5</v>
      </c>
      <c r="AE32" s="4"/>
    </row>
    <row r="33" spans="1:31">
      <c r="A33">
        <v>0</v>
      </c>
      <c r="B33">
        <v>0</v>
      </c>
      <c r="C33">
        <f t="shared" si="0"/>
        <v>6</v>
      </c>
      <c r="D33">
        <f t="shared" si="1"/>
        <v>4</v>
      </c>
      <c r="E33">
        <f t="shared" si="2"/>
        <v>0</v>
      </c>
      <c r="F33" s="100">
        <f t="shared" ca="1" si="3"/>
        <v>0.55980323999999992</v>
      </c>
      <c r="G33">
        <v>1</v>
      </c>
      <c r="H33">
        <v>0</v>
      </c>
      <c r="I33">
        <v>0</v>
      </c>
      <c r="J33" s="1">
        <f t="shared" ca="1" si="4"/>
        <v>9.5000000000000434E-11</v>
      </c>
      <c r="K33" s="1">
        <f t="shared" ca="1" si="5"/>
        <v>5.3181307800000236E-11</v>
      </c>
      <c r="L33" s="13">
        <f t="shared" ca="1" si="6"/>
        <v>100</v>
      </c>
      <c r="M33" s="7">
        <f t="shared" ca="1" si="7"/>
        <v>900</v>
      </c>
      <c r="N33" s="44">
        <f t="shared" ca="1" si="8"/>
        <v>10</v>
      </c>
      <c r="O33" s="94">
        <f t="shared" ca="1" si="9"/>
        <v>2.855590707781452</v>
      </c>
      <c r="P33" s="94">
        <f t="shared" ca="1" si="10"/>
        <v>28.555907077814521</v>
      </c>
      <c r="Q33" s="94">
        <f t="shared" ca="1" si="11"/>
        <v>28.555907077814521</v>
      </c>
      <c r="R33" s="94">
        <f t="shared" ca="1" si="12"/>
        <v>2.855590707781452</v>
      </c>
      <c r="S33" s="94">
        <f t="shared" ca="1" si="13"/>
        <v>2.855590707781452</v>
      </c>
      <c r="T33" s="4">
        <f t="shared" ca="1" si="14"/>
        <v>1.5186404838134592E-10</v>
      </c>
      <c r="U33" s="46">
        <f t="shared" ca="1" si="15"/>
        <v>1468.276501057248</v>
      </c>
      <c r="V33" s="4">
        <f t="shared" ca="1" si="16"/>
        <v>7.8084864538232869E-8</v>
      </c>
      <c r="W33" s="13">
        <f t="shared" ca="1" si="17"/>
        <v>2185.3719819562502</v>
      </c>
      <c r="X33" s="4">
        <f t="shared" ca="1" si="18"/>
        <v>1.1622094002991191E-7</v>
      </c>
      <c r="AE33" s="4"/>
    </row>
    <row r="34" spans="1:31">
      <c r="A34">
        <v>0</v>
      </c>
      <c r="B34">
        <v>0</v>
      </c>
      <c r="C34">
        <f t="shared" si="0"/>
        <v>6</v>
      </c>
      <c r="D34">
        <f t="shared" si="1"/>
        <v>4</v>
      </c>
      <c r="E34">
        <f t="shared" si="2"/>
        <v>0</v>
      </c>
      <c r="F34" s="100">
        <f t="shared" ca="1" si="3"/>
        <v>0.55980323999999992</v>
      </c>
      <c r="G34">
        <v>0</v>
      </c>
      <c r="H34">
        <v>1</v>
      </c>
      <c r="I34">
        <v>7</v>
      </c>
      <c r="J34" s="1">
        <f t="shared" ca="1" si="4"/>
        <v>0</v>
      </c>
      <c r="K34" s="1">
        <f t="shared" ca="1" si="5"/>
        <v>0</v>
      </c>
      <c r="L34" s="13">
        <f t="shared" ca="1" si="6"/>
        <v>202</v>
      </c>
      <c r="M34" s="7">
        <f t="shared" ca="1" si="7"/>
        <v>798</v>
      </c>
      <c r="N34" s="44">
        <f t="shared" ca="1" si="8"/>
        <v>9</v>
      </c>
      <c r="O34" s="94">
        <f t="shared" ca="1" si="9"/>
        <v>2.6080912058901573</v>
      </c>
      <c r="P34" s="94">
        <f t="shared" ca="1" si="10"/>
        <v>26.080912058901578</v>
      </c>
      <c r="Q34" s="94">
        <f t="shared" ca="1" si="11"/>
        <v>26.080912058901578</v>
      </c>
      <c r="R34" s="94">
        <f t="shared" ca="1" si="12"/>
        <v>2.6080912058901577</v>
      </c>
      <c r="S34" s="94">
        <f t="shared" ca="1" si="13"/>
        <v>2.6080912058901573</v>
      </c>
      <c r="T34" s="4">
        <f t="shared" ca="1" si="14"/>
        <v>0</v>
      </c>
      <c r="U34" s="46">
        <f t="shared" ca="1" si="15"/>
        <v>1472.2765406745989</v>
      </c>
      <c r="V34" s="4">
        <f t="shared" ca="1" si="16"/>
        <v>0</v>
      </c>
      <c r="W34" s="13">
        <f t="shared" ca="1" si="17"/>
        <v>17453.800451508654</v>
      </c>
      <c r="X34" s="4">
        <f t="shared" ca="1" si="18"/>
        <v>0</v>
      </c>
      <c r="AE34" s="4"/>
    </row>
    <row r="35" spans="1:31">
      <c r="A35">
        <v>0</v>
      </c>
      <c r="B35">
        <v>0</v>
      </c>
      <c r="C35">
        <f t="shared" si="0"/>
        <v>6</v>
      </c>
      <c r="D35">
        <f t="shared" si="1"/>
        <v>4</v>
      </c>
      <c r="E35">
        <f t="shared" si="2"/>
        <v>0</v>
      </c>
      <c r="F35" s="100">
        <f t="shared" ca="1" si="3"/>
        <v>0.55980323999999992</v>
      </c>
      <c r="G35">
        <v>0</v>
      </c>
      <c r="H35">
        <v>1</v>
      </c>
      <c r="I35">
        <v>6</v>
      </c>
      <c r="J35" s="1">
        <f t="shared" ca="1" si="4"/>
        <v>0</v>
      </c>
      <c r="K35" s="1">
        <f t="shared" ca="1" si="5"/>
        <v>0</v>
      </c>
      <c r="L35" s="13">
        <f t="shared" ca="1" si="6"/>
        <v>185</v>
      </c>
      <c r="M35" s="7">
        <f t="shared" ca="1" si="7"/>
        <v>815</v>
      </c>
      <c r="N35" s="44">
        <f t="shared" ca="1" si="8"/>
        <v>9</v>
      </c>
      <c r="O35" s="94">
        <f t="shared" ca="1" si="9"/>
        <v>2.6080912058901573</v>
      </c>
      <c r="P35" s="94">
        <f t="shared" ca="1" si="10"/>
        <v>26.080912058901578</v>
      </c>
      <c r="Q35" s="94">
        <f t="shared" ca="1" si="11"/>
        <v>26.080912058901578</v>
      </c>
      <c r="R35" s="94">
        <f t="shared" ca="1" si="12"/>
        <v>2.6080912058901577</v>
      </c>
      <c r="S35" s="94">
        <f t="shared" ca="1" si="13"/>
        <v>2.6080912058901573</v>
      </c>
      <c r="T35" s="4">
        <f t="shared" ca="1" si="14"/>
        <v>0</v>
      </c>
      <c r="U35" s="46">
        <f t="shared" ca="1" si="15"/>
        <v>1455.2765406745989</v>
      </c>
      <c r="V35" s="4">
        <f t="shared" ca="1" si="16"/>
        <v>0</v>
      </c>
      <c r="W35" s="13">
        <f t="shared" ca="1" si="17"/>
        <v>15268.428469552404</v>
      </c>
      <c r="X35" s="4">
        <f t="shared" ca="1" si="18"/>
        <v>0</v>
      </c>
      <c r="AE35" s="4"/>
    </row>
    <row r="36" spans="1:31">
      <c r="A36">
        <v>0</v>
      </c>
      <c r="B36">
        <v>0</v>
      </c>
      <c r="C36">
        <f t="shared" si="0"/>
        <v>6</v>
      </c>
      <c r="D36">
        <f t="shared" si="1"/>
        <v>4</v>
      </c>
      <c r="E36">
        <f t="shared" si="2"/>
        <v>0</v>
      </c>
      <c r="F36" s="100">
        <f t="shared" ca="1" si="3"/>
        <v>0.55980323999999992</v>
      </c>
      <c r="G36">
        <v>0</v>
      </c>
      <c r="H36">
        <v>1</v>
      </c>
      <c r="I36">
        <v>5</v>
      </c>
      <c r="J36" s="1">
        <f t="shared" ca="1" si="4"/>
        <v>0</v>
      </c>
      <c r="K36" s="1">
        <f t="shared" ca="1" si="5"/>
        <v>0</v>
      </c>
      <c r="L36" s="13">
        <f t="shared" ca="1" si="6"/>
        <v>168</v>
      </c>
      <c r="M36" s="7">
        <f t="shared" ca="1" si="7"/>
        <v>832</v>
      </c>
      <c r="N36" s="44">
        <f t="shared" ca="1" si="8"/>
        <v>9</v>
      </c>
      <c r="O36" s="94">
        <f t="shared" ca="1" si="9"/>
        <v>2.6080912058901573</v>
      </c>
      <c r="P36" s="94">
        <f t="shared" ca="1" si="10"/>
        <v>26.080912058901578</v>
      </c>
      <c r="Q36" s="94">
        <f t="shared" ca="1" si="11"/>
        <v>26.080912058901578</v>
      </c>
      <c r="R36" s="94">
        <f t="shared" ca="1" si="12"/>
        <v>2.6080912058901577</v>
      </c>
      <c r="S36" s="94">
        <f t="shared" ca="1" si="13"/>
        <v>2.6080912058901573</v>
      </c>
      <c r="T36" s="4">
        <f t="shared" ca="1" si="14"/>
        <v>0</v>
      </c>
      <c r="U36" s="46">
        <f t="shared" ca="1" si="15"/>
        <v>1438.2765406745989</v>
      </c>
      <c r="V36" s="4">
        <f t="shared" ca="1" si="16"/>
        <v>0</v>
      </c>
      <c r="W36" s="13">
        <f t="shared" ca="1" si="17"/>
        <v>13083.056487596155</v>
      </c>
      <c r="X36" s="4">
        <f t="shared" ca="1" si="18"/>
        <v>0</v>
      </c>
      <c r="AE36" s="4"/>
    </row>
    <row r="37" spans="1:31">
      <c r="A37">
        <v>0</v>
      </c>
      <c r="B37">
        <v>0</v>
      </c>
      <c r="C37">
        <f t="shared" si="0"/>
        <v>6</v>
      </c>
      <c r="D37">
        <f t="shared" si="1"/>
        <v>4</v>
      </c>
      <c r="E37">
        <f t="shared" si="2"/>
        <v>0</v>
      </c>
      <c r="F37" s="100">
        <f t="shared" ca="1" si="3"/>
        <v>0.55980323999999992</v>
      </c>
      <c r="G37">
        <v>0</v>
      </c>
      <c r="H37">
        <v>1</v>
      </c>
      <c r="I37">
        <v>4</v>
      </c>
      <c r="J37" s="1">
        <f t="shared" ca="1" si="4"/>
        <v>4.7549502495E-2</v>
      </c>
      <c r="K37" s="1">
        <f t="shared" ca="1" si="5"/>
        <v>2.6618365557089081E-2</v>
      </c>
      <c r="L37" s="13">
        <f t="shared" ca="1" si="6"/>
        <v>151</v>
      </c>
      <c r="M37" s="7">
        <f t="shared" ca="1" si="7"/>
        <v>849</v>
      </c>
      <c r="N37" s="44">
        <f t="shared" ca="1" si="8"/>
        <v>9</v>
      </c>
      <c r="O37" s="94">
        <f t="shared" ca="1" si="9"/>
        <v>2.6080912058901573</v>
      </c>
      <c r="P37" s="94">
        <f t="shared" ca="1" si="10"/>
        <v>26.080912058901578</v>
      </c>
      <c r="Q37" s="94">
        <f t="shared" ca="1" si="11"/>
        <v>26.080912058901578</v>
      </c>
      <c r="R37" s="94">
        <f t="shared" ca="1" si="12"/>
        <v>2.6080912058901577</v>
      </c>
      <c r="S37" s="94">
        <f t="shared" ca="1" si="13"/>
        <v>2.6080912058901573</v>
      </c>
      <c r="T37" s="4">
        <f t="shared" ca="1" si="14"/>
        <v>6.9423125124613488E-2</v>
      </c>
      <c r="U37" s="46">
        <f t="shared" ca="1" si="15"/>
        <v>1421.2765406745989</v>
      </c>
      <c r="V37" s="4">
        <f t="shared" ca="1" si="16"/>
        <v>37.832058517391459</v>
      </c>
      <c r="W37" s="13">
        <f t="shared" ca="1" si="17"/>
        <v>10897.684505639905</v>
      </c>
      <c r="X37" s="4">
        <f t="shared" ca="1" si="18"/>
        <v>290.07854989694863</v>
      </c>
      <c r="AE37" s="4"/>
    </row>
    <row r="38" spans="1:31">
      <c r="A38">
        <v>0</v>
      </c>
      <c r="B38">
        <v>0</v>
      </c>
      <c r="C38">
        <f t="shared" si="0"/>
        <v>6</v>
      </c>
      <c r="D38">
        <f t="shared" si="1"/>
        <v>4</v>
      </c>
      <c r="E38">
        <f t="shared" si="2"/>
        <v>0</v>
      </c>
      <c r="F38" s="100">
        <f t="shared" ca="1" si="3"/>
        <v>0.55980323999999992</v>
      </c>
      <c r="G38">
        <v>0</v>
      </c>
      <c r="H38">
        <v>1</v>
      </c>
      <c r="I38">
        <v>3</v>
      </c>
      <c r="J38" s="1">
        <f t="shared" ca="1" si="4"/>
        <v>1.9211920200000018E-3</v>
      </c>
      <c r="K38" s="1">
        <f t="shared" ca="1" si="5"/>
        <v>1.0754895174581458E-3</v>
      </c>
      <c r="L38" s="13">
        <f t="shared" ca="1" si="6"/>
        <v>134</v>
      </c>
      <c r="M38" s="7">
        <f t="shared" ca="1" si="7"/>
        <v>866</v>
      </c>
      <c r="N38" s="44">
        <f t="shared" ca="1" si="8"/>
        <v>10</v>
      </c>
      <c r="O38" s="94">
        <f t="shared" ca="1" si="9"/>
        <v>2.855590707781452</v>
      </c>
      <c r="P38" s="94">
        <f t="shared" ca="1" si="10"/>
        <v>26.328411560792873</v>
      </c>
      <c r="Q38" s="94">
        <f t="shared" ca="1" si="11"/>
        <v>26.080912058901578</v>
      </c>
      <c r="R38" s="94">
        <f t="shared" ca="1" si="12"/>
        <v>2.6204661809847223</v>
      </c>
      <c r="S38" s="94">
        <f t="shared" ca="1" si="13"/>
        <v>2.855590707781452</v>
      </c>
      <c r="T38" s="4">
        <f t="shared" ca="1" si="14"/>
        <v>3.0711578723698388E-3</v>
      </c>
      <c r="U38" s="46">
        <f t="shared" ca="1" si="15"/>
        <v>1502.276501057248</v>
      </c>
      <c r="V38" s="4">
        <f t="shared" ca="1" si="16"/>
        <v>1.6156826292107713</v>
      </c>
      <c r="W38" s="13">
        <f t="shared" ca="1" si="17"/>
        <v>8712.3125236836531</v>
      </c>
      <c r="X38" s="4">
        <f t="shared" ca="1" si="18"/>
        <v>9.3700007920410915</v>
      </c>
      <c r="AE38" s="4"/>
    </row>
    <row r="39" spans="1:31">
      <c r="A39">
        <v>0</v>
      </c>
      <c r="B39">
        <v>0</v>
      </c>
      <c r="C39">
        <f t="shared" si="0"/>
        <v>6</v>
      </c>
      <c r="D39">
        <f t="shared" si="1"/>
        <v>4</v>
      </c>
      <c r="E39">
        <f t="shared" si="2"/>
        <v>0</v>
      </c>
      <c r="F39" s="100">
        <f t="shared" ca="1" si="3"/>
        <v>0.55980323999999992</v>
      </c>
      <c r="G39">
        <v>0</v>
      </c>
      <c r="H39">
        <v>1</v>
      </c>
      <c r="I39">
        <v>2</v>
      </c>
      <c r="J39" s="1">
        <f t="shared" ca="1" si="4"/>
        <v>2.9108970000000054E-5</v>
      </c>
      <c r="K39" s="1">
        <f t="shared" ca="1" si="5"/>
        <v>1.6295295719062829E-5</v>
      </c>
      <c r="L39" s="13">
        <f t="shared" ca="1" si="6"/>
        <v>117</v>
      </c>
      <c r="M39" s="7">
        <f t="shared" ca="1" si="7"/>
        <v>883</v>
      </c>
      <c r="N39" s="44">
        <f t="shared" ca="1" si="8"/>
        <v>10</v>
      </c>
      <c r="O39" s="94">
        <f t="shared" ca="1" si="9"/>
        <v>2.855590707781452</v>
      </c>
      <c r="P39" s="94">
        <f t="shared" ca="1" si="10"/>
        <v>28.555907077814521</v>
      </c>
      <c r="Q39" s="94">
        <f t="shared" ca="1" si="11"/>
        <v>28.060908074031932</v>
      </c>
      <c r="R39" s="94">
        <f t="shared" ca="1" si="12"/>
        <v>2.8308407575923225</v>
      </c>
      <c r="S39" s="94">
        <f t="shared" ca="1" si="13"/>
        <v>2.855590707781452</v>
      </c>
      <c r="T39" s="4">
        <f t="shared" ca="1" si="14"/>
        <v>4.6532695035906691E-5</v>
      </c>
      <c r="U39" s="46">
        <f t="shared" ca="1" si="15"/>
        <v>1485.276501057248</v>
      </c>
      <c r="V39" s="4">
        <f t="shared" ca="1" si="16"/>
        <v>2.4203019809302791E-2</v>
      </c>
      <c r="W39" s="13">
        <f t="shared" ca="1" si="17"/>
        <v>6526.9405417274047</v>
      </c>
      <c r="X39" s="4">
        <f t="shared" ca="1" si="18"/>
        <v>0.1063584262681882</v>
      </c>
      <c r="AE39" s="4"/>
    </row>
    <row r="40" spans="1:31">
      <c r="A40">
        <v>0</v>
      </c>
      <c r="B40">
        <v>0</v>
      </c>
      <c r="C40">
        <f t="shared" si="0"/>
        <v>6</v>
      </c>
      <c r="D40">
        <f t="shared" si="1"/>
        <v>4</v>
      </c>
      <c r="E40">
        <f t="shared" si="2"/>
        <v>0</v>
      </c>
      <c r="F40" s="100">
        <f t="shared" ca="1" si="3"/>
        <v>0.55980323999999992</v>
      </c>
      <c r="G40">
        <v>0</v>
      </c>
      <c r="H40">
        <v>1</v>
      </c>
      <c r="I40">
        <v>1</v>
      </c>
      <c r="J40" s="1">
        <f t="shared" ca="1" si="4"/>
        <v>1.9602000000000053E-7</v>
      </c>
      <c r="K40" s="1">
        <f t="shared" ca="1" si="5"/>
        <v>1.0973263110480028E-7</v>
      </c>
      <c r="L40" s="13">
        <f t="shared" ca="1" si="6"/>
        <v>100</v>
      </c>
      <c r="M40" s="7">
        <f t="shared" ca="1" si="7"/>
        <v>900</v>
      </c>
      <c r="N40" s="44">
        <f t="shared" ca="1" si="8"/>
        <v>10</v>
      </c>
      <c r="O40" s="94">
        <f t="shared" ca="1" si="9"/>
        <v>2.855590707781452</v>
      </c>
      <c r="P40" s="94">
        <f t="shared" ca="1" si="10"/>
        <v>28.555907077814521</v>
      </c>
      <c r="Q40" s="94">
        <f t="shared" ca="1" si="11"/>
        <v>28.555907077814521</v>
      </c>
      <c r="R40" s="94">
        <f t="shared" ca="1" si="12"/>
        <v>2.855590707781452</v>
      </c>
      <c r="S40" s="94">
        <f t="shared" ca="1" si="13"/>
        <v>2.855590707781452</v>
      </c>
      <c r="T40" s="4">
        <f t="shared" ca="1" si="14"/>
        <v>3.1335148172327763E-7</v>
      </c>
      <c r="U40" s="46">
        <f t="shared" ca="1" si="15"/>
        <v>1468.276501057248</v>
      </c>
      <c r="V40" s="4">
        <f t="shared" ca="1" si="16"/>
        <v>1.611178436503619E-4</v>
      </c>
      <c r="W40" s="13">
        <f t="shared" ca="1" si="17"/>
        <v>4341.5685597711545</v>
      </c>
      <c r="X40" s="4">
        <f t="shared" ca="1" si="18"/>
        <v>4.7641174118556712E-4</v>
      </c>
      <c r="AE40" s="4"/>
    </row>
    <row r="41" spans="1:31">
      <c r="A41">
        <v>0</v>
      </c>
      <c r="B41">
        <v>0</v>
      </c>
      <c r="C41">
        <f t="shared" si="0"/>
        <v>6</v>
      </c>
      <c r="D41">
        <f t="shared" si="1"/>
        <v>4</v>
      </c>
      <c r="E41">
        <f t="shared" si="2"/>
        <v>0</v>
      </c>
      <c r="F41" s="100">
        <f t="shared" ca="1" si="3"/>
        <v>0.55980323999999992</v>
      </c>
      <c r="G41">
        <v>0</v>
      </c>
      <c r="H41">
        <v>1</v>
      </c>
      <c r="I41">
        <v>0</v>
      </c>
      <c r="J41" s="1">
        <f t="shared" ca="1" si="4"/>
        <v>4.9500000000000181E-10</v>
      </c>
      <c r="K41" s="1">
        <f t="shared" ca="1" si="5"/>
        <v>2.77102603800001E-10</v>
      </c>
      <c r="L41" s="13">
        <f t="shared" ca="1" si="6"/>
        <v>100</v>
      </c>
      <c r="M41" s="7">
        <f t="shared" ca="1" si="7"/>
        <v>900</v>
      </c>
      <c r="N41" s="44">
        <f t="shared" ca="1" si="8"/>
        <v>10</v>
      </c>
      <c r="O41" s="94">
        <f t="shared" ca="1" si="9"/>
        <v>2.855590707781452</v>
      </c>
      <c r="P41" s="94">
        <f t="shared" ca="1" si="10"/>
        <v>28.555907077814521</v>
      </c>
      <c r="Q41" s="94">
        <f t="shared" ca="1" si="11"/>
        <v>28.555907077814521</v>
      </c>
      <c r="R41" s="94">
        <f t="shared" ca="1" si="12"/>
        <v>2.855590707781452</v>
      </c>
      <c r="S41" s="94">
        <f t="shared" ca="1" si="13"/>
        <v>2.855590707781452</v>
      </c>
      <c r="T41" s="4">
        <f t="shared" ca="1" si="14"/>
        <v>7.9129162051332807E-10</v>
      </c>
      <c r="U41" s="46">
        <f t="shared" ca="1" si="15"/>
        <v>1468.276501057248</v>
      </c>
      <c r="V41" s="4">
        <f t="shared" ca="1" si="16"/>
        <v>4.068632415413183E-7</v>
      </c>
      <c r="W41" s="13">
        <f t="shared" ca="1" si="17"/>
        <v>2156.1965778149038</v>
      </c>
      <c r="X41" s="4">
        <f t="shared" ca="1" si="18"/>
        <v>5.9748768601716132E-7</v>
      </c>
      <c r="AE41" s="4"/>
    </row>
    <row r="42" spans="1:31">
      <c r="A42">
        <v>0</v>
      </c>
      <c r="B42">
        <v>0</v>
      </c>
      <c r="C42">
        <f t="shared" si="0"/>
        <v>6</v>
      </c>
      <c r="D42">
        <f t="shared" si="1"/>
        <v>4</v>
      </c>
      <c r="E42">
        <f t="shared" si="2"/>
        <v>0</v>
      </c>
      <c r="F42" s="100">
        <f t="shared" ca="1" si="3"/>
        <v>0.55980323999999992</v>
      </c>
      <c r="G42">
        <v>0</v>
      </c>
      <c r="H42">
        <v>0</v>
      </c>
      <c r="I42">
        <v>7</v>
      </c>
      <c r="J42" s="1">
        <f t="shared" ca="1" si="4"/>
        <v>0</v>
      </c>
      <c r="K42" s="1">
        <f t="shared" ca="1" si="5"/>
        <v>0</v>
      </c>
      <c r="L42" s="13">
        <f t="shared" ca="1" si="6"/>
        <v>119</v>
      </c>
      <c r="M42" s="7">
        <f t="shared" ca="1" si="7"/>
        <v>881</v>
      </c>
      <c r="N42" s="44">
        <f t="shared" ca="1" si="8"/>
        <v>10</v>
      </c>
      <c r="O42" s="94">
        <f t="shared" ca="1" si="9"/>
        <v>2.855590707781452</v>
      </c>
      <c r="P42" s="94">
        <f t="shared" ca="1" si="10"/>
        <v>28.555907077814521</v>
      </c>
      <c r="Q42" s="94">
        <f t="shared" ca="1" si="11"/>
        <v>27.565909070249344</v>
      </c>
      <c r="R42" s="94">
        <f t="shared" ca="1" si="12"/>
        <v>2.8060908074031934</v>
      </c>
      <c r="S42" s="94">
        <f t="shared" ca="1" si="13"/>
        <v>2.855590707781452</v>
      </c>
      <c r="T42" s="4">
        <f t="shared" ca="1" si="14"/>
        <v>0</v>
      </c>
      <c r="U42" s="46">
        <f t="shared" ca="1" si="15"/>
        <v>1487.276501057248</v>
      </c>
      <c r="V42" s="4">
        <f t="shared" ca="1" si="16"/>
        <v>0</v>
      </c>
      <c r="W42" s="13">
        <f t="shared" ca="1" si="17"/>
        <v>15297.60387369375</v>
      </c>
      <c r="X42" s="4">
        <f t="shared" ca="1" si="18"/>
        <v>0</v>
      </c>
      <c r="AE42" s="4"/>
    </row>
    <row r="43" spans="1:31">
      <c r="A43">
        <v>0</v>
      </c>
      <c r="B43">
        <v>0</v>
      </c>
      <c r="C43">
        <f t="shared" si="0"/>
        <v>6</v>
      </c>
      <c r="D43">
        <f t="shared" si="1"/>
        <v>4</v>
      </c>
      <c r="E43">
        <f t="shared" si="2"/>
        <v>0</v>
      </c>
      <c r="F43" s="100">
        <f t="shared" ca="1" si="3"/>
        <v>0.55980323999999992</v>
      </c>
      <c r="G43">
        <v>0</v>
      </c>
      <c r="H43">
        <v>0</v>
      </c>
      <c r="I43">
        <v>6</v>
      </c>
      <c r="J43" s="1">
        <f t="shared" ca="1" si="4"/>
        <v>0</v>
      </c>
      <c r="K43" s="1">
        <f t="shared" ca="1" si="5"/>
        <v>0</v>
      </c>
      <c r="L43" s="13">
        <f t="shared" ca="1" si="6"/>
        <v>102</v>
      </c>
      <c r="M43" s="7">
        <f t="shared" ca="1" si="7"/>
        <v>898</v>
      </c>
      <c r="N43" s="44">
        <f t="shared" ca="1" si="8"/>
        <v>10</v>
      </c>
      <c r="O43" s="94">
        <f t="shared" ca="1" si="9"/>
        <v>2.855590707781452</v>
      </c>
      <c r="P43" s="94">
        <f t="shared" ca="1" si="10"/>
        <v>28.555907077814521</v>
      </c>
      <c r="Q43" s="94">
        <f t="shared" ca="1" si="11"/>
        <v>28.555907077814521</v>
      </c>
      <c r="R43" s="94">
        <f t="shared" ca="1" si="12"/>
        <v>2.855590707781452</v>
      </c>
      <c r="S43" s="94">
        <f t="shared" ca="1" si="13"/>
        <v>2.855590707781452</v>
      </c>
      <c r="T43" s="4">
        <f t="shared" ca="1" si="14"/>
        <v>0</v>
      </c>
      <c r="U43" s="46">
        <f t="shared" ca="1" si="15"/>
        <v>1470.276501057248</v>
      </c>
      <c r="V43" s="4">
        <f t="shared" ca="1" si="16"/>
        <v>0</v>
      </c>
      <c r="W43" s="13">
        <f t="shared" ca="1" si="17"/>
        <v>13112.2318917375</v>
      </c>
      <c r="X43" s="4">
        <f t="shared" ca="1" si="18"/>
        <v>0</v>
      </c>
      <c r="AE43" s="4"/>
    </row>
    <row r="44" spans="1:31">
      <c r="A44">
        <v>0</v>
      </c>
      <c r="B44">
        <v>0</v>
      </c>
      <c r="C44">
        <f t="shared" si="0"/>
        <v>6</v>
      </c>
      <c r="D44">
        <f t="shared" si="1"/>
        <v>4</v>
      </c>
      <c r="E44">
        <f t="shared" si="2"/>
        <v>0</v>
      </c>
      <c r="F44" s="100">
        <f t="shared" ca="1" si="3"/>
        <v>0.55980323999999992</v>
      </c>
      <c r="G44">
        <v>0</v>
      </c>
      <c r="H44">
        <v>0</v>
      </c>
      <c r="I44">
        <v>5</v>
      </c>
      <c r="J44" s="1">
        <f t="shared" ca="1" si="4"/>
        <v>0</v>
      </c>
      <c r="K44" s="1">
        <f t="shared" ca="1" si="5"/>
        <v>0</v>
      </c>
      <c r="L44" s="13">
        <f t="shared" ca="1" si="6"/>
        <v>100</v>
      </c>
      <c r="M44" s="7">
        <f t="shared" ca="1" si="7"/>
        <v>900</v>
      </c>
      <c r="N44" s="44">
        <f t="shared" ca="1" si="8"/>
        <v>10</v>
      </c>
      <c r="O44" s="94">
        <f t="shared" ca="1" si="9"/>
        <v>2.855590707781452</v>
      </c>
      <c r="P44" s="94">
        <f t="shared" ca="1" si="10"/>
        <v>28.555907077814521</v>
      </c>
      <c r="Q44" s="94">
        <f t="shared" ca="1" si="11"/>
        <v>28.555907077814521</v>
      </c>
      <c r="R44" s="94">
        <f t="shared" ca="1" si="12"/>
        <v>2.855590707781452</v>
      </c>
      <c r="S44" s="94">
        <f t="shared" ca="1" si="13"/>
        <v>2.855590707781452</v>
      </c>
      <c r="T44" s="4">
        <f t="shared" ca="1" si="14"/>
        <v>0</v>
      </c>
      <c r="U44" s="46">
        <f t="shared" ca="1" si="15"/>
        <v>1468.276501057248</v>
      </c>
      <c r="V44" s="4">
        <f t="shared" ca="1" si="16"/>
        <v>0</v>
      </c>
      <c r="W44" s="13">
        <f t="shared" ca="1" si="17"/>
        <v>10926.859909781251</v>
      </c>
      <c r="X44" s="4">
        <f t="shared" ca="1" si="18"/>
        <v>0</v>
      </c>
      <c r="AE44" s="4"/>
    </row>
    <row r="45" spans="1:31">
      <c r="A45">
        <v>0</v>
      </c>
      <c r="B45">
        <v>0</v>
      </c>
      <c r="C45">
        <f t="shared" si="0"/>
        <v>6</v>
      </c>
      <c r="D45">
        <f t="shared" si="1"/>
        <v>4</v>
      </c>
      <c r="E45">
        <f t="shared" si="2"/>
        <v>0</v>
      </c>
      <c r="F45" s="100">
        <f t="shared" ca="1" si="3"/>
        <v>0.55980323999999992</v>
      </c>
      <c r="G45">
        <v>0</v>
      </c>
      <c r="H45">
        <v>0</v>
      </c>
      <c r="I45">
        <v>4</v>
      </c>
      <c r="J45" s="1">
        <f t="shared" ca="1" si="4"/>
        <v>4.802980050000004E-4</v>
      </c>
      <c r="K45" s="1">
        <f t="shared" ca="1" si="5"/>
        <v>2.6887237936453639E-4</v>
      </c>
      <c r="L45" s="13">
        <f t="shared" ca="1" si="6"/>
        <v>100</v>
      </c>
      <c r="M45" s="7">
        <f t="shared" ca="1" si="7"/>
        <v>900</v>
      </c>
      <c r="N45" s="44">
        <f t="shared" ca="1" si="8"/>
        <v>10</v>
      </c>
      <c r="O45" s="94">
        <f t="shared" ca="1" si="9"/>
        <v>2.855590707781452</v>
      </c>
      <c r="P45" s="94">
        <f t="shared" ca="1" si="10"/>
        <v>28.555907077814521</v>
      </c>
      <c r="Q45" s="94">
        <f t="shared" ca="1" si="11"/>
        <v>28.555907077814521</v>
      </c>
      <c r="R45" s="94">
        <f t="shared" ca="1" si="12"/>
        <v>2.855590707781452</v>
      </c>
      <c r="S45" s="94">
        <f t="shared" ca="1" si="13"/>
        <v>2.855590707781452</v>
      </c>
      <c r="T45" s="4">
        <f t="shared" ca="1" si="14"/>
        <v>7.6778946809245949E-4</v>
      </c>
      <c r="U45" s="46">
        <f t="shared" ca="1" si="15"/>
        <v>1468.276501057248</v>
      </c>
      <c r="V45" s="4">
        <f t="shared" ca="1" si="16"/>
        <v>0.39477899640429848</v>
      </c>
      <c r="W45" s="13">
        <f t="shared" ca="1" si="17"/>
        <v>8741.487927825001</v>
      </c>
      <c r="X45" s="4">
        <f t="shared" ca="1" si="18"/>
        <v>2.3503446583406786</v>
      </c>
      <c r="AE45" s="4"/>
    </row>
    <row r="46" spans="1:31">
      <c r="A46">
        <v>0</v>
      </c>
      <c r="B46">
        <v>0</v>
      </c>
      <c r="C46">
        <f t="shared" si="0"/>
        <v>6</v>
      </c>
      <c r="D46">
        <f t="shared" si="1"/>
        <v>4</v>
      </c>
      <c r="E46">
        <f t="shared" si="2"/>
        <v>0</v>
      </c>
      <c r="F46" s="100">
        <f t="shared" ca="1" si="3"/>
        <v>0.55980323999999992</v>
      </c>
      <c r="G46">
        <v>0</v>
      </c>
      <c r="H46">
        <v>0</v>
      </c>
      <c r="I46">
        <v>3</v>
      </c>
      <c r="J46" s="1">
        <f t="shared" ca="1" si="4"/>
        <v>1.9405980000000033E-5</v>
      </c>
      <c r="K46" s="1">
        <f t="shared" ca="1" si="5"/>
        <v>1.0863530479375217E-5</v>
      </c>
      <c r="L46" s="13">
        <f t="shared" ca="1" si="6"/>
        <v>100</v>
      </c>
      <c r="M46" s="7">
        <f t="shared" ca="1" si="7"/>
        <v>900</v>
      </c>
      <c r="N46" s="44">
        <f t="shared" ca="1" si="8"/>
        <v>10</v>
      </c>
      <c r="O46" s="94">
        <f t="shared" ca="1" si="9"/>
        <v>2.855590707781452</v>
      </c>
      <c r="P46" s="94">
        <f t="shared" ca="1" si="10"/>
        <v>28.555907077814521</v>
      </c>
      <c r="Q46" s="94">
        <f t="shared" ca="1" si="11"/>
        <v>28.555907077814521</v>
      </c>
      <c r="R46" s="94">
        <f t="shared" ca="1" si="12"/>
        <v>2.855590707781452</v>
      </c>
      <c r="S46" s="94">
        <f t="shared" ca="1" si="13"/>
        <v>2.855590707781452</v>
      </c>
      <c r="T46" s="4">
        <f t="shared" ca="1" si="14"/>
        <v>3.1021796690604452E-5</v>
      </c>
      <c r="U46" s="46">
        <f t="shared" ca="1" si="15"/>
        <v>1468.276501057248</v>
      </c>
      <c r="V46" s="4">
        <f t="shared" ca="1" si="16"/>
        <v>1.5950666521385812E-2</v>
      </c>
      <c r="W46" s="13">
        <f t="shared" ca="1" si="17"/>
        <v>6556.1159458687498</v>
      </c>
      <c r="X46" s="4">
        <f t="shared" ca="1" si="18"/>
        <v>7.1222565404263041E-2</v>
      </c>
      <c r="AE46" s="4"/>
    </row>
    <row r="47" spans="1:31">
      <c r="A47">
        <v>0</v>
      </c>
      <c r="B47">
        <v>0</v>
      </c>
      <c r="C47">
        <f t="shared" si="0"/>
        <v>6</v>
      </c>
      <c r="D47">
        <f t="shared" si="1"/>
        <v>4</v>
      </c>
      <c r="E47">
        <f t="shared" si="2"/>
        <v>0</v>
      </c>
      <c r="F47" s="100">
        <f t="shared" ca="1" si="3"/>
        <v>0.55980323999999992</v>
      </c>
      <c r="G47">
        <v>0</v>
      </c>
      <c r="H47">
        <v>0</v>
      </c>
      <c r="I47">
        <v>2</v>
      </c>
      <c r="J47" s="1">
        <f t="shared" ca="1" si="4"/>
        <v>2.9403000000000079E-7</v>
      </c>
      <c r="K47" s="1">
        <f t="shared" ca="1" si="5"/>
        <v>1.6459894665720042E-7</v>
      </c>
      <c r="L47" s="13">
        <f t="shared" ca="1" si="6"/>
        <v>100</v>
      </c>
      <c r="M47" s="7">
        <f t="shared" ca="1" si="7"/>
        <v>900</v>
      </c>
      <c r="N47" s="44">
        <f t="shared" ca="1" si="8"/>
        <v>10</v>
      </c>
      <c r="O47" s="94">
        <f t="shared" ca="1" si="9"/>
        <v>2.855590707781452</v>
      </c>
      <c r="P47" s="94">
        <f t="shared" ca="1" si="10"/>
        <v>28.555907077814521</v>
      </c>
      <c r="Q47" s="94">
        <f t="shared" ca="1" si="11"/>
        <v>28.555907077814521</v>
      </c>
      <c r="R47" s="94">
        <f t="shared" ca="1" si="12"/>
        <v>2.855590707781452</v>
      </c>
      <c r="S47" s="94">
        <f t="shared" ca="1" si="13"/>
        <v>2.855590707781452</v>
      </c>
      <c r="T47" s="4">
        <f t="shared" ca="1" si="14"/>
        <v>4.7002722258491639E-7</v>
      </c>
      <c r="U47" s="46">
        <f t="shared" ca="1" si="15"/>
        <v>1468.276501057248</v>
      </c>
      <c r="V47" s="4">
        <f t="shared" ca="1" si="16"/>
        <v>2.4167676547554284E-4</v>
      </c>
      <c r="W47" s="13">
        <f t="shared" ca="1" si="17"/>
        <v>4370.7439639125005</v>
      </c>
      <c r="X47" s="4">
        <f t="shared" ca="1" si="18"/>
        <v>7.1941985256831435E-4</v>
      </c>
      <c r="AE47" s="4"/>
    </row>
    <row r="48" spans="1:31">
      <c r="A48">
        <v>0</v>
      </c>
      <c r="B48">
        <v>0</v>
      </c>
      <c r="C48">
        <f t="shared" si="0"/>
        <v>6</v>
      </c>
      <c r="D48">
        <f t="shared" si="1"/>
        <v>4</v>
      </c>
      <c r="E48">
        <f t="shared" si="2"/>
        <v>0</v>
      </c>
      <c r="F48" s="100">
        <f t="shared" ca="1" si="3"/>
        <v>0.55980323999999992</v>
      </c>
      <c r="G48">
        <v>0</v>
      </c>
      <c r="H48">
        <v>0</v>
      </c>
      <c r="I48">
        <v>1</v>
      </c>
      <c r="J48" s="1">
        <f t="shared" ca="1" si="4"/>
        <v>1.9800000000000068E-9</v>
      </c>
      <c r="K48" s="1">
        <f t="shared" ca="1" si="5"/>
        <v>1.1084104152000036E-9</v>
      </c>
      <c r="L48" s="13">
        <f t="shared" ca="1" si="6"/>
        <v>100</v>
      </c>
      <c r="M48" s="7">
        <f t="shared" ca="1" si="7"/>
        <v>900</v>
      </c>
      <c r="N48" s="44">
        <f t="shared" ca="1" si="8"/>
        <v>10</v>
      </c>
      <c r="O48" s="94">
        <f t="shared" ca="1" si="9"/>
        <v>2.855590707781452</v>
      </c>
      <c r="P48" s="94">
        <f t="shared" ca="1" si="10"/>
        <v>28.555907077814521</v>
      </c>
      <c r="Q48" s="94">
        <f t="shared" ca="1" si="11"/>
        <v>28.555907077814521</v>
      </c>
      <c r="R48" s="94">
        <f t="shared" ca="1" si="12"/>
        <v>2.855590707781452</v>
      </c>
      <c r="S48" s="94">
        <f t="shared" ca="1" si="13"/>
        <v>2.855590707781452</v>
      </c>
      <c r="T48" s="4">
        <f t="shared" ca="1" si="14"/>
        <v>3.1651664820533114E-9</v>
      </c>
      <c r="U48" s="46">
        <f t="shared" ca="1" si="15"/>
        <v>1468.276501057248</v>
      </c>
      <c r="V48" s="4">
        <f t="shared" ca="1" si="16"/>
        <v>1.6274529661652728E-6</v>
      </c>
      <c r="W48" s="13">
        <f t="shared" ca="1" si="17"/>
        <v>2185.3719819562502</v>
      </c>
      <c r="X48" s="4">
        <f t="shared" ca="1" si="18"/>
        <v>2.4222890658865819E-6</v>
      </c>
      <c r="AE48" s="4"/>
    </row>
    <row r="49" spans="1:31">
      <c r="A49">
        <v>0</v>
      </c>
      <c r="B49">
        <v>0</v>
      </c>
      <c r="C49">
        <f t="shared" si="0"/>
        <v>6</v>
      </c>
      <c r="D49">
        <f t="shared" si="1"/>
        <v>4</v>
      </c>
      <c r="E49">
        <f t="shared" si="2"/>
        <v>0</v>
      </c>
      <c r="F49" s="100">
        <f t="shared" ca="1" si="3"/>
        <v>0.55980323999999992</v>
      </c>
      <c r="G49">
        <v>0</v>
      </c>
      <c r="H49">
        <v>0</v>
      </c>
      <c r="I49">
        <v>0</v>
      </c>
      <c r="J49" s="1">
        <f t="shared" ca="1" si="4"/>
        <v>5.0000000000000231E-12</v>
      </c>
      <c r="K49" s="1">
        <f t="shared" ca="1" si="5"/>
        <v>2.7990162000000127E-12</v>
      </c>
      <c r="L49" s="13">
        <f t="shared" ca="1" si="6"/>
        <v>100</v>
      </c>
      <c r="M49" s="7">
        <f t="shared" ca="1" si="7"/>
        <v>900</v>
      </c>
      <c r="N49" s="44">
        <f t="shared" ca="1" si="8"/>
        <v>10</v>
      </c>
      <c r="O49" s="94">
        <f t="shared" ca="1" si="9"/>
        <v>2.855590707781452</v>
      </c>
      <c r="P49" s="94">
        <f t="shared" ca="1" si="10"/>
        <v>28.555907077814521</v>
      </c>
      <c r="Q49" s="94">
        <f t="shared" ca="1" si="11"/>
        <v>28.555907077814521</v>
      </c>
      <c r="R49" s="94">
        <f t="shared" ca="1" si="12"/>
        <v>2.855590707781452</v>
      </c>
      <c r="S49" s="94">
        <f t="shared" ca="1" si="13"/>
        <v>2.855590707781452</v>
      </c>
      <c r="T49" s="4">
        <f t="shared" ca="1" si="14"/>
        <v>7.9928446516497862E-12</v>
      </c>
      <c r="U49" s="46">
        <f t="shared" ca="1" si="15"/>
        <v>1468.276501057248</v>
      </c>
      <c r="V49" s="4">
        <f t="shared" ca="1" si="16"/>
        <v>4.1097297125385724E-9</v>
      </c>
      <c r="W49" s="13">
        <f t="shared" ca="1" si="17"/>
        <v>0</v>
      </c>
      <c r="X49" s="4">
        <f t="shared" ca="1" si="18"/>
        <v>0</v>
      </c>
      <c r="AE49" s="4"/>
    </row>
    <row r="50" spans="1:31">
      <c r="A50">
        <v>0</v>
      </c>
      <c r="B50">
        <v>1</v>
      </c>
      <c r="C50">
        <f t="shared" si="0"/>
        <v>7</v>
      </c>
      <c r="D50">
        <f t="shared" si="1"/>
        <v>5</v>
      </c>
      <c r="E50">
        <f t="shared" si="2"/>
        <v>0</v>
      </c>
      <c r="F50" s="100">
        <f t="shared" ca="1" si="3"/>
        <v>8.3648759999999989E-2</v>
      </c>
      <c r="G50">
        <v>1</v>
      </c>
      <c r="H50">
        <v>1</v>
      </c>
      <c r="I50">
        <v>7</v>
      </c>
      <c r="J50" s="1">
        <f t="shared" ca="1" si="4"/>
        <v>0</v>
      </c>
      <c r="K50" s="1">
        <f t="shared" ca="1" si="5"/>
        <v>0</v>
      </c>
      <c r="L50" s="13">
        <f t="shared" ca="1" si="6"/>
        <v>285</v>
      </c>
      <c r="M50" s="7">
        <f t="shared" ca="1" si="7"/>
        <v>715</v>
      </c>
      <c r="N50" s="44">
        <f t="shared" ca="1" si="8"/>
        <v>8</v>
      </c>
      <c r="O50" s="94">
        <f t="shared" ca="1" si="9"/>
        <v>2.3721134347108093</v>
      </c>
      <c r="P50" s="94">
        <f t="shared" ca="1" si="10"/>
        <v>23.721134347108087</v>
      </c>
      <c r="Q50" s="94">
        <f t="shared" ca="1" si="11"/>
        <v>23.721134347108087</v>
      </c>
      <c r="R50" s="94">
        <f t="shared" ca="1" si="12"/>
        <v>2.3721134347108088</v>
      </c>
      <c r="S50" s="94">
        <f t="shared" ca="1" si="13"/>
        <v>2.3721134347108093</v>
      </c>
      <c r="T50" s="4">
        <f t="shared" ca="1" si="14"/>
        <v>0</v>
      </c>
      <c r="U50" s="46">
        <f t="shared" ca="1" si="15"/>
        <v>1461.8387274667198</v>
      </c>
      <c r="V50" s="4">
        <f t="shared" ca="1" si="16"/>
        <v>0</v>
      </c>
      <c r="W50" s="13">
        <f t="shared" ca="1" si="17"/>
        <v>19639.172433464904</v>
      </c>
      <c r="X50" s="4">
        <f t="shared" ca="1" si="18"/>
        <v>0</v>
      </c>
      <c r="AE50" s="4"/>
    </row>
    <row r="51" spans="1:31">
      <c r="A51">
        <v>0</v>
      </c>
      <c r="B51">
        <v>1</v>
      </c>
      <c r="C51">
        <f t="shared" si="0"/>
        <v>7</v>
      </c>
      <c r="D51">
        <f t="shared" si="1"/>
        <v>5</v>
      </c>
      <c r="E51">
        <f t="shared" si="2"/>
        <v>0</v>
      </c>
      <c r="F51" s="100">
        <f t="shared" ca="1" si="3"/>
        <v>8.3648759999999989E-2</v>
      </c>
      <c r="G51">
        <v>1</v>
      </c>
      <c r="H51">
        <v>1</v>
      </c>
      <c r="I51">
        <v>6</v>
      </c>
      <c r="J51" s="1">
        <f t="shared" ca="1" si="4"/>
        <v>0</v>
      </c>
      <c r="K51" s="1">
        <f t="shared" ca="1" si="5"/>
        <v>0</v>
      </c>
      <c r="L51" s="13">
        <f t="shared" ca="1" si="6"/>
        <v>268</v>
      </c>
      <c r="M51" s="7">
        <f t="shared" ca="1" si="7"/>
        <v>732</v>
      </c>
      <c r="N51" s="44">
        <f t="shared" ca="1" si="8"/>
        <v>8</v>
      </c>
      <c r="O51" s="94">
        <f t="shared" ca="1" si="9"/>
        <v>2.3721134347108093</v>
      </c>
      <c r="P51" s="94">
        <f t="shared" ca="1" si="10"/>
        <v>23.721134347108087</v>
      </c>
      <c r="Q51" s="94">
        <f t="shared" ca="1" si="11"/>
        <v>23.721134347108087</v>
      </c>
      <c r="R51" s="94">
        <f t="shared" ca="1" si="12"/>
        <v>2.3721134347108088</v>
      </c>
      <c r="S51" s="94">
        <f t="shared" ca="1" si="13"/>
        <v>2.3721134347108093</v>
      </c>
      <c r="T51" s="4">
        <f t="shared" ca="1" si="14"/>
        <v>0</v>
      </c>
      <c r="U51" s="46">
        <f t="shared" ca="1" si="15"/>
        <v>1444.8387274667198</v>
      </c>
      <c r="V51" s="4">
        <f t="shared" ca="1" si="16"/>
        <v>0</v>
      </c>
      <c r="W51" s="13">
        <f t="shared" ca="1" si="17"/>
        <v>17453.800451508654</v>
      </c>
      <c r="X51" s="4">
        <f t="shared" ca="1" si="18"/>
        <v>0</v>
      </c>
      <c r="AE51" s="4"/>
    </row>
    <row r="52" spans="1:31">
      <c r="A52">
        <v>0</v>
      </c>
      <c r="B52">
        <v>1</v>
      </c>
      <c r="C52">
        <f t="shared" si="0"/>
        <v>7</v>
      </c>
      <c r="D52">
        <f t="shared" si="1"/>
        <v>5</v>
      </c>
      <c r="E52">
        <f t="shared" si="2"/>
        <v>0</v>
      </c>
      <c r="F52" s="100">
        <f t="shared" ca="1" si="3"/>
        <v>8.3648759999999989E-2</v>
      </c>
      <c r="G52">
        <v>1</v>
      </c>
      <c r="H52">
        <v>1</v>
      </c>
      <c r="I52">
        <v>5</v>
      </c>
      <c r="J52" s="1">
        <f t="shared" ca="1" si="4"/>
        <v>0.89440614193094992</v>
      </c>
      <c r="K52" s="1">
        <f t="shared" ca="1" si="5"/>
        <v>7.4815964708907959E-2</v>
      </c>
      <c r="L52" s="13">
        <f t="shared" ca="1" si="6"/>
        <v>251</v>
      </c>
      <c r="M52" s="7">
        <f t="shared" ca="1" si="7"/>
        <v>749</v>
      </c>
      <c r="N52" s="44">
        <f t="shared" ca="1" si="8"/>
        <v>8</v>
      </c>
      <c r="O52" s="94">
        <f t="shared" ca="1" si="9"/>
        <v>2.3721134347108093</v>
      </c>
      <c r="P52" s="94">
        <f t="shared" ca="1" si="10"/>
        <v>23.721134347108087</v>
      </c>
      <c r="Q52" s="94">
        <f t="shared" ca="1" si="11"/>
        <v>23.721134347108087</v>
      </c>
      <c r="R52" s="94">
        <f t="shared" ca="1" si="12"/>
        <v>2.3721134347108088</v>
      </c>
      <c r="S52" s="94">
        <f t="shared" ca="1" si="13"/>
        <v>2.3721134347108093</v>
      </c>
      <c r="T52" s="4">
        <f t="shared" ca="1" si="14"/>
        <v>0.17747195501685034</v>
      </c>
      <c r="U52" s="46">
        <f t="shared" ca="1" si="15"/>
        <v>1427.8387274667198</v>
      </c>
      <c r="V52" s="4">
        <f t="shared" ca="1" si="16"/>
        <v>106.82513184416216</v>
      </c>
      <c r="W52" s="13">
        <f t="shared" ca="1" si="17"/>
        <v>15268.428469552406</v>
      </c>
      <c r="X52" s="4">
        <f t="shared" ca="1" si="18"/>
        <v>1142.3222055385183</v>
      </c>
      <c r="AE52" s="4"/>
    </row>
    <row r="53" spans="1:31">
      <c r="A53">
        <v>0</v>
      </c>
      <c r="B53">
        <v>1</v>
      </c>
      <c r="C53">
        <f t="shared" si="0"/>
        <v>7</v>
      </c>
      <c r="D53">
        <f t="shared" si="1"/>
        <v>5</v>
      </c>
      <c r="E53">
        <f t="shared" si="2"/>
        <v>0</v>
      </c>
      <c r="F53" s="100">
        <f t="shared" ca="1" si="3"/>
        <v>8.3648759999999989E-2</v>
      </c>
      <c r="G53">
        <v>1</v>
      </c>
      <c r="H53">
        <v>1</v>
      </c>
      <c r="I53">
        <v>4</v>
      </c>
      <c r="J53" s="1">
        <f t="shared" ca="1" si="4"/>
        <v>4.5172027370250036E-2</v>
      </c>
      <c r="K53" s="1">
        <f t="shared" ca="1" si="5"/>
        <v>3.7785840762074759E-3</v>
      </c>
      <c r="L53" s="13">
        <f t="shared" ca="1" si="6"/>
        <v>234</v>
      </c>
      <c r="M53" s="7">
        <f t="shared" ca="1" si="7"/>
        <v>766</v>
      </c>
      <c r="N53" s="44">
        <f t="shared" ca="1" si="8"/>
        <v>8</v>
      </c>
      <c r="O53" s="94">
        <f t="shared" ca="1" si="9"/>
        <v>2.3721134347108093</v>
      </c>
      <c r="P53" s="94">
        <f t="shared" ca="1" si="10"/>
        <v>23.721134347108087</v>
      </c>
      <c r="Q53" s="94">
        <f t="shared" ca="1" si="11"/>
        <v>23.721134347108087</v>
      </c>
      <c r="R53" s="94">
        <f t="shared" ca="1" si="12"/>
        <v>2.3721134347108088</v>
      </c>
      <c r="S53" s="94">
        <f t="shared" ca="1" si="13"/>
        <v>2.3721134347108093</v>
      </c>
      <c r="T53" s="4">
        <f t="shared" ca="1" si="14"/>
        <v>8.9632300513560852E-3</v>
      </c>
      <c r="U53" s="46">
        <f t="shared" ca="1" si="15"/>
        <v>1410.8387274667198</v>
      </c>
      <c r="V53" s="4">
        <f t="shared" ca="1" si="16"/>
        <v>5.3309727497025658</v>
      </c>
      <c r="W53" s="13">
        <f t="shared" ca="1" si="17"/>
        <v>13083.056487596155</v>
      </c>
      <c r="X53" s="4">
        <f t="shared" ca="1" si="18"/>
        <v>49.435428912153746</v>
      </c>
      <c r="AE53" s="4"/>
    </row>
    <row r="54" spans="1:31">
      <c r="A54">
        <v>0</v>
      </c>
      <c r="B54">
        <v>1</v>
      </c>
      <c r="C54">
        <f t="shared" si="0"/>
        <v>7</v>
      </c>
      <c r="D54">
        <f t="shared" si="1"/>
        <v>5</v>
      </c>
      <c r="E54">
        <f t="shared" si="2"/>
        <v>0</v>
      </c>
      <c r="F54" s="100">
        <f t="shared" ca="1" si="3"/>
        <v>8.3648759999999989E-2</v>
      </c>
      <c r="G54">
        <v>1</v>
      </c>
      <c r="H54">
        <v>1</v>
      </c>
      <c r="I54">
        <v>3</v>
      </c>
      <c r="J54" s="1">
        <f t="shared" ca="1" si="4"/>
        <v>9.1256620950000162E-4</v>
      </c>
      <c r="K54" s="1">
        <f t="shared" ca="1" si="5"/>
        <v>7.633503184257535E-5</v>
      </c>
      <c r="L54" s="13">
        <f t="shared" ca="1" si="6"/>
        <v>217</v>
      </c>
      <c r="M54" s="7">
        <f t="shared" ca="1" si="7"/>
        <v>783</v>
      </c>
      <c r="N54" s="44">
        <f t="shared" ca="1" si="8"/>
        <v>9</v>
      </c>
      <c r="O54" s="94">
        <f t="shared" ca="1" si="9"/>
        <v>2.6080912058901573</v>
      </c>
      <c r="P54" s="94">
        <f t="shared" ca="1" si="10"/>
        <v>26.080912058901578</v>
      </c>
      <c r="Q54" s="94">
        <f t="shared" ca="1" si="11"/>
        <v>24.665045431825479</v>
      </c>
      <c r="R54" s="94">
        <f t="shared" ca="1" si="12"/>
        <v>2.5372978745363528</v>
      </c>
      <c r="S54" s="94">
        <f t="shared" ca="1" si="13"/>
        <v>2.6080912058901573</v>
      </c>
      <c r="T54" s="4">
        <f t="shared" ca="1" si="14"/>
        <v>1.9908872524996589E-4</v>
      </c>
      <c r="U54" s="46">
        <f t="shared" ca="1" si="15"/>
        <v>1487.2765406745989</v>
      </c>
      <c r="V54" s="4">
        <f t="shared" ca="1" si="16"/>
        <v>0.11353130209111081</v>
      </c>
      <c r="W54" s="13">
        <f t="shared" ca="1" si="17"/>
        <v>10897.684505639903</v>
      </c>
      <c r="X54" s="4">
        <f t="shared" ca="1" si="18"/>
        <v>0.83187509374836199</v>
      </c>
      <c r="AE54" s="4"/>
    </row>
    <row r="55" spans="1:31">
      <c r="A55">
        <v>0</v>
      </c>
      <c r="B55">
        <v>1</v>
      </c>
      <c r="C55">
        <f t="shared" si="0"/>
        <v>7</v>
      </c>
      <c r="D55">
        <f t="shared" si="1"/>
        <v>5</v>
      </c>
      <c r="E55">
        <f t="shared" si="2"/>
        <v>0</v>
      </c>
      <c r="F55" s="100">
        <f t="shared" ca="1" si="3"/>
        <v>8.3648759999999989E-2</v>
      </c>
      <c r="G55">
        <v>1</v>
      </c>
      <c r="H55">
        <v>1</v>
      </c>
      <c r="I55">
        <v>2</v>
      </c>
      <c r="J55" s="1">
        <f t="shared" ca="1" si="4"/>
        <v>9.2178405000000246E-6</v>
      </c>
      <c r="K55" s="1">
        <f t="shared" ca="1" si="5"/>
        <v>7.7106092770278191E-7</v>
      </c>
      <c r="L55" s="13">
        <f t="shared" ca="1" si="6"/>
        <v>200</v>
      </c>
      <c r="M55" s="7">
        <f t="shared" ca="1" si="7"/>
        <v>800</v>
      </c>
      <c r="N55" s="44">
        <f t="shared" ca="1" si="8"/>
        <v>9</v>
      </c>
      <c r="O55" s="94">
        <f t="shared" ca="1" si="9"/>
        <v>2.6080912058901573</v>
      </c>
      <c r="P55" s="94">
        <f t="shared" ca="1" si="10"/>
        <v>26.080912058901578</v>
      </c>
      <c r="Q55" s="94">
        <f t="shared" ca="1" si="11"/>
        <v>26.080912058901578</v>
      </c>
      <c r="R55" s="94">
        <f t="shared" ca="1" si="12"/>
        <v>2.6080912058901577</v>
      </c>
      <c r="S55" s="94">
        <f t="shared" ca="1" si="13"/>
        <v>2.6080912058901573</v>
      </c>
      <c r="T55" s="4">
        <f t="shared" ca="1" si="14"/>
        <v>2.0109972247471317E-6</v>
      </c>
      <c r="U55" s="46">
        <f t="shared" ca="1" si="15"/>
        <v>1470.2765406745989</v>
      </c>
      <c r="V55" s="4">
        <f t="shared" ca="1" si="16"/>
        <v>1.1336727934321933E-3</v>
      </c>
      <c r="W55" s="13">
        <f t="shared" ca="1" si="17"/>
        <v>8712.3125236836549</v>
      </c>
      <c r="X55" s="4">
        <f t="shared" ca="1" si="18"/>
        <v>6.7177237769480841E-3</v>
      </c>
      <c r="AE55" s="4"/>
    </row>
    <row r="56" spans="1:31">
      <c r="A56">
        <v>0</v>
      </c>
      <c r="B56">
        <v>1</v>
      </c>
      <c r="C56">
        <f t="shared" si="0"/>
        <v>7</v>
      </c>
      <c r="D56">
        <f t="shared" si="1"/>
        <v>5</v>
      </c>
      <c r="E56">
        <f t="shared" si="2"/>
        <v>0</v>
      </c>
      <c r="F56" s="100">
        <f t="shared" ca="1" si="3"/>
        <v>8.3648759999999989E-2</v>
      </c>
      <c r="G56">
        <v>1</v>
      </c>
      <c r="H56">
        <v>1</v>
      </c>
      <c r="I56">
        <v>1</v>
      </c>
      <c r="J56" s="1">
        <f t="shared" ca="1" si="4"/>
        <v>4.6554750000000167E-8</v>
      </c>
      <c r="K56" s="1">
        <f t="shared" ca="1" si="5"/>
        <v>3.8942471096100133E-9</v>
      </c>
      <c r="L56" s="13">
        <f t="shared" ca="1" si="6"/>
        <v>183</v>
      </c>
      <c r="M56" s="7">
        <f t="shared" ca="1" si="7"/>
        <v>817</v>
      </c>
      <c r="N56" s="44">
        <f t="shared" ca="1" si="8"/>
        <v>9</v>
      </c>
      <c r="O56" s="94">
        <f t="shared" ca="1" si="9"/>
        <v>2.6080912058901573</v>
      </c>
      <c r="P56" s="94">
        <f t="shared" ca="1" si="10"/>
        <v>26.080912058901578</v>
      </c>
      <c r="Q56" s="94">
        <f t="shared" ca="1" si="11"/>
        <v>26.080912058901578</v>
      </c>
      <c r="R56" s="94">
        <f t="shared" ca="1" si="12"/>
        <v>2.6080912058901577</v>
      </c>
      <c r="S56" s="94">
        <f t="shared" ca="1" si="13"/>
        <v>2.6080912058901573</v>
      </c>
      <c r="T56" s="4">
        <f t="shared" ca="1" si="14"/>
        <v>1.0156551640137039E-8</v>
      </c>
      <c r="U56" s="46">
        <f t="shared" ca="1" si="15"/>
        <v>1453.2765406745989</v>
      </c>
      <c r="V56" s="4">
        <f t="shared" ca="1" si="16"/>
        <v>5.6594179679860955E-6</v>
      </c>
      <c r="W56" s="13">
        <f t="shared" ca="1" si="17"/>
        <v>6526.9405417274047</v>
      </c>
      <c r="X56" s="4">
        <f t="shared" ca="1" si="18"/>
        <v>2.5417519339218359E-5</v>
      </c>
      <c r="AE56" s="4"/>
    </row>
    <row r="57" spans="1:31">
      <c r="A57">
        <v>0</v>
      </c>
      <c r="B57">
        <v>1</v>
      </c>
      <c r="C57">
        <f t="shared" si="0"/>
        <v>7</v>
      </c>
      <c r="D57">
        <f t="shared" si="1"/>
        <v>5</v>
      </c>
      <c r="E57">
        <f t="shared" si="2"/>
        <v>0</v>
      </c>
      <c r="F57" s="100">
        <f t="shared" ca="1" si="3"/>
        <v>8.3648759999999989E-2</v>
      </c>
      <c r="G57">
        <v>1</v>
      </c>
      <c r="H57">
        <v>1</v>
      </c>
      <c r="I57">
        <v>0</v>
      </c>
      <c r="J57" s="1">
        <f t="shared" ca="1" si="4"/>
        <v>9.4050000000000427E-11</v>
      </c>
      <c r="K57" s="1">
        <f t="shared" ca="1" si="5"/>
        <v>7.8671658780000346E-12</v>
      </c>
      <c r="L57" s="13">
        <f t="shared" ca="1" si="6"/>
        <v>166</v>
      </c>
      <c r="M57" s="7">
        <f t="shared" ca="1" si="7"/>
        <v>834</v>
      </c>
      <c r="N57" s="44">
        <f t="shared" ca="1" si="8"/>
        <v>9</v>
      </c>
      <c r="O57" s="94">
        <f t="shared" ca="1" si="9"/>
        <v>2.6080912058901573</v>
      </c>
      <c r="P57" s="94">
        <f t="shared" ca="1" si="10"/>
        <v>26.080912058901578</v>
      </c>
      <c r="Q57" s="94">
        <f t="shared" ca="1" si="11"/>
        <v>26.080912058901578</v>
      </c>
      <c r="R57" s="94">
        <f t="shared" ca="1" si="12"/>
        <v>2.6080912058901577</v>
      </c>
      <c r="S57" s="94">
        <f t="shared" ca="1" si="13"/>
        <v>2.6080912058901573</v>
      </c>
      <c r="T57" s="4">
        <f t="shared" ca="1" si="14"/>
        <v>2.0518286141691008E-11</v>
      </c>
      <c r="U57" s="46">
        <f t="shared" ca="1" si="15"/>
        <v>1436.2765406745989</v>
      </c>
      <c r="V57" s="4">
        <f t="shared" ca="1" si="16"/>
        <v>1.1299425792167133E-8</v>
      </c>
      <c r="W57" s="13">
        <f t="shared" ca="1" si="17"/>
        <v>4341.5685597711545</v>
      </c>
      <c r="X57" s="4">
        <f t="shared" ca="1" si="18"/>
        <v>3.4155840030429381E-8</v>
      </c>
      <c r="AE57" s="4"/>
    </row>
    <row r="58" spans="1:31">
      <c r="A58">
        <v>0</v>
      </c>
      <c r="B58">
        <v>1</v>
      </c>
      <c r="C58">
        <f t="shared" si="0"/>
        <v>7</v>
      </c>
      <c r="D58">
        <f t="shared" si="1"/>
        <v>5</v>
      </c>
      <c r="E58">
        <f t="shared" si="2"/>
        <v>0</v>
      </c>
      <c r="F58" s="100">
        <f t="shared" ca="1" si="3"/>
        <v>8.3648759999999989E-2</v>
      </c>
      <c r="G58">
        <v>1</v>
      </c>
      <c r="H58">
        <v>0</v>
      </c>
      <c r="I58">
        <v>7</v>
      </c>
      <c r="J58" s="1">
        <f t="shared" ca="1" si="4"/>
        <v>0</v>
      </c>
      <c r="K58" s="1">
        <f t="shared" ca="1" si="5"/>
        <v>0</v>
      </c>
      <c r="L58" s="13">
        <f t="shared" ca="1" si="6"/>
        <v>202</v>
      </c>
      <c r="M58" s="7">
        <f t="shared" ca="1" si="7"/>
        <v>798</v>
      </c>
      <c r="N58" s="44">
        <f t="shared" ca="1" si="8"/>
        <v>9</v>
      </c>
      <c r="O58" s="94">
        <f t="shared" ca="1" si="9"/>
        <v>2.6080912058901573</v>
      </c>
      <c r="P58" s="94">
        <f t="shared" ca="1" si="10"/>
        <v>26.080912058901578</v>
      </c>
      <c r="Q58" s="94">
        <f t="shared" ca="1" si="11"/>
        <v>26.080912058901578</v>
      </c>
      <c r="R58" s="94">
        <f t="shared" ca="1" si="12"/>
        <v>2.6080912058901577</v>
      </c>
      <c r="S58" s="94">
        <f t="shared" ca="1" si="13"/>
        <v>2.6080912058901573</v>
      </c>
      <c r="T58" s="4">
        <f t="shared" ca="1" si="14"/>
        <v>0</v>
      </c>
      <c r="U58" s="46">
        <f t="shared" ca="1" si="15"/>
        <v>1472.2765406745989</v>
      </c>
      <c r="V58" s="4">
        <f t="shared" ca="1" si="16"/>
        <v>0</v>
      </c>
      <c r="W58" s="13">
        <f t="shared" ca="1" si="17"/>
        <v>17482.975855650002</v>
      </c>
      <c r="X58" s="4">
        <f t="shared" ca="1" si="18"/>
        <v>0</v>
      </c>
      <c r="AE58" s="4"/>
    </row>
    <row r="59" spans="1:31">
      <c r="A59">
        <v>0</v>
      </c>
      <c r="B59">
        <v>1</v>
      </c>
      <c r="C59">
        <f t="shared" si="0"/>
        <v>7</v>
      </c>
      <c r="D59">
        <f t="shared" si="1"/>
        <v>5</v>
      </c>
      <c r="E59">
        <f t="shared" si="2"/>
        <v>0</v>
      </c>
      <c r="F59" s="100">
        <f t="shared" ca="1" si="3"/>
        <v>8.3648759999999989E-2</v>
      </c>
      <c r="G59">
        <v>1</v>
      </c>
      <c r="H59">
        <v>0</v>
      </c>
      <c r="I59">
        <v>6</v>
      </c>
      <c r="J59" s="1">
        <f t="shared" ca="1" si="4"/>
        <v>0</v>
      </c>
      <c r="K59" s="1">
        <f t="shared" ca="1" si="5"/>
        <v>0</v>
      </c>
      <c r="L59" s="13">
        <f t="shared" ca="1" si="6"/>
        <v>185</v>
      </c>
      <c r="M59" s="7">
        <f t="shared" ca="1" si="7"/>
        <v>815</v>
      </c>
      <c r="N59" s="44">
        <f t="shared" ca="1" si="8"/>
        <v>9</v>
      </c>
      <c r="O59" s="94">
        <f t="shared" ca="1" si="9"/>
        <v>2.6080912058901573</v>
      </c>
      <c r="P59" s="94">
        <f t="shared" ca="1" si="10"/>
        <v>26.080912058901578</v>
      </c>
      <c r="Q59" s="94">
        <f t="shared" ca="1" si="11"/>
        <v>26.080912058901578</v>
      </c>
      <c r="R59" s="94">
        <f t="shared" ca="1" si="12"/>
        <v>2.6080912058901577</v>
      </c>
      <c r="S59" s="94">
        <f t="shared" ca="1" si="13"/>
        <v>2.6080912058901573</v>
      </c>
      <c r="T59" s="4">
        <f t="shared" ca="1" si="14"/>
        <v>0</v>
      </c>
      <c r="U59" s="46">
        <f t="shared" ca="1" si="15"/>
        <v>1455.2765406745989</v>
      </c>
      <c r="V59" s="4">
        <f t="shared" ca="1" si="16"/>
        <v>0</v>
      </c>
      <c r="W59" s="13">
        <f t="shared" ca="1" si="17"/>
        <v>15297.60387369375</v>
      </c>
      <c r="X59" s="4">
        <f t="shared" ca="1" si="18"/>
        <v>0</v>
      </c>
      <c r="AE59" s="4"/>
    </row>
    <row r="60" spans="1:31">
      <c r="A60">
        <v>0</v>
      </c>
      <c r="B60">
        <v>1</v>
      </c>
      <c r="C60">
        <f t="shared" si="0"/>
        <v>7</v>
      </c>
      <c r="D60">
        <f t="shared" si="1"/>
        <v>5</v>
      </c>
      <c r="E60">
        <f t="shared" si="2"/>
        <v>0</v>
      </c>
      <c r="F60" s="100">
        <f t="shared" ca="1" si="3"/>
        <v>8.3648759999999989E-2</v>
      </c>
      <c r="G60">
        <v>1</v>
      </c>
      <c r="H60">
        <v>0</v>
      </c>
      <c r="I60">
        <v>5</v>
      </c>
      <c r="J60" s="1">
        <f t="shared" ca="1" si="4"/>
        <v>9.0344054740500064E-3</v>
      </c>
      <c r="K60" s="1">
        <f t="shared" ca="1" si="5"/>
        <v>7.5571681524149511E-4</v>
      </c>
      <c r="L60" s="13">
        <f t="shared" ca="1" si="6"/>
        <v>168</v>
      </c>
      <c r="M60" s="7">
        <f t="shared" ca="1" si="7"/>
        <v>832</v>
      </c>
      <c r="N60" s="44">
        <f t="shared" ca="1" si="8"/>
        <v>9</v>
      </c>
      <c r="O60" s="94">
        <f t="shared" ca="1" si="9"/>
        <v>2.6080912058901573</v>
      </c>
      <c r="P60" s="94">
        <f t="shared" ca="1" si="10"/>
        <v>26.080912058901578</v>
      </c>
      <c r="Q60" s="94">
        <f t="shared" ca="1" si="11"/>
        <v>26.080912058901578</v>
      </c>
      <c r="R60" s="94">
        <f t="shared" ca="1" si="12"/>
        <v>2.6080912058901577</v>
      </c>
      <c r="S60" s="94">
        <f t="shared" ca="1" si="13"/>
        <v>2.6080912058901573</v>
      </c>
      <c r="T60" s="4">
        <f t="shared" ca="1" si="14"/>
        <v>1.9709783799746602E-3</v>
      </c>
      <c r="U60" s="46">
        <f t="shared" ca="1" si="15"/>
        <v>1438.2765406745989</v>
      </c>
      <c r="V60" s="4">
        <f t="shared" ca="1" si="16"/>
        <v>1.0869297667551625</v>
      </c>
      <c r="W60" s="13">
        <f t="shared" ca="1" si="17"/>
        <v>13112.231891737501</v>
      </c>
      <c r="X60" s="4">
        <f t="shared" ca="1" si="18"/>
        <v>9.9091341259318284</v>
      </c>
      <c r="AE60" s="4"/>
    </row>
    <row r="61" spans="1:31">
      <c r="A61">
        <v>0</v>
      </c>
      <c r="B61">
        <v>1</v>
      </c>
      <c r="C61">
        <f t="shared" si="0"/>
        <v>7</v>
      </c>
      <c r="D61">
        <f t="shared" si="1"/>
        <v>5</v>
      </c>
      <c r="E61">
        <f t="shared" si="2"/>
        <v>0</v>
      </c>
      <c r="F61" s="100">
        <f t="shared" ca="1" si="3"/>
        <v>8.3648759999999989E-2</v>
      </c>
      <c r="G61">
        <v>1</v>
      </c>
      <c r="H61">
        <v>0</v>
      </c>
      <c r="I61">
        <v>4</v>
      </c>
      <c r="J61" s="1">
        <f t="shared" ca="1" si="4"/>
        <v>4.5628310475000076E-4</v>
      </c>
      <c r="K61" s="1">
        <f t="shared" ca="1" si="5"/>
        <v>3.8167515921287668E-5</v>
      </c>
      <c r="L61" s="13">
        <f t="shared" ca="1" si="6"/>
        <v>151</v>
      </c>
      <c r="M61" s="7">
        <f t="shared" ca="1" si="7"/>
        <v>849</v>
      </c>
      <c r="N61" s="44">
        <f t="shared" ca="1" si="8"/>
        <v>9</v>
      </c>
      <c r="O61" s="94">
        <f t="shared" ca="1" si="9"/>
        <v>2.6080912058901573</v>
      </c>
      <c r="P61" s="94">
        <f t="shared" ca="1" si="10"/>
        <v>26.080912058901578</v>
      </c>
      <c r="Q61" s="94">
        <f t="shared" ca="1" si="11"/>
        <v>26.080912058901578</v>
      </c>
      <c r="R61" s="94">
        <f t="shared" ca="1" si="12"/>
        <v>2.6080912058901577</v>
      </c>
      <c r="S61" s="94">
        <f t="shared" ca="1" si="13"/>
        <v>2.6080912058901573</v>
      </c>
      <c r="T61" s="4">
        <f t="shared" ca="1" si="14"/>
        <v>9.9544362624982933E-5</v>
      </c>
      <c r="U61" s="46">
        <f t="shared" ca="1" si="15"/>
        <v>1421.2765406745989</v>
      </c>
      <c r="V61" s="4">
        <f t="shared" ca="1" si="16"/>
        <v>5.4246594994750416E-2</v>
      </c>
      <c r="W61" s="13">
        <f t="shared" ca="1" si="17"/>
        <v>10926.859909781251</v>
      </c>
      <c r="X61" s="4">
        <f t="shared" ca="1" si="18"/>
        <v>0.41705109957625586</v>
      </c>
      <c r="AE61" s="4"/>
    </row>
    <row r="62" spans="1:31">
      <c r="A62">
        <v>0</v>
      </c>
      <c r="B62">
        <v>1</v>
      </c>
      <c r="C62">
        <f t="shared" si="0"/>
        <v>7</v>
      </c>
      <c r="D62">
        <f t="shared" si="1"/>
        <v>5</v>
      </c>
      <c r="E62">
        <f t="shared" si="2"/>
        <v>0</v>
      </c>
      <c r="F62" s="100">
        <f t="shared" ca="1" si="3"/>
        <v>8.3648759999999989E-2</v>
      </c>
      <c r="G62">
        <v>1</v>
      </c>
      <c r="H62">
        <v>0</v>
      </c>
      <c r="I62">
        <v>3</v>
      </c>
      <c r="J62" s="1">
        <f t="shared" ca="1" si="4"/>
        <v>9.2178405000000246E-6</v>
      </c>
      <c r="K62" s="1">
        <f t="shared" ca="1" si="5"/>
        <v>7.7106092770278191E-7</v>
      </c>
      <c r="L62" s="13">
        <f t="shared" ca="1" si="6"/>
        <v>134</v>
      </c>
      <c r="M62" s="7">
        <f t="shared" ca="1" si="7"/>
        <v>866</v>
      </c>
      <c r="N62" s="44">
        <f t="shared" ca="1" si="8"/>
        <v>10</v>
      </c>
      <c r="O62" s="94">
        <f t="shared" ca="1" si="9"/>
        <v>2.855590707781452</v>
      </c>
      <c r="P62" s="94">
        <f t="shared" ca="1" si="10"/>
        <v>26.328411560792873</v>
      </c>
      <c r="Q62" s="94">
        <f t="shared" ca="1" si="11"/>
        <v>26.080912058901578</v>
      </c>
      <c r="R62" s="94">
        <f t="shared" ca="1" si="12"/>
        <v>2.6204661809847223</v>
      </c>
      <c r="S62" s="94">
        <f t="shared" ca="1" si="13"/>
        <v>2.855590707781452</v>
      </c>
      <c r="T62" s="4">
        <f t="shared" ca="1" si="14"/>
        <v>2.2018344202814099E-6</v>
      </c>
      <c r="U62" s="46">
        <f t="shared" ca="1" si="15"/>
        <v>1502.276501057248</v>
      </c>
      <c r="V62" s="4">
        <f t="shared" ca="1" si="16"/>
        <v>1.1583467125712908E-3</v>
      </c>
      <c r="W62" s="13">
        <f t="shared" ca="1" si="17"/>
        <v>8741.487927825001</v>
      </c>
      <c r="X62" s="4">
        <f t="shared" ca="1" si="18"/>
        <v>6.7402197911314143E-3</v>
      </c>
      <c r="AE62" s="4"/>
    </row>
    <row r="63" spans="1:31">
      <c r="A63">
        <v>0</v>
      </c>
      <c r="B63">
        <v>1</v>
      </c>
      <c r="C63">
        <f t="shared" si="0"/>
        <v>7</v>
      </c>
      <c r="D63">
        <f t="shared" si="1"/>
        <v>5</v>
      </c>
      <c r="E63">
        <f t="shared" si="2"/>
        <v>0</v>
      </c>
      <c r="F63" s="100">
        <f t="shared" ca="1" si="3"/>
        <v>8.3648759999999989E-2</v>
      </c>
      <c r="G63">
        <v>1</v>
      </c>
      <c r="H63">
        <v>0</v>
      </c>
      <c r="I63">
        <v>2</v>
      </c>
      <c r="J63" s="1">
        <f t="shared" ca="1" si="4"/>
        <v>9.3109500000000335E-8</v>
      </c>
      <c r="K63" s="1">
        <f t="shared" ca="1" si="5"/>
        <v>7.7884942192200266E-9</v>
      </c>
      <c r="L63" s="13">
        <f t="shared" ca="1" si="6"/>
        <v>117</v>
      </c>
      <c r="M63" s="7">
        <f t="shared" ca="1" si="7"/>
        <v>883</v>
      </c>
      <c r="N63" s="44">
        <f t="shared" ca="1" si="8"/>
        <v>10</v>
      </c>
      <c r="O63" s="94">
        <f t="shared" ca="1" si="9"/>
        <v>2.855590707781452</v>
      </c>
      <c r="P63" s="94">
        <f t="shared" ca="1" si="10"/>
        <v>28.555907077814521</v>
      </c>
      <c r="Q63" s="94">
        <f t="shared" ca="1" si="11"/>
        <v>28.060908074031932</v>
      </c>
      <c r="R63" s="94">
        <f t="shared" ca="1" si="12"/>
        <v>2.8308407575923225</v>
      </c>
      <c r="S63" s="94">
        <f t="shared" ca="1" si="13"/>
        <v>2.855590707781452</v>
      </c>
      <c r="T63" s="4">
        <f t="shared" ca="1" si="14"/>
        <v>2.2240751720014263E-8</v>
      </c>
      <c r="U63" s="46">
        <f t="shared" ca="1" si="15"/>
        <v>1485.276501057248</v>
      </c>
      <c r="V63" s="4">
        <f t="shared" ca="1" si="16"/>
        <v>1.1568067442427724E-5</v>
      </c>
      <c r="W63" s="13">
        <f t="shared" ca="1" si="17"/>
        <v>6556.1159458687507</v>
      </c>
      <c r="X63" s="4">
        <f t="shared" ca="1" si="18"/>
        <v>5.1062271144935003E-5</v>
      </c>
      <c r="AE63" s="4"/>
    </row>
    <row r="64" spans="1:31">
      <c r="A64">
        <v>0</v>
      </c>
      <c r="B64">
        <v>1</v>
      </c>
      <c r="C64">
        <f t="shared" si="0"/>
        <v>7</v>
      </c>
      <c r="D64">
        <f t="shared" si="1"/>
        <v>5</v>
      </c>
      <c r="E64">
        <f t="shared" si="2"/>
        <v>0</v>
      </c>
      <c r="F64" s="100">
        <f t="shared" ca="1" si="3"/>
        <v>8.3648759999999989E-2</v>
      </c>
      <c r="G64">
        <v>1</v>
      </c>
      <c r="H64">
        <v>0</v>
      </c>
      <c r="I64">
        <v>1</v>
      </c>
      <c r="J64" s="1">
        <f t="shared" ca="1" si="4"/>
        <v>4.7025000000000207E-10</v>
      </c>
      <c r="K64" s="1">
        <f t="shared" ca="1" si="5"/>
        <v>3.9335829390000168E-11</v>
      </c>
      <c r="L64" s="13">
        <f t="shared" ca="1" si="6"/>
        <v>100</v>
      </c>
      <c r="M64" s="7">
        <f t="shared" ca="1" si="7"/>
        <v>900</v>
      </c>
      <c r="N64" s="44">
        <f t="shared" ca="1" si="8"/>
        <v>10</v>
      </c>
      <c r="O64" s="94">
        <f t="shared" ca="1" si="9"/>
        <v>2.855590707781452</v>
      </c>
      <c r="P64" s="94">
        <f t="shared" ca="1" si="10"/>
        <v>28.555907077814521</v>
      </c>
      <c r="Q64" s="94">
        <f t="shared" ca="1" si="11"/>
        <v>28.555907077814521</v>
      </c>
      <c r="R64" s="94">
        <f t="shared" ca="1" si="12"/>
        <v>2.855590707781452</v>
      </c>
      <c r="S64" s="94">
        <f t="shared" ca="1" si="13"/>
        <v>2.855590707781452</v>
      </c>
      <c r="T64" s="4">
        <f t="shared" ca="1" si="14"/>
        <v>1.1232702888896102E-10</v>
      </c>
      <c r="U64" s="46">
        <f t="shared" ca="1" si="15"/>
        <v>1468.276501057248</v>
      </c>
      <c r="V64" s="4">
        <f t="shared" ca="1" si="16"/>
        <v>5.7755873942934309E-8</v>
      </c>
      <c r="W64" s="13">
        <f t="shared" ca="1" si="17"/>
        <v>4370.7439639125005</v>
      </c>
      <c r="X64" s="4">
        <f t="shared" ca="1" si="18"/>
        <v>1.7192683887183518E-7</v>
      </c>
      <c r="AE64" s="4"/>
    </row>
    <row r="65" spans="1:31">
      <c r="A65">
        <v>0</v>
      </c>
      <c r="B65">
        <v>1</v>
      </c>
      <c r="C65">
        <f t="shared" si="0"/>
        <v>7</v>
      </c>
      <c r="D65">
        <f t="shared" si="1"/>
        <v>5</v>
      </c>
      <c r="E65">
        <f t="shared" si="2"/>
        <v>0</v>
      </c>
      <c r="F65" s="100">
        <f t="shared" ca="1" si="3"/>
        <v>8.3648759999999989E-2</v>
      </c>
      <c r="G65">
        <v>1</v>
      </c>
      <c r="H65">
        <v>0</v>
      </c>
      <c r="I65">
        <v>0</v>
      </c>
      <c r="J65" s="1">
        <f t="shared" ca="1" si="4"/>
        <v>9.5000000000000524E-13</v>
      </c>
      <c r="K65" s="1">
        <f t="shared" ca="1" si="5"/>
        <v>7.9466322000000424E-14</v>
      </c>
      <c r="L65" s="13">
        <f t="shared" ca="1" si="6"/>
        <v>100</v>
      </c>
      <c r="M65" s="7">
        <f t="shared" ca="1" si="7"/>
        <v>900</v>
      </c>
      <c r="N65" s="44">
        <f t="shared" ca="1" si="8"/>
        <v>10</v>
      </c>
      <c r="O65" s="94">
        <f t="shared" ca="1" si="9"/>
        <v>2.855590707781452</v>
      </c>
      <c r="P65" s="94">
        <f t="shared" ca="1" si="10"/>
        <v>28.555907077814521</v>
      </c>
      <c r="Q65" s="94">
        <f t="shared" ca="1" si="11"/>
        <v>28.555907077814521</v>
      </c>
      <c r="R65" s="94">
        <f t="shared" ca="1" si="12"/>
        <v>2.855590707781452</v>
      </c>
      <c r="S65" s="94">
        <f t="shared" ca="1" si="13"/>
        <v>2.855590707781452</v>
      </c>
      <c r="T65" s="4">
        <f t="shared" ca="1" si="14"/>
        <v>2.2692329068476997E-13</v>
      </c>
      <c r="U65" s="46">
        <f t="shared" ca="1" si="15"/>
        <v>1468.276501057248</v>
      </c>
      <c r="V65" s="4">
        <f t="shared" ca="1" si="16"/>
        <v>1.1667853321804923E-10</v>
      </c>
      <c r="W65" s="13">
        <f t="shared" ca="1" si="17"/>
        <v>2185.3719819562502</v>
      </c>
      <c r="X65" s="4">
        <f t="shared" ca="1" si="18"/>
        <v>1.736634736079145E-10</v>
      </c>
      <c r="AE65" s="4"/>
    </row>
    <row r="66" spans="1:31">
      <c r="A66">
        <v>0</v>
      </c>
      <c r="B66">
        <v>1</v>
      </c>
      <c r="C66">
        <f t="shared" si="0"/>
        <v>7</v>
      </c>
      <c r="D66">
        <f t="shared" si="1"/>
        <v>5</v>
      </c>
      <c r="E66">
        <f t="shared" si="2"/>
        <v>0</v>
      </c>
      <c r="F66" s="100">
        <f t="shared" ca="1" si="3"/>
        <v>8.3648759999999989E-2</v>
      </c>
      <c r="G66">
        <v>0</v>
      </c>
      <c r="H66">
        <v>1</v>
      </c>
      <c r="I66">
        <v>7</v>
      </c>
      <c r="J66" s="1">
        <f t="shared" ca="1" si="4"/>
        <v>0</v>
      </c>
      <c r="K66" s="1">
        <f t="shared" ca="1" si="5"/>
        <v>0</v>
      </c>
      <c r="L66" s="13">
        <f t="shared" ca="1" si="6"/>
        <v>202</v>
      </c>
      <c r="M66" s="7">
        <f t="shared" ca="1" si="7"/>
        <v>798</v>
      </c>
      <c r="N66" s="44">
        <f t="shared" ca="1" si="8"/>
        <v>9</v>
      </c>
      <c r="O66" s="94">
        <f t="shared" ca="1" si="9"/>
        <v>2.6080912058901573</v>
      </c>
      <c r="P66" s="94">
        <f t="shared" ca="1" si="10"/>
        <v>26.080912058901578</v>
      </c>
      <c r="Q66" s="94">
        <f t="shared" ca="1" si="11"/>
        <v>26.080912058901578</v>
      </c>
      <c r="R66" s="94">
        <f t="shared" ca="1" si="12"/>
        <v>2.6080912058901577</v>
      </c>
      <c r="S66" s="94">
        <f t="shared" ca="1" si="13"/>
        <v>2.6080912058901573</v>
      </c>
      <c r="T66" s="4">
        <f t="shared" ca="1" si="14"/>
        <v>0</v>
      </c>
      <c r="U66" s="46">
        <f t="shared" ca="1" si="15"/>
        <v>1472.2765406745989</v>
      </c>
      <c r="V66" s="4">
        <f t="shared" ca="1" si="16"/>
        <v>0</v>
      </c>
      <c r="W66" s="13">
        <f t="shared" ca="1" si="17"/>
        <v>17453.800451508654</v>
      </c>
      <c r="X66" s="4">
        <f t="shared" ca="1" si="18"/>
        <v>0</v>
      </c>
      <c r="AE66" s="4"/>
    </row>
    <row r="67" spans="1:31">
      <c r="A67">
        <v>0</v>
      </c>
      <c r="B67">
        <v>1</v>
      </c>
      <c r="C67">
        <f t="shared" si="0"/>
        <v>7</v>
      </c>
      <c r="D67">
        <f t="shared" si="1"/>
        <v>5</v>
      </c>
      <c r="E67">
        <f t="shared" si="2"/>
        <v>0</v>
      </c>
      <c r="F67" s="100">
        <f t="shared" ca="1" si="3"/>
        <v>8.3648759999999989E-2</v>
      </c>
      <c r="G67">
        <v>0</v>
      </c>
      <c r="H67">
        <v>1</v>
      </c>
      <c r="I67">
        <v>6</v>
      </c>
      <c r="J67" s="1">
        <f t="shared" ca="1" si="4"/>
        <v>0</v>
      </c>
      <c r="K67" s="1">
        <f t="shared" ca="1" si="5"/>
        <v>0</v>
      </c>
      <c r="L67" s="13">
        <f t="shared" ca="1" si="6"/>
        <v>185</v>
      </c>
      <c r="M67" s="7">
        <f t="shared" ca="1" si="7"/>
        <v>815</v>
      </c>
      <c r="N67" s="44">
        <f t="shared" ca="1" si="8"/>
        <v>9</v>
      </c>
      <c r="O67" s="94">
        <f t="shared" ca="1" si="9"/>
        <v>2.6080912058901573</v>
      </c>
      <c r="P67" s="94">
        <f t="shared" ca="1" si="10"/>
        <v>26.080912058901578</v>
      </c>
      <c r="Q67" s="94">
        <f t="shared" ca="1" si="11"/>
        <v>26.080912058901578</v>
      </c>
      <c r="R67" s="94">
        <f t="shared" ca="1" si="12"/>
        <v>2.6080912058901577</v>
      </c>
      <c r="S67" s="94">
        <f t="shared" ca="1" si="13"/>
        <v>2.6080912058901573</v>
      </c>
      <c r="T67" s="4">
        <f t="shared" ca="1" si="14"/>
        <v>0</v>
      </c>
      <c r="U67" s="46">
        <f t="shared" ca="1" si="15"/>
        <v>1455.2765406745989</v>
      </c>
      <c r="V67" s="4">
        <f t="shared" ca="1" si="16"/>
        <v>0</v>
      </c>
      <c r="W67" s="13">
        <f t="shared" ca="1" si="17"/>
        <v>15268.428469552404</v>
      </c>
      <c r="X67" s="4">
        <f t="shared" ca="1" si="18"/>
        <v>0</v>
      </c>
      <c r="AE67" s="4"/>
    </row>
    <row r="68" spans="1:31">
      <c r="A68">
        <v>0</v>
      </c>
      <c r="B68">
        <v>1</v>
      </c>
      <c r="C68">
        <f t="shared" si="0"/>
        <v>7</v>
      </c>
      <c r="D68">
        <f t="shared" si="1"/>
        <v>5</v>
      </c>
      <c r="E68">
        <f t="shared" si="2"/>
        <v>0</v>
      </c>
      <c r="F68" s="100">
        <f t="shared" ca="1" si="3"/>
        <v>8.3648759999999989E-2</v>
      </c>
      <c r="G68">
        <v>0</v>
      </c>
      <c r="H68">
        <v>1</v>
      </c>
      <c r="I68">
        <v>5</v>
      </c>
      <c r="J68" s="1">
        <f t="shared" ca="1" si="4"/>
        <v>4.707400747005E-2</v>
      </c>
      <c r="K68" s="1">
        <f t="shared" ca="1" si="5"/>
        <v>3.9376823531004192E-3</v>
      </c>
      <c r="L68" s="13">
        <f t="shared" ca="1" si="6"/>
        <v>168</v>
      </c>
      <c r="M68" s="7">
        <f t="shared" ca="1" si="7"/>
        <v>832</v>
      </c>
      <c r="N68" s="44">
        <f t="shared" ca="1" si="8"/>
        <v>9</v>
      </c>
      <c r="O68" s="94">
        <f t="shared" ca="1" si="9"/>
        <v>2.6080912058901573</v>
      </c>
      <c r="P68" s="94">
        <f t="shared" ca="1" si="10"/>
        <v>26.080912058901578</v>
      </c>
      <c r="Q68" s="94">
        <f t="shared" ca="1" si="11"/>
        <v>26.080912058901578</v>
      </c>
      <c r="R68" s="94">
        <f t="shared" ca="1" si="12"/>
        <v>2.6080912058901577</v>
      </c>
      <c r="S68" s="94">
        <f t="shared" ca="1" si="13"/>
        <v>2.6080912058901573</v>
      </c>
      <c r="T68" s="4">
        <f t="shared" ca="1" si="14"/>
        <v>1.0269834716710065E-2</v>
      </c>
      <c r="U68" s="46">
        <f t="shared" ca="1" si="15"/>
        <v>1438.2765406745989</v>
      </c>
      <c r="V68" s="4">
        <f t="shared" ca="1" si="16"/>
        <v>5.6634761530926854</v>
      </c>
      <c r="W68" s="13">
        <f t="shared" ca="1" si="17"/>
        <v>13083.056487596155</v>
      </c>
      <c r="X68" s="4">
        <f t="shared" ca="1" si="18"/>
        <v>51.516920655823334</v>
      </c>
      <c r="AE68" s="4"/>
    </row>
    <row r="69" spans="1:31">
      <c r="A69">
        <v>0</v>
      </c>
      <c r="B69">
        <v>1</v>
      </c>
      <c r="C69">
        <f t="shared" si="0"/>
        <v>7</v>
      </c>
      <c r="D69">
        <f t="shared" si="1"/>
        <v>5</v>
      </c>
      <c r="E69">
        <f t="shared" si="2"/>
        <v>0</v>
      </c>
      <c r="F69" s="100">
        <f t="shared" ca="1" si="3"/>
        <v>8.3648759999999989E-2</v>
      </c>
      <c r="G69">
        <v>0</v>
      </c>
      <c r="H69">
        <v>1</v>
      </c>
      <c r="I69">
        <v>4</v>
      </c>
      <c r="J69" s="1">
        <f t="shared" ca="1" si="4"/>
        <v>2.377475124750002E-3</v>
      </c>
      <c r="K69" s="1">
        <f t="shared" ca="1" si="5"/>
        <v>1.9887284611618295E-4</v>
      </c>
      <c r="L69" s="13">
        <f t="shared" ca="1" si="6"/>
        <v>151</v>
      </c>
      <c r="M69" s="7">
        <f t="shared" ca="1" si="7"/>
        <v>849</v>
      </c>
      <c r="N69" s="44">
        <f t="shared" ca="1" si="8"/>
        <v>9</v>
      </c>
      <c r="O69" s="94">
        <f t="shared" ca="1" si="9"/>
        <v>2.6080912058901573</v>
      </c>
      <c r="P69" s="94">
        <f t="shared" ca="1" si="10"/>
        <v>26.080912058901578</v>
      </c>
      <c r="Q69" s="94">
        <f t="shared" ca="1" si="11"/>
        <v>26.080912058901578</v>
      </c>
      <c r="R69" s="94">
        <f t="shared" ca="1" si="12"/>
        <v>2.6080912058901577</v>
      </c>
      <c r="S69" s="94">
        <f t="shared" ca="1" si="13"/>
        <v>2.6080912058901573</v>
      </c>
      <c r="T69" s="4">
        <f t="shared" ca="1" si="14"/>
        <v>5.1867852104596328E-4</v>
      </c>
      <c r="U69" s="46">
        <f t="shared" ca="1" si="15"/>
        <v>1421.2765406745989</v>
      </c>
      <c r="V69" s="4">
        <f t="shared" ca="1" si="16"/>
        <v>0.28265331076212036</v>
      </c>
      <c r="W69" s="13">
        <f t="shared" ca="1" si="17"/>
        <v>10897.684505639905</v>
      </c>
      <c r="X69" s="4">
        <f t="shared" ca="1" si="18"/>
        <v>2.1672535337128362</v>
      </c>
      <c r="AE69" s="4"/>
    </row>
    <row r="70" spans="1:31">
      <c r="A70">
        <v>0</v>
      </c>
      <c r="B70">
        <v>1</v>
      </c>
      <c r="C70">
        <f t="shared" si="0"/>
        <v>7</v>
      </c>
      <c r="D70">
        <f t="shared" si="1"/>
        <v>5</v>
      </c>
      <c r="E70">
        <f t="shared" si="2"/>
        <v>0</v>
      </c>
      <c r="F70" s="100">
        <f t="shared" ca="1" si="3"/>
        <v>8.3648759999999989E-2</v>
      </c>
      <c r="G70">
        <v>0</v>
      </c>
      <c r="H70">
        <v>1</v>
      </c>
      <c r="I70">
        <v>3</v>
      </c>
      <c r="J70" s="1">
        <f t="shared" ca="1" si="4"/>
        <v>4.8029800500000085E-5</v>
      </c>
      <c r="K70" s="1">
        <f t="shared" ca="1" si="5"/>
        <v>4.0176332548723863E-6</v>
      </c>
      <c r="L70" s="13">
        <f t="shared" ca="1" si="6"/>
        <v>134</v>
      </c>
      <c r="M70" s="7">
        <f t="shared" ca="1" si="7"/>
        <v>866</v>
      </c>
      <c r="N70" s="44">
        <f t="shared" ca="1" si="8"/>
        <v>10</v>
      </c>
      <c r="O70" s="94">
        <f t="shared" ca="1" si="9"/>
        <v>2.855590707781452</v>
      </c>
      <c r="P70" s="94">
        <f t="shared" ca="1" si="10"/>
        <v>26.328411560792873</v>
      </c>
      <c r="Q70" s="94">
        <f t="shared" ca="1" si="11"/>
        <v>26.080912058901578</v>
      </c>
      <c r="R70" s="94">
        <f t="shared" ca="1" si="12"/>
        <v>2.6204661809847223</v>
      </c>
      <c r="S70" s="94">
        <f t="shared" ca="1" si="13"/>
        <v>2.855590707781452</v>
      </c>
      <c r="T70" s="4">
        <f t="shared" ca="1" si="14"/>
        <v>1.1472716189887336E-5</v>
      </c>
      <c r="U70" s="46">
        <f t="shared" ca="1" si="15"/>
        <v>1502.276501057248</v>
      </c>
      <c r="V70" s="4">
        <f t="shared" ca="1" si="16"/>
        <v>6.0355960286609311E-3</v>
      </c>
      <c r="W70" s="13">
        <f t="shared" ca="1" si="17"/>
        <v>8712.3125236836531</v>
      </c>
      <c r="X70" s="4">
        <f t="shared" ca="1" si="18"/>
        <v>3.5002876521992611E-2</v>
      </c>
      <c r="AE70" s="4"/>
    </row>
    <row r="71" spans="1:31">
      <c r="A71">
        <v>0</v>
      </c>
      <c r="B71">
        <v>1</v>
      </c>
      <c r="C71">
        <f t="shared" si="0"/>
        <v>7</v>
      </c>
      <c r="D71">
        <f t="shared" si="1"/>
        <v>5</v>
      </c>
      <c r="E71">
        <f t="shared" si="2"/>
        <v>0</v>
      </c>
      <c r="F71" s="100">
        <f t="shared" ca="1" si="3"/>
        <v>8.3648759999999989E-2</v>
      </c>
      <c r="G71">
        <v>0</v>
      </c>
      <c r="H71">
        <v>1</v>
      </c>
      <c r="I71">
        <v>2</v>
      </c>
      <c r="J71" s="1">
        <f t="shared" ca="1" si="4"/>
        <v>4.8514950000000139E-7</v>
      </c>
      <c r="K71" s="1">
        <f t="shared" ca="1" si="5"/>
        <v>4.0582154089620111E-8</v>
      </c>
      <c r="L71" s="13">
        <f t="shared" ca="1" si="6"/>
        <v>117</v>
      </c>
      <c r="M71" s="7">
        <f t="shared" ca="1" si="7"/>
        <v>883</v>
      </c>
      <c r="N71" s="44">
        <f t="shared" ca="1" si="8"/>
        <v>10</v>
      </c>
      <c r="O71" s="94">
        <f t="shared" ca="1" si="9"/>
        <v>2.855590707781452</v>
      </c>
      <c r="P71" s="94">
        <f t="shared" ca="1" si="10"/>
        <v>28.555907077814521</v>
      </c>
      <c r="Q71" s="94">
        <f t="shared" ca="1" si="11"/>
        <v>28.060908074031932</v>
      </c>
      <c r="R71" s="94">
        <f t="shared" ca="1" si="12"/>
        <v>2.8308407575923225</v>
      </c>
      <c r="S71" s="94">
        <f t="shared" ca="1" si="13"/>
        <v>2.855590707781452</v>
      </c>
      <c r="T71" s="4">
        <f t="shared" ca="1" si="14"/>
        <v>1.1588602212007424E-7</v>
      </c>
      <c r="U71" s="46">
        <f t="shared" ca="1" si="15"/>
        <v>1485.276501057248</v>
      </c>
      <c r="V71" s="4">
        <f t="shared" ca="1" si="16"/>
        <v>6.0275719831597047E-5</v>
      </c>
      <c r="W71" s="13">
        <f t="shared" ca="1" si="17"/>
        <v>6526.9405417274047</v>
      </c>
      <c r="X71" s="4">
        <f t="shared" ca="1" si="18"/>
        <v>2.648773067981701E-4</v>
      </c>
      <c r="AE71" s="4"/>
    </row>
    <row r="72" spans="1:31">
      <c r="A72">
        <v>0</v>
      </c>
      <c r="B72">
        <v>1</v>
      </c>
      <c r="C72">
        <f t="shared" si="0"/>
        <v>7</v>
      </c>
      <c r="D72">
        <f t="shared" si="1"/>
        <v>5</v>
      </c>
      <c r="E72">
        <f t="shared" si="2"/>
        <v>0</v>
      </c>
      <c r="F72" s="100">
        <f t="shared" ca="1" si="3"/>
        <v>8.3648759999999989E-2</v>
      </c>
      <c r="G72">
        <v>0</v>
      </c>
      <c r="H72">
        <v>1</v>
      </c>
      <c r="I72">
        <v>1</v>
      </c>
      <c r="J72" s="1">
        <f t="shared" ca="1" si="4"/>
        <v>2.450250000000009E-9</v>
      </c>
      <c r="K72" s="1">
        <f t="shared" ca="1" si="5"/>
        <v>2.0496037419000073E-10</v>
      </c>
      <c r="L72" s="13">
        <f t="shared" ca="1" si="6"/>
        <v>100</v>
      </c>
      <c r="M72" s="7">
        <f t="shared" ca="1" si="7"/>
        <v>900</v>
      </c>
      <c r="N72" s="44">
        <f t="shared" ca="1" si="8"/>
        <v>10</v>
      </c>
      <c r="O72" s="94">
        <f t="shared" ca="1" si="9"/>
        <v>2.855590707781452</v>
      </c>
      <c r="P72" s="94">
        <f t="shared" ca="1" si="10"/>
        <v>28.555907077814521</v>
      </c>
      <c r="Q72" s="94">
        <f t="shared" ca="1" si="11"/>
        <v>28.555907077814521</v>
      </c>
      <c r="R72" s="94">
        <f t="shared" ca="1" si="12"/>
        <v>2.855590707781452</v>
      </c>
      <c r="S72" s="94">
        <f t="shared" ca="1" si="13"/>
        <v>2.855590707781452</v>
      </c>
      <c r="T72" s="4">
        <f t="shared" ca="1" si="14"/>
        <v>5.8528294000037537E-10</v>
      </c>
      <c r="U72" s="46">
        <f t="shared" ca="1" si="15"/>
        <v>1468.276501057248</v>
      </c>
      <c r="V72" s="4">
        <f t="shared" ca="1" si="16"/>
        <v>3.0093850107107857E-7</v>
      </c>
      <c r="W72" s="13">
        <f t="shared" ca="1" si="17"/>
        <v>4341.5685597711545</v>
      </c>
      <c r="X72" s="4">
        <f t="shared" ca="1" si="18"/>
        <v>8.8984951658223836E-7</v>
      </c>
      <c r="AE72" s="4"/>
    </row>
    <row r="73" spans="1:31">
      <c r="A73">
        <v>0</v>
      </c>
      <c r="B73">
        <v>1</v>
      </c>
      <c r="C73">
        <f t="shared" si="0"/>
        <v>7</v>
      </c>
      <c r="D73">
        <f t="shared" si="1"/>
        <v>5</v>
      </c>
      <c r="E73">
        <f t="shared" si="2"/>
        <v>0</v>
      </c>
      <c r="F73" s="100">
        <f t="shared" ca="1" si="3"/>
        <v>8.3648759999999989E-2</v>
      </c>
      <c r="G73">
        <v>0</v>
      </c>
      <c r="H73">
        <v>1</v>
      </c>
      <c r="I73">
        <v>0</v>
      </c>
      <c r="J73" s="1">
        <f t="shared" ca="1" si="4"/>
        <v>4.9500000000000231E-12</v>
      </c>
      <c r="K73" s="1">
        <f t="shared" ca="1" si="5"/>
        <v>4.1406136200000187E-13</v>
      </c>
      <c r="L73" s="13">
        <f t="shared" ca="1" si="6"/>
        <v>100</v>
      </c>
      <c r="M73" s="7">
        <f t="shared" ca="1" si="7"/>
        <v>900</v>
      </c>
      <c r="N73" s="44">
        <f t="shared" ca="1" si="8"/>
        <v>10</v>
      </c>
      <c r="O73" s="94">
        <f t="shared" ca="1" si="9"/>
        <v>2.855590707781452</v>
      </c>
      <c r="P73" s="94">
        <f t="shared" ca="1" si="10"/>
        <v>28.555907077814521</v>
      </c>
      <c r="Q73" s="94">
        <f t="shared" ca="1" si="11"/>
        <v>28.555907077814521</v>
      </c>
      <c r="R73" s="94">
        <f t="shared" ca="1" si="12"/>
        <v>2.855590707781452</v>
      </c>
      <c r="S73" s="94">
        <f t="shared" ca="1" si="13"/>
        <v>2.855590707781452</v>
      </c>
      <c r="T73" s="4">
        <f t="shared" ca="1" si="14"/>
        <v>1.1823897777785373E-12</v>
      </c>
      <c r="U73" s="46">
        <f t="shared" ca="1" si="15"/>
        <v>1468.276501057248</v>
      </c>
      <c r="V73" s="4">
        <f t="shared" ca="1" si="16"/>
        <v>6.0795656782036126E-10</v>
      </c>
      <c r="W73" s="13">
        <f t="shared" ca="1" si="17"/>
        <v>2156.1965778149038</v>
      </c>
      <c r="X73" s="4">
        <f t="shared" ca="1" si="18"/>
        <v>8.927976917497821E-10</v>
      </c>
      <c r="AE73" s="4"/>
    </row>
    <row r="74" spans="1:31">
      <c r="A74">
        <v>0</v>
      </c>
      <c r="B74">
        <v>1</v>
      </c>
      <c r="C74">
        <f t="shared" si="0"/>
        <v>7</v>
      </c>
      <c r="D74">
        <f t="shared" si="1"/>
        <v>5</v>
      </c>
      <c r="E74">
        <f t="shared" si="2"/>
        <v>0</v>
      </c>
      <c r="F74" s="100">
        <f t="shared" ca="1" si="3"/>
        <v>8.3648759999999989E-2</v>
      </c>
      <c r="G74">
        <v>0</v>
      </c>
      <c r="H74">
        <v>0</v>
      </c>
      <c r="I74">
        <v>7</v>
      </c>
      <c r="J74" s="1">
        <f t="shared" ca="1" si="4"/>
        <v>0</v>
      </c>
      <c r="K74" s="1">
        <f t="shared" ca="1" si="5"/>
        <v>0</v>
      </c>
      <c r="L74" s="13">
        <f t="shared" ca="1" si="6"/>
        <v>119</v>
      </c>
      <c r="M74" s="7">
        <f t="shared" ca="1" si="7"/>
        <v>881</v>
      </c>
      <c r="N74" s="44">
        <f t="shared" ca="1" si="8"/>
        <v>10</v>
      </c>
      <c r="O74" s="94">
        <f t="shared" ca="1" si="9"/>
        <v>2.855590707781452</v>
      </c>
      <c r="P74" s="94">
        <f t="shared" ca="1" si="10"/>
        <v>28.555907077814521</v>
      </c>
      <c r="Q74" s="94">
        <f t="shared" ca="1" si="11"/>
        <v>27.565909070249344</v>
      </c>
      <c r="R74" s="94">
        <f t="shared" ca="1" si="12"/>
        <v>2.8060908074031934</v>
      </c>
      <c r="S74" s="94">
        <f t="shared" ca="1" si="13"/>
        <v>2.855590707781452</v>
      </c>
      <c r="T74" s="4">
        <f t="shared" ca="1" si="14"/>
        <v>0</v>
      </c>
      <c r="U74" s="46">
        <f t="shared" ca="1" si="15"/>
        <v>1487.276501057248</v>
      </c>
      <c r="V74" s="4">
        <f t="shared" ca="1" si="16"/>
        <v>0</v>
      </c>
      <c r="W74" s="13">
        <f t="shared" ca="1" si="17"/>
        <v>15297.60387369375</v>
      </c>
      <c r="X74" s="4">
        <f t="shared" ca="1" si="18"/>
        <v>0</v>
      </c>
      <c r="AE74" s="4"/>
    </row>
    <row r="75" spans="1:31">
      <c r="A75">
        <v>0</v>
      </c>
      <c r="B75">
        <v>1</v>
      </c>
      <c r="C75">
        <f t="shared" si="0"/>
        <v>7</v>
      </c>
      <c r="D75">
        <f t="shared" si="1"/>
        <v>5</v>
      </c>
      <c r="E75">
        <f t="shared" si="2"/>
        <v>0</v>
      </c>
      <c r="F75" s="100">
        <f t="shared" ca="1" si="3"/>
        <v>8.3648759999999989E-2</v>
      </c>
      <c r="G75">
        <v>0</v>
      </c>
      <c r="H75">
        <v>0</v>
      </c>
      <c r="I75">
        <v>6</v>
      </c>
      <c r="J75" s="1">
        <f t="shared" ca="1" si="4"/>
        <v>0</v>
      </c>
      <c r="K75" s="1">
        <f t="shared" ca="1" si="5"/>
        <v>0</v>
      </c>
      <c r="L75" s="13">
        <f t="shared" ca="1" si="6"/>
        <v>102</v>
      </c>
      <c r="M75" s="7">
        <f t="shared" ca="1" si="7"/>
        <v>898</v>
      </c>
      <c r="N75" s="44">
        <f t="shared" ca="1" si="8"/>
        <v>10</v>
      </c>
      <c r="O75" s="94">
        <f t="shared" ca="1" si="9"/>
        <v>2.855590707781452</v>
      </c>
      <c r="P75" s="94">
        <f t="shared" ca="1" si="10"/>
        <v>28.555907077814521</v>
      </c>
      <c r="Q75" s="94">
        <f t="shared" ca="1" si="11"/>
        <v>28.555907077814521</v>
      </c>
      <c r="R75" s="94">
        <f t="shared" ca="1" si="12"/>
        <v>2.855590707781452</v>
      </c>
      <c r="S75" s="94">
        <f t="shared" ca="1" si="13"/>
        <v>2.855590707781452</v>
      </c>
      <c r="T75" s="4">
        <f t="shared" ca="1" si="14"/>
        <v>0</v>
      </c>
      <c r="U75" s="46">
        <f t="shared" ca="1" si="15"/>
        <v>1470.276501057248</v>
      </c>
      <c r="V75" s="4">
        <f t="shared" ca="1" si="16"/>
        <v>0</v>
      </c>
      <c r="W75" s="13">
        <f t="shared" ca="1" si="17"/>
        <v>13112.2318917375</v>
      </c>
      <c r="X75" s="4">
        <f t="shared" ca="1" si="18"/>
        <v>0</v>
      </c>
      <c r="AE75" s="4"/>
    </row>
    <row r="76" spans="1:31">
      <c r="A76">
        <v>0</v>
      </c>
      <c r="B76">
        <v>1</v>
      </c>
      <c r="C76">
        <f t="shared" si="0"/>
        <v>7</v>
      </c>
      <c r="D76">
        <f t="shared" si="1"/>
        <v>5</v>
      </c>
      <c r="E76">
        <f t="shared" si="2"/>
        <v>0</v>
      </c>
      <c r="F76" s="100">
        <f t="shared" ca="1" si="3"/>
        <v>8.3648759999999989E-2</v>
      </c>
      <c r="G76">
        <v>0</v>
      </c>
      <c r="H76">
        <v>0</v>
      </c>
      <c r="I76">
        <v>5</v>
      </c>
      <c r="J76" s="1">
        <f t="shared" ca="1" si="4"/>
        <v>4.7549502495000039E-4</v>
      </c>
      <c r="K76" s="1">
        <f t="shared" ca="1" si="5"/>
        <v>3.9774569223236589E-5</v>
      </c>
      <c r="L76" s="13">
        <f t="shared" ca="1" si="6"/>
        <v>100</v>
      </c>
      <c r="M76" s="7">
        <f t="shared" ca="1" si="7"/>
        <v>900</v>
      </c>
      <c r="N76" s="44">
        <f t="shared" ca="1" si="8"/>
        <v>10</v>
      </c>
      <c r="O76" s="94">
        <f t="shared" ca="1" si="9"/>
        <v>2.855590707781452</v>
      </c>
      <c r="P76" s="94">
        <f t="shared" ca="1" si="10"/>
        <v>28.555907077814521</v>
      </c>
      <c r="Q76" s="94">
        <f t="shared" ca="1" si="11"/>
        <v>28.555907077814521</v>
      </c>
      <c r="R76" s="94">
        <f t="shared" ca="1" si="12"/>
        <v>2.855590707781452</v>
      </c>
      <c r="S76" s="94">
        <f t="shared" ca="1" si="13"/>
        <v>2.855590707781452</v>
      </c>
      <c r="T76" s="4">
        <f t="shared" ca="1" si="14"/>
        <v>1.1357989027988453E-4</v>
      </c>
      <c r="U76" s="46">
        <f t="shared" ca="1" si="15"/>
        <v>1468.276501057248</v>
      </c>
      <c r="V76" s="4">
        <f t="shared" ca="1" si="16"/>
        <v>5.8400065330153121E-2</v>
      </c>
      <c r="W76" s="13">
        <f t="shared" ca="1" si="17"/>
        <v>10926.859909781251</v>
      </c>
      <c r="X76" s="4">
        <f t="shared" ca="1" si="18"/>
        <v>0.43461114587420308</v>
      </c>
      <c r="AE76" s="4"/>
    </row>
    <row r="77" spans="1:31">
      <c r="A77">
        <v>0</v>
      </c>
      <c r="B77">
        <v>1</v>
      </c>
      <c r="C77">
        <f t="shared" si="0"/>
        <v>7</v>
      </c>
      <c r="D77">
        <f t="shared" si="1"/>
        <v>5</v>
      </c>
      <c r="E77">
        <f t="shared" si="2"/>
        <v>0</v>
      </c>
      <c r="F77" s="100">
        <f t="shared" ca="1" si="3"/>
        <v>8.3648759999999989E-2</v>
      </c>
      <c r="G77">
        <v>0</v>
      </c>
      <c r="H77">
        <v>0</v>
      </c>
      <c r="I77">
        <v>4</v>
      </c>
      <c r="J77" s="1">
        <f t="shared" ca="1" si="4"/>
        <v>2.4014900250000042E-5</v>
      </c>
      <c r="K77" s="1">
        <f t="shared" ca="1" si="5"/>
        <v>2.0088166274361932E-6</v>
      </c>
      <c r="L77" s="13">
        <f t="shared" ca="1" si="6"/>
        <v>100</v>
      </c>
      <c r="M77" s="7">
        <f t="shared" ca="1" si="7"/>
        <v>900</v>
      </c>
      <c r="N77" s="44">
        <f t="shared" ca="1" si="8"/>
        <v>10</v>
      </c>
      <c r="O77" s="94">
        <f t="shared" ca="1" si="9"/>
        <v>2.855590707781452</v>
      </c>
      <c r="P77" s="94">
        <f t="shared" ca="1" si="10"/>
        <v>28.555907077814521</v>
      </c>
      <c r="Q77" s="94">
        <f t="shared" ca="1" si="11"/>
        <v>28.555907077814521</v>
      </c>
      <c r="R77" s="94">
        <f t="shared" ca="1" si="12"/>
        <v>2.855590707781452</v>
      </c>
      <c r="S77" s="94">
        <f t="shared" ca="1" si="13"/>
        <v>2.855590707781452</v>
      </c>
      <c r="T77" s="4">
        <f t="shared" ca="1" si="14"/>
        <v>5.736358094943668E-6</v>
      </c>
      <c r="U77" s="46">
        <f t="shared" ca="1" si="15"/>
        <v>1468.276501057248</v>
      </c>
      <c r="V77" s="4">
        <f t="shared" ca="1" si="16"/>
        <v>2.9494982489976351E-3</v>
      </c>
      <c r="W77" s="13">
        <f t="shared" ca="1" si="17"/>
        <v>8741.487927825001</v>
      </c>
      <c r="X77" s="4">
        <f t="shared" ca="1" si="18"/>
        <v>1.7560046297947614E-2</v>
      </c>
      <c r="AE77" s="4"/>
    </row>
    <row r="78" spans="1:31">
      <c r="A78">
        <v>0</v>
      </c>
      <c r="B78">
        <v>1</v>
      </c>
      <c r="C78">
        <f t="shared" si="0"/>
        <v>7</v>
      </c>
      <c r="D78">
        <f t="shared" si="1"/>
        <v>5</v>
      </c>
      <c r="E78">
        <f t="shared" si="2"/>
        <v>0</v>
      </c>
      <c r="F78" s="100">
        <f t="shared" ca="1" si="3"/>
        <v>8.3648759999999989E-2</v>
      </c>
      <c r="G78">
        <v>0</v>
      </c>
      <c r="H78">
        <v>0</v>
      </c>
      <c r="I78">
        <v>3</v>
      </c>
      <c r="J78" s="1">
        <f t="shared" ca="1" si="4"/>
        <v>4.8514950000000128E-7</v>
      </c>
      <c r="K78" s="1">
        <f t="shared" ca="1" si="5"/>
        <v>4.0582154089620104E-8</v>
      </c>
      <c r="L78" s="13">
        <f t="shared" ca="1" si="6"/>
        <v>100</v>
      </c>
      <c r="M78" s="7">
        <f t="shared" ca="1" si="7"/>
        <v>900</v>
      </c>
      <c r="N78" s="44">
        <f t="shared" ca="1" si="8"/>
        <v>10</v>
      </c>
      <c r="O78" s="94">
        <f t="shared" ca="1" si="9"/>
        <v>2.855590707781452</v>
      </c>
      <c r="P78" s="94">
        <f t="shared" ca="1" si="10"/>
        <v>28.555907077814521</v>
      </c>
      <c r="Q78" s="94">
        <f t="shared" ca="1" si="11"/>
        <v>28.555907077814521</v>
      </c>
      <c r="R78" s="94">
        <f t="shared" ca="1" si="12"/>
        <v>2.855590707781452</v>
      </c>
      <c r="S78" s="94">
        <f t="shared" ca="1" si="13"/>
        <v>2.855590707781452</v>
      </c>
      <c r="T78" s="4">
        <f t="shared" ca="1" si="14"/>
        <v>1.1588602212007422E-7</v>
      </c>
      <c r="U78" s="46">
        <f t="shared" ca="1" si="15"/>
        <v>1468.276501057248</v>
      </c>
      <c r="V78" s="4">
        <f t="shared" ca="1" si="16"/>
        <v>5.9585823212073493E-5</v>
      </c>
      <c r="W78" s="13">
        <f t="shared" ca="1" si="17"/>
        <v>6556.1159458687498</v>
      </c>
      <c r="X78" s="4">
        <f t="shared" ca="1" si="18"/>
        <v>2.6606130754466107E-4</v>
      </c>
      <c r="AE78" s="4"/>
    </row>
    <row r="79" spans="1:31">
      <c r="A79">
        <v>0</v>
      </c>
      <c r="B79">
        <v>1</v>
      </c>
      <c r="C79">
        <f t="shared" si="0"/>
        <v>7</v>
      </c>
      <c r="D79">
        <f t="shared" si="1"/>
        <v>5</v>
      </c>
      <c r="E79">
        <f t="shared" si="2"/>
        <v>0</v>
      </c>
      <c r="F79" s="100">
        <f t="shared" ca="1" si="3"/>
        <v>8.3648759999999989E-2</v>
      </c>
      <c r="G79">
        <v>0</v>
      </c>
      <c r="H79">
        <v>0</v>
      </c>
      <c r="I79">
        <v>2</v>
      </c>
      <c r="J79" s="1">
        <f t="shared" ca="1" si="4"/>
        <v>4.900500000000018E-9</v>
      </c>
      <c r="K79" s="1">
        <f t="shared" ca="1" si="5"/>
        <v>4.0992074838000146E-10</v>
      </c>
      <c r="L79" s="13">
        <f t="shared" ca="1" si="6"/>
        <v>100</v>
      </c>
      <c r="M79" s="7">
        <f t="shared" ca="1" si="7"/>
        <v>900</v>
      </c>
      <c r="N79" s="44">
        <f t="shared" ca="1" si="8"/>
        <v>10</v>
      </c>
      <c r="O79" s="94">
        <f t="shared" ca="1" si="9"/>
        <v>2.855590707781452</v>
      </c>
      <c r="P79" s="94">
        <f t="shared" ca="1" si="10"/>
        <v>28.555907077814521</v>
      </c>
      <c r="Q79" s="94">
        <f t="shared" ca="1" si="11"/>
        <v>28.555907077814521</v>
      </c>
      <c r="R79" s="94">
        <f t="shared" ca="1" si="12"/>
        <v>2.855590707781452</v>
      </c>
      <c r="S79" s="94">
        <f t="shared" ca="1" si="13"/>
        <v>2.855590707781452</v>
      </c>
      <c r="T79" s="4">
        <f t="shared" ca="1" si="14"/>
        <v>1.1705658800007507E-9</v>
      </c>
      <c r="U79" s="46">
        <f t="shared" ca="1" si="15"/>
        <v>1468.276501057248</v>
      </c>
      <c r="V79" s="4">
        <f t="shared" ca="1" si="16"/>
        <v>6.0187700214215713E-7</v>
      </c>
      <c r="W79" s="13">
        <f t="shared" ca="1" si="17"/>
        <v>4370.7439639125005</v>
      </c>
      <c r="X79" s="4">
        <f t="shared" ca="1" si="18"/>
        <v>1.7916586366643862E-6</v>
      </c>
      <c r="AE79" s="4"/>
    </row>
    <row r="80" spans="1:31">
      <c r="A80">
        <v>0</v>
      </c>
      <c r="B80">
        <v>1</v>
      </c>
      <c r="C80">
        <f t="shared" si="0"/>
        <v>7</v>
      </c>
      <c r="D80">
        <f t="shared" si="1"/>
        <v>5</v>
      </c>
      <c r="E80">
        <f t="shared" si="2"/>
        <v>0</v>
      </c>
      <c r="F80" s="100">
        <f t="shared" ca="1" si="3"/>
        <v>8.3648759999999989E-2</v>
      </c>
      <c r="G80">
        <v>0</v>
      </c>
      <c r="H80">
        <v>0</v>
      </c>
      <c r="I80">
        <v>1</v>
      </c>
      <c r="J80" s="1">
        <f t="shared" ca="1" si="4"/>
        <v>2.4750000000000112E-11</v>
      </c>
      <c r="K80" s="1">
        <f t="shared" ca="1" si="5"/>
        <v>2.070306810000009E-12</v>
      </c>
      <c r="L80" s="13">
        <f t="shared" ca="1" si="6"/>
        <v>100</v>
      </c>
      <c r="M80" s="7">
        <f t="shared" ca="1" si="7"/>
        <v>900</v>
      </c>
      <c r="N80" s="44">
        <f t="shared" ca="1" si="8"/>
        <v>10</v>
      </c>
      <c r="O80" s="94">
        <f t="shared" ca="1" si="9"/>
        <v>2.855590707781452</v>
      </c>
      <c r="P80" s="94">
        <f t="shared" ca="1" si="10"/>
        <v>28.555907077814521</v>
      </c>
      <c r="Q80" s="94">
        <f t="shared" ca="1" si="11"/>
        <v>28.555907077814521</v>
      </c>
      <c r="R80" s="94">
        <f t="shared" ca="1" si="12"/>
        <v>2.855590707781452</v>
      </c>
      <c r="S80" s="94">
        <f t="shared" ca="1" si="13"/>
        <v>2.855590707781452</v>
      </c>
      <c r="T80" s="4">
        <f t="shared" ca="1" si="14"/>
        <v>5.911948888892686E-12</v>
      </c>
      <c r="U80" s="46">
        <f t="shared" ca="1" si="15"/>
        <v>1468.276501057248</v>
      </c>
      <c r="V80" s="4">
        <f t="shared" ca="1" si="16"/>
        <v>3.0397828391018058E-9</v>
      </c>
      <c r="W80" s="13">
        <f t="shared" ca="1" si="17"/>
        <v>2185.3719819562502</v>
      </c>
      <c r="X80" s="4">
        <f t="shared" ca="1" si="18"/>
        <v>4.5243904966272414E-9</v>
      </c>
      <c r="AE80" s="4"/>
    </row>
    <row r="81" spans="1:31">
      <c r="A81">
        <v>0</v>
      </c>
      <c r="B81">
        <v>1</v>
      </c>
      <c r="C81">
        <f t="shared" si="0"/>
        <v>7</v>
      </c>
      <c r="D81">
        <f t="shared" si="1"/>
        <v>5</v>
      </c>
      <c r="E81">
        <f t="shared" si="2"/>
        <v>0</v>
      </c>
      <c r="F81" s="100">
        <f t="shared" ca="1" si="3"/>
        <v>8.3648759999999989E-2</v>
      </c>
      <c r="G81">
        <v>0</v>
      </c>
      <c r="H81">
        <v>0</v>
      </c>
      <c r="I81">
        <v>0</v>
      </c>
      <c r="J81" s="1">
        <f t="shared" ca="1" si="4"/>
        <v>5.0000000000000273E-14</v>
      </c>
      <c r="K81" s="1">
        <f t="shared" ca="1" si="5"/>
        <v>4.1824380000000226E-15</v>
      </c>
      <c r="L81" s="13">
        <f t="shared" ca="1" si="6"/>
        <v>100</v>
      </c>
      <c r="M81" s="7">
        <f t="shared" ca="1" si="7"/>
        <v>900</v>
      </c>
      <c r="N81" s="44">
        <f t="shared" ca="1" si="8"/>
        <v>10</v>
      </c>
      <c r="O81" s="94">
        <f t="shared" ca="1" si="9"/>
        <v>2.855590707781452</v>
      </c>
      <c r="P81" s="94">
        <f t="shared" ca="1" si="10"/>
        <v>28.555907077814521</v>
      </c>
      <c r="Q81" s="94">
        <f t="shared" ca="1" si="11"/>
        <v>28.555907077814521</v>
      </c>
      <c r="R81" s="94">
        <f t="shared" ca="1" si="12"/>
        <v>2.855590707781452</v>
      </c>
      <c r="S81" s="94">
        <f t="shared" ca="1" si="13"/>
        <v>2.855590707781452</v>
      </c>
      <c r="T81" s="4">
        <f t="shared" ca="1" si="14"/>
        <v>1.1943331088672105E-14</v>
      </c>
      <c r="U81" s="46">
        <f t="shared" ca="1" si="15"/>
        <v>1468.276501057248</v>
      </c>
      <c r="V81" s="4">
        <f t="shared" ca="1" si="16"/>
        <v>6.1409754325289076E-12</v>
      </c>
      <c r="W81" s="13">
        <f t="shared" ca="1" si="17"/>
        <v>0</v>
      </c>
      <c r="X81" s="4">
        <f t="shared" ca="1" si="18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0.10474799999999998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285</v>
      </c>
      <c r="M82" s="7">
        <f t="shared" ref="M82:M145" ca="1" si="26">MAX(Set1MinTP-(L82+Set1Regain), 0)</f>
        <v>715</v>
      </c>
      <c r="N82" s="44">
        <f t="shared" ref="N82:N145" ca="1" si="27">CEILING(M82/Set1MeleeTP, 1)</f>
        <v>8</v>
      </c>
      <c r="O82" s="94">
        <f t="shared" ref="O82:O145" ca="1" si="28">VLOOKUP(N82,AvgRoundsSet1,2)</f>
        <v>2.3721134347108093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23.721134347108087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23.721134347108087</v>
      </c>
      <c r="R82" s="94">
        <f t="shared" ref="R82:R145" ca="1" si="31">(P82+Q82)/20</f>
        <v>2.3721134347108088</v>
      </c>
      <c r="S82" s="94">
        <f t="shared" ref="S82:S145" ca="1" si="32">R82*Set1ConserveTP + O82*(1-Set1ConserveTP)</f>
        <v>2.3721134347108093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1461.8387274667198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19639.172433464904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0.10474799999999998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9.2750382009433294E-2</v>
      </c>
      <c r="L83" s="13">
        <f t="shared" ca="1" si="25"/>
        <v>268</v>
      </c>
      <c r="M83" s="7">
        <f t="shared" ca="1" si="26"/>
        <v>732</v>
      </c>
      <c r="N83" s="44">
        <f t="shared" ca="1" si="27"/>
        <v>8</v>
      </c>
      <c r="O83" s="94">
        <f t="shared" ca="1" si="28"/>
        <v>2.3721134347108093</v>
      </c>
      <c r="P83" s="94">
        <f t="shared" ca="1" si="29"/>
        <v>23.721134347108087</v>
      </c>
      <c r="Q83" s="94">
        <f t="shared" ca="1" si="30"/>
        <v>23.721134347108087</v>
      </c>
      <c r="R83" s="94">
        <f t="shared" ca="1" si="31"/>
        <v>2.3721134347108088</v>
      </c>
      <c r="S83" s="94">
        <f t="shared" ca="1" si="32"/>
        <v>2.3721134347108093</v>
      </c>
      <c r="T83" s="4">
        <f t="shared" ca="1" si="33"/>
        <v>0.22001442723913647</v>
      </c>
      <c r="U83" s="46">
        <f t="shared" ca="1" si="34"/>
        <v>1444.8387274667198</v>
      </c>
      <c r="V83" s="4">
        <f t="shared" ca="1" si="35"/>
        <v>134.00934391456173</v>
      </c>
      <c r="W83" s="13">
        <f t="shared" ca="1" si="36"/>
        <v>17453.800451508654</v>
      </c>
      <c r="X83" s="4">
        <f t="shared" ca="1" si="37"/>
        <v>1618.8466593938469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0.10474799999999998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5.6212352732989924E-3</v>
      </c>
      <c r="L84" s="13">
        <f t="shared" ca="1" si="25"/>
        <v>251</v>
      </c>
      <c r="M84" s="7">
        <f t="shared" ca="1" si="26"/>
        <v>749</v>
      </c>
      <c r="N84" s="44">
        <f t="shared" ca="1" si="27"/>
        <v>8</v>
      </c>
      <c r="O84" s="94">
        <f t="shared" ca="1" si="28"/>
        <v>2.3721134347108093</v>
      </c>
      <c r="P84" s="94">
        <f t="shared" ca="1" si="29"/>
        <v>23.721134347108087</v>
      </c>
      <c r="Q84" s="94">
        <f t="shared" ca="1" si="30"/>
        <v>23.721134347108087</v>
      </c>
      <c r="R84" s="94">
        <f t="shared" ca="1" si="31"/>
        <v>2.3721134347108088</v>
      </c>
      <c r="S84" s="94">
        <f t="shared" ca="1" si="32"/>
        <v>2.3721134347108093</v>
      </c>
      <c r="T84" s="4">
        <f t="shared" ca="1" si="33"/>
        <v>1.3334207711462827E-2</v>
      </c>
      <c r="U84" s="46">
        <f t="shared" ca="1" si="34"/>
        <v>1427.8387274667198</v>
      </c>
      <c r="V84" s="4">
        <f t="shared" ca="1" si="35"/>
        <v>8.0262174194182716</v>
      </c>
      <c r="W84" s="13">
        <f t="shared" ca="1" si="36"/>
        <v>15268.428469552406</v>
      </c>
      <c r="X84" s="4">
        <f t="shared" ca="1" si="37"/>
        <v>85.827428680890534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0.10474799999999998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1.4195038568936863E-4</v>
      </c>
      <c r="L85" s="13">
        <f t="shared" ca="1" si="25"/>
        <v>234</v>
      </c>
      <c r="M85" s="7">
        <f t="shared" ca="1" si="26"/>
        <v>766</v>
      </c>
      <c r="N85" s="44">
        <f t="shared" ca="1" si="27"/>
        <v>8</v>
      </c>
      <c r="O85" s="94">
        <f t="shared" ca="1" si="28"/>
        <v>2.3721134347108093</v>
      </c>
      <c r="P85" s="94">
        <f t="shared" ca="1" si="29"/>
        <v>23.721134347108087</v>
      </c>
      <c r="Q85" s="94">
        <f t="shared" ca="1" si="30"/>
        <v>23.721134347108087</v>
      </c>
      <c r="R85" s="94">
        <f t="shared" ca="1" si="31"/>
        <v>2.3721134347108088</v>
      </c>
      <c r="S85" s="94">
        <f t="shared" ca="1" si="32"/>
        <v>2.3721134347108093</v>
      </c>
      <c r="T85" s="4">
        <f t="shared" ca="1" si="33"/>
        <v>3.3672241695613235E-4</v>
      </c>
      <c r="U85" s="46">
        <f t="shared" ca="1" si="34"/>
        <v>1410.8387274667198</v>
      </c>
      <c r="V85" s="4">
        <f t="shared" ca="1" si="35"/>
        <v>0.20026910150939892</v>
      </c>
      <c r="W85" s="13">
        <f t="shared" ca="1" si="36"/>
        <v>13083.056487596155</v>
      </c>
      <c r="X85" s="4">
        <f t="shared" ca="1" si="37"/>
        <v>1.8571449144100707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0.10474799999999998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1.9117897062541245E-6</v>
      </c>
      <c r="L86" s="13">
        <f t="shared" ca="1" si="25"/>
        <v>217</v>
      </c>
      <c r="M86" s="7">
        <f t="shared" ca="1" si="26"/>
        <v>783</v>
      </c>
      <c r="N86" s="44">
        <f t="shared" ca="1" si="27"/>
        <v>9</v>
      </c>
      <c r="O86" s="94">
        <f t="shared" ca="1" si="28"/>
        <v>2.6080912058901573</v>
      </c>
      <c r="P86" s="94">
        <f t="shared" ca="1" si="29"/>
        <v>26.080912058901578</v>
      </c>
      <c r="Q86" s="94">
        <f t="shared" ca="1" si="30"/>
        <v>24.665045431825479</v>
      </c>
      <c r="R86" s="94">
        <f t="shared" ca="1" si="31"/>
        <v>2.5372978745363528</v>
      </c>
      <c r="S86" s="94">
        <f t="shared" ca="1" si="32"/>
        <v>2.6080912058901573</v>
      </c>
      <c r="T86" s="4">
        <f t="shared" ca="1" si="33"/>
        <v>4.9861219203927094E-6</v>
      </c>
      <c r="U86" s="46">
        <f t="shared" ca="1" si="34"/>
        <v>1487.2765406745989</v>
      </c>
      <c r="V86" s="4">
        <f t="shared" ca="1" si="35"/>
        <v>2.843359980814942E-3</v>
      </c>
      <c r="W86" s="13">
        <f t="shared" ca="1" si="36"/>
        <v>10897.684505639903</v>
      </c>
      <c r="X86" s="4">
        <f t="shared" ca="1" si="37"/>
        <v>2.0834081059887436E-2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0.10474799999999998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1.4483255350410051E-8</v>
      </c>
      <c r="L87" s="13">
        <f t="shared" ca="1" si="25"/>
        <v>200</v>
      </c>
      <c r="M87" s="7">
        <f t="shared" ca="1" si="26"/>
        <v>800</v>
      </c>
      <c r="N87" s="44">
        <f t="shared" ca="1" si="27"/>
        <v>9</v>
      </c>
      <c r="O87" s="94">
        <f t="shared" ca="1" si="28"/>
        <v>2.6080912058901573</v>
      </c>
      <c r="P87" s="94">
        <f t="shared" ca="1" si="29"/>
        <v>26.080912058901578</v>
      </c>
      <c r="Q87" s="94">
        <f t="shared" ca="1" si="30"/>
        <v>26.080912058901578</v>
      </c>
      <c r="R87" s="94">
        <f t="shared" ca="1" si="31"/>
        <v>2.6080912058901577</v>
      </c>
      <c r="S87" s="94">
        <f t="shared" ca="1" si="32"/>
        <v>2.6080912058901573</v>
      </c>
      <c r="T87" s="4">
        <f t="shared" ca="1" si="33"/>
        <v>3.7773650912066025E-8</v>
      </c>
      <c r="U87" s="46">
        <f t="shared" ca="1" si="34"/>
        <v>1470.2765406745989</v>
      </c>
      <c r="V87" s="4">
        <f t="shared" ca="1" si="35"/>
        <v>2.1294390574307766E-5</v>
      </c>
      <c r="W87" s="13">
        <f t="shared" ca="1" si="36"/>
        <v>8712.3125236836549</v>
      </c>
      <c r="X87" s="4">
        <f t="shared" ca="1" si="37"/>
        <v>1.261826469730858E-4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0.10474799999999998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5.8518203436000256E-11</v>
      </c>
      <c r="L88" s="13">
        <f t="shared" ca="1" si="25"/>
        <v>183</v>
      </c>
      <c r="M88" s="7">
        <f t="shared" ca="1" si="26"/>
        <v>817</v>
      </c>
      <c r="N88" s="44">
        <f t="shared" ca="1" si="27"/>
        <v>9</v>
      </c>
      <c r="O88" s="94">
        <f t="shared" ca="1" si="28"/>
        <v>2.6080912058901573</v>
      </c>
      <c r="P88" s="94">
        <f t="shared" ca="1" si="29"/>
        <v>26.080912058901578</v>
      </c>
      <c r="Q88" s="94">
        <f t="shared" ca="1" si="30"/>
        <v>26.080912058901578</v>
      </c>
      <c r="R88" s="94">
        <f t="shared" ca="1" si="31"/>
        <v>2.6080912058901577</v>
      </c>
      <c r="S88" s="94">
        <f t="shared" ca="1" si="32"/>
        <v>2.6080912058901573</v>
      </c>
      <c r="T88" s="4">
        <f t="shared" ca="1" si="33"/>
        <v>1.5262081176592346E-10</v>
      </c>
      <c r="U88" s="46">
        <f t="shared" ca="1" si="34"/>
        <v>1453.2765406745989</v>
      </c>
      <c r="V88" s="4">
        <f t="shared" ca="1" si="35"/>
        <v>8.504313225596288E-8</v>
      </c>
      <c r="W88" s="13">
        <f t="shared" ca="1" si="36"/>
        <v>6526.9405417274047</v>
      </c>
      <c r="X88" s="4">
        <f t="shared" ca="1" si="37"/>
        <v>3.8194483443548198E-7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0.10474799999999998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9.8515494000000514E-14</v>
      </c>
      <c r="L89" s="13">
        <f t="shared" ca="1" si="25"/>
        <v>166</v>
      </c>
      <c r="M89" s="7">
        <f t="shared" ca="1" si="26"/>
        <v>834</v>
      </c>
      <c r="N89" s="44">
        <f t="shared" ca="1" si="27"/>
        <v>9</v>
      </c>
      <c r="O89" s="94">
        <f t="shared" ca="1" si="28"/>
        <v>2.6080912058901573</v>
      </c>
      <c r="P89" s="94">
        <f t="shared" ca="1" si="29"/>
        <v>26.080912058901578</v>
      </c>
      <c r="Q89" s="94">
        <f t="shared" ca="1" si="30"/>
        <v>26.080912058901578</v>
      </c>
      <c r="R89" s="94">
        <f t="shared" ca="1" si="31"/>
        <v>2.6080912058901577</v>
      </c>
      <c r="S89" s="94">
        <f t="shared" ca="1" si="32"/>
        <v>2.6080912058901573</v>
      </c>
      <c r="T89" s="4">
        <f t="shared" ca="1" si="33"/>
        <v>2.5693739354532588E-13</v>
      </c>
      <c r="U89" s="46">
        <f t="shared" ca="1" si="34"/>
        <v>1436.2765406745989</v>
      </c>
      <c r="V89" s="4">
        <f t="shared" ca="1" si="35"/>
        <v>1.4149549292516994E-10</v>
      </c>
      <c r="W89" s="13">
        <f t="shared" ca="1" si="36"/>
        <v>4341.5685597711545</v>
      </c>
      <c r="X89" s="4">
        <f t="shared" ca="1" si="37"/>
        <v>4.2771177140072603E-10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0.10474799999999998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202</v>
      </c>
      <c r="M90" s="7">
        <f t="shared" ca="1" si="26"/>
        <v>798</v>
      </c>
      <c r="N90" s="44">
        <f t="shared" ca="1" si="27"/>
        <v>9</v>
      </c>
      <c r="O90" s="94">
        <f t="shared" ca="1" si="28"/>
        <v>2.6080912058901573</v>
      </c>
      <c r="P90" s="94">
        <f t="shared" ca="1" si="29"/>
        <v>26.080912058901578</v>
      </c>
      <c r="Q90" s="94">
        <f t="shared" ca="1" si="30"/>
        <v>26.080912058901578</v>
      </c>
      <c r="R90" s="94">
        <f t="shared" ca="1" si="31"/>
        <v>2.6080912058901577</v>
      </c>
      <c r="S90" s="94">
        <f t="shared" ca="1" si="32"/>
        <v>2.6080912058901573</v>
      </c>
      <c r="T90" s="4">
        <f t="shared" ca="1" si="33"/>
        <v>0</v>
      </c>
      <c r="U90" s="46">
        <f t="shared" ca="1" si="34"/>
        <v>1472.2765406745989</v>
      </c>
      <c r="V90" s="4">
        <f t="shared" ca="1" si="35"/>
        <v>0</v>
      </c>
      <c r="W90" s="13">
        <f t="shared" ca="1" si="36"/>
        <v>17482.975855650002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0.10474799999999998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9.3687254554983203E-4</v>
      </c>
      <c r="L91" s="13">
        <f t="shared" ca="1" si="25"/>
        <v>185</v>
      </c>
      <c r="M91" s="7">
        <f t="shared" ca="1" si="26"/>
        <v>815</v>
      </c>
      <c r="N91" s="44">
        <f t="shared" ca="1" si="27"/>
        <v>9</v>
      </c>
      <c r="O91" s="94">
        <f t="shared" ca="1" si="28"/>
        <v>2.6080912058901573</v>
      </c>
      <c r="P91" s="94">
        <f t="shared" ca="1" si="29"/>
        <v>26.080912058901578</v>
      </c>
      <c r="Q91" s="94">
        <f t="shared" ca="1" si="30"/>
        <v>26.080912058901578</v>
      </c>
      <c r="R91" s="94">
        <f t="shared" ca="1" si="31"/>
        <v>2.6080912058901577</v>
      </c>
      <c r="S91" s="94">
        <f t="shared" ca="1" si="32"/>
        <v>2.6080912058901573</v>
      </c>
      <c r="T91" s="4">
        <f t="shared" ca="1" si="33"/>
        <v>2.4434490470884428E-3</v>
      </c>
      <c r="U91" s="46">
        <f t="shared" ca="1" si="34"/>
        <v>1455.2765406745989</v>
      </c>
      <c r="V91" s="4">
        <f t="shared" ca="1" si="35"/>
        <v>1.3634086371407652</v>
      </c>
      <c r="W91" s="13">
        <f t="shared" ca="1" si="36"/>
        <v>15297.60387369375</v>
      </c>
      <c r="X91" s="4">
        <f t="shared" ca="1" si="37"/>
        <v>14.331905081960434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0.10474799999999998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5.6780154275747446E-5</v>
      </c>
      <c r="L92" s="13">
        <f t="shared" ca="1" si="25"/>
        <v>168</v>
      </c>
      <c r="M92" s="7">
        <f t="shared" ca="1" si="26"/>
        <v>832</v>
      </c>
      <c r="N92" s="44">
        <f t="shared" ca="1" si="27"/>
        <v>9</v>
      </c>
      <c r="O92" s="94">
        <f t="shared" ca="1" si="28"/>
        <v>2.6080912058901573</v>
      </c>
      <c r="P92" s="94">
        <f t="shared" ca="1" si="29"/>
        <v>26.080912058901578</v>
      </c>
      <c r="Q92" s="94">
        <f t="shared" ca="1" si="30"/>
        <v>26.080912058901578</v>
      </c>
      <c r="R92" s="94">
        <f t="shared" ca="1" si="31"/>
        <v>2.6080912058901577</v>
      </c>
      <c r="S92" s="94">
        <f t="shared" ca="1" si="32"/>
        <v>2.6080912058901573</v>
      </c>
      <c r="T92" s="4">
        <f t="shared" ca="1" si="33"/>
        <v>1.4808782103566332E-4</v>
      </c>
      <c r="U92" s="46">
        <f t="shared" ca="1" si="34"/>
        <v>1438.2765406745989</v>
      </c>
      <c r="V92" s="4">
        <f t="shared" ca="1" si="35"/>
        <v>8.1665563870692071E-2</v>
      </c>
      <c r="W92" s="13">
        <f t="shared" ca="1" si="36"/>
        <v>13112.231891737501</v>
      </c>
      <c r="X92" s="4">
        <f t="shared" ca="1" si="37"/>
        <v>0.74451454971223108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0.10474799999999998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1.4338422796905937E-6</v>
      </c>
      <c r="L93" s="13">
        <f t="shared" ca="1" si="25"/>
        <v>151</v>
      </c>
      <c r="M93" s="7">
        <f t="shared" ca="1" si="26"/>
        <v>849</v>
      </c>
      <c r="N93" s="44">
        <f t="shared" ca="1" si="27"/>
        <v>9</v>
      </c>
      <c r="O93" s="94">
        <f t="shared" ca="1" si="28"/>
        <v>2.6080912058901573</v>
      </c>
      <c r="P93" s="94">
        <f t="shared" ca="1" si="29"/>
        <v>26.080912058901578</v>
      </c>
      <c r="Q93" s="94">
        <f t="shared" ca="1" si="30"/>
        <v>26.080912058901578</v>
      </c>
      <c r="R93" s="94">
        <f t="shared" ca="1" si="31"/>
        <v>2.6080912058901577</v>
      </c>
      <c r="S93" s="94">
        <f t="shared" ca="1" si="32"/>
        <v>2.6080912058901573</v>
      </c>
      <c r="T93" s="4">
        <f t="shared" ca="1" si="33"/>
        <v>3.7395914402945329E-6</v>
      </c>
      <c r="U93" s="46">
        <f t="shared" ca="1" si="34"/>
        <v>1421.2765406745989</v>
      </c>
      <c r="V93" s="4">
        <f t="shared" ca="1" si="35"/>
        <v>2.0378863951516276E-3</v>
      </c>
      <c r="W93" s="13">
        <f t="shared" ca="1" si="36"/>
        <v>10926.859909781251</v>
      </c>
      <c r="X93" s="4">
        <f t="shared" ca="1" si="37"/>
        <v>1.5667393722900505E-2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0.10474799999999998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1.9311007133880061E-8</v>
      </c>
      <c r="L94" s="13">
        <f t="shared" ca="1" si="25"/>
        <v>134</v>
      </c>
      <c r="M94" s="7">
        <f t="shared" ca="1" si="26"/>
        <v>866</v>
      </c>
      <c r="N94" s="44">
        <f t="shared" ca="1" si="27"/>
        <v>10</v>
      </c>
      <c r="O94" s="94">
        <f t="shared" ca="1" si="28"/>
        <v>2.855590707781452</v>
      </c>
      <c r="P94" s="94">
        <f t="shared" ca="1" si="29"/>
        <v>26.328411560792873</v>
      </c>
      <c r="Q94" s="94">
        <f t="shared" ca="1" si="30"/>
        <v>26.080912058901578</v>
      </c>
      <c r="R94" s="94">
        <f t="shared" ca="1" si="31"/>
        <v>2.6204661809847223</v>
      </c>
      <c r="S94" s="94">
        <f t="shared" ca="1" si="32"/>
        <v>2.855590707781452</v>
      </c>
      <c r="T94" s="4">
        <f t="shared" ca="1" si="33"/>
        <v>5.5144332529409231E-8</v>
      </c>
      <c r="U94" s="46">
        <f t="shared" ca="1" si="34"/>
        <v>1502.276501057248</v>
      </c>
      <c r="V94" s="4">
        <f t="shared" ca="1" si="35"/>
        <v>2.9010472228976892E-5</v>
      </c>
      <c r="W94" s="13">
        <f t="shared" ca="1" si="36"/>
        <v>8741.487927825001</v>
      </c>
      <c r="X94" s="4">
        <f t="shared" ca="1" si="37"/>
        <v>1.6880693573495504E-4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0.10474799999999998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1.4629550859000065E-10</v>
      </c>
      <c r="L95" s="13">
        <f t="shared" ca="1" si="25"/>
        <v>117</v>
      </c>
      <c r="M95" s="7">
        <f t="shared" ca="1" si="26"/>
        <v>883</v>
      </c>
      <c r="N95" s="44">
        <f t="shared" ca="1" si="27"/>
        <v>10</v>
      </c>
      <c r="O95" s="94">
        <f t="shared" ca="1" si="28"/>
        <v>2.855590707781452</v>
      </c>
      <c r="P95" s="94">
        <f t="shared" ca="1" si="29"/>
        <v>28.555907077814521</v>
      </c>
      <c r="Q95" s="94">
        <f t="shared" ca="1" si="30"/>
        <v>28.060908074031932</v>
      </c>
      <c r="R95" s="94">
        <f t="shared" ca="1" si="31"/>
        <v>2.8308407575923225</v>
      </c>
      <c r="S95" s="94">
        <f t="shared" ca="1" si="32"/>
        <v>2.855590707781452</v>
      </c>
      <c r="T95" s="4">
        <f t="shared" ca="1" si="33"/>
        <v>4.1776009491976743E-10</v>
      </c>
      <c r="U95" s="46">
        <f t="shared" ca="1" si="34"/>
        <v>1485.276501057248</v>
      </c>
      <c r="V95" s="4">
        <f t="shared" ca="1" si="35"/>
        <v>2.1728928111894674E-7</v>
      </c>
      <c r="W95" s="13">
        <f t="shared" ca="1" si="36"/>
        <v>6556.1159458687507</v>
      </c>
      <c r="X95" s="4">
        <f t="shared" ca="1" si="37"/>
        <v>9.5913031667588202E-7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0.10474799999999998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5.9109296400000314E-13</v>
      </c>
      <c r="L96" s="13">
        <f t="shared" ca="1" si="25"/>
        <v>100</v>
      </c>
      <c r="M96" s="7">
        <f t="shared" ca="1" si="26"/>
        <v>900</v>
      </c>
      <c r="N96" s="44">
        <f t="shared" ca="1" si="27"/>
        <v>10</v>
      </c>
      <c r="O96" s="94">
        <f t="shared" ca="1" si="28"/>
        <v>2.855590707781452</v>
      </c>
      <c r="P96" s="94">
        <f t="shared" ca="1" si="29"/>
        <v>28.555907077814521</v>
      </c>
      <c r="Q96" s="94">
        <f t="shared" ca="1" si="30"/>
        <v>28.555907077814521</v>
      </c>
      <c r="R96" s="94">
        <f t="shared" ca="1" si="31"/>
        <v>2.855590707781452</v>
      </c>
      <c r="S96" s="94">
        <f t="shared" ca="1" si="32"/>
        <v>2.855590707781452</v>
      </c>
      <c r="T96" s="4">
        <f t="shared" ca="1" si="33"/>
        <v>1.6879195754334052E-12</v>
      </c>
      <c r="U96" s="46">
        <f t="shared" ca="1" si="34"/>
        <v>1468.276501057248</v>
      </c>
      <c r="V96" s="4">
        <f t="shared" ca="1" si="35"/>
        <v>8.6788790898148247E-10</v>
      </c>
      <c r="W96" s="13">
        <f t="shared" ca="1" si="36"/>
        <v>4370.7439639125005</v>
      </c>
      <c r="X96" s="4">
        <f t="shared" ca="1" si="37"/>
        <v>2.5835160045141626E-9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0.10474799999999998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9.9510600000000616E-16</v>
      </c>
      <c r="L97" s="13">
        <f t="shared" ca="1" si="25"/>
        <v>100</v>
      </c>
      <c r="M97" s="7">
        <f t="shared" ca="1" si="26"/>
        <v>900</v>
      </c>
      <c r="N97" s="44">
        <f t="shared" ca="1" si="27"/>
        <v>10</v>
      </c>
      <c r="O97" s="94">
        <f t="shared" ca="1" si="28"/>
        <v>2.855590707781452</v>
      </c>
      <c r="P97" s="94">
        <f t="shared" ca="1" si="29"/>
        <v>28.555907077814521</v>
      </c>
      <c r="Q97" s="94">
        <f t="shared" ca="1" si="30"/>
        <v>28.555907077814521</v>
      </c>
      <c r="R97" s="94">
        <f t="shared" ca="1" si="31"/>
        <v>2.855590707781452</v>
      </c>
      <c r="S97" s="94">
        <f t="shared" ca="1" si="32"/>
        <v>2.855590707781452</v>
      </c>
      <c r="T97" s="4">
        <f t="shared" ca="1" si="33"/>
        <v>2.841615446857587E-15</v>
      </c>
      <c r="U97" s="46">
        <f t="shared" ca="1" si="34"/>
        <v>1468.276501057248</v>
      </c>
      <c r="V97" s="4">
        <f t="shared" ca="1" si="35"/>
        <v>1.4610907558610828E-12</v>
      </c>
      <c r="W97" s="13">
        <f t="shared" ca="1" si="36"/>
        <v>2185.3719819562502</v>
      </c>
      <c r="X97" s="4">
        <f t="shared" ca="1" si="37"/>
        <v>2.17467677147657E-12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0.10474799999999998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202</v>
      </c>
      <c r="M98" s="7">
        <f t="shared" ca="1" si="26"/>
        <v>798</v>
      </c>
      <c r="N98" s="44">
        <f t="shared" ca="1" si="27"/>
        <v>9</v>
      </c>
      <c r="O98" s="94">
        <f t="shared" ca="1" si="28"/>
        <v>2.6080912058901573</v>
      </c>
      <c r="P98" s="94">
        <f t="shared" ca="1" si="29"/>
        <v>26.080912058901578</v>
      </c>
      <c r="Q98" s="94">
        <f t="shared" ca="1" si="30"/>
        <v>26.080912058901578</v>
      </c>
      <c r="R98" s="94">
        <f t="shared" ca="1" si="31"/>
        <v>2.6080912058901577</v>
      </c>
      <c r="S98" s="94">
        <f t="shared" ca="1" si="32"/>
        <v>2.6080912058901573</v>
      </c>
      <c r="T98" s="4">
        <f t="shared" ca="1" si="33"/>
        <v>0</v>
      </c>
      <c r="U98" s="46">
        <f t="shared" ca="1" si="34"/>
        <v>1472.2765406745989</v>
      </c>
      <c r="V98" s="4">
        <f t="shared" ca="1" si="35"/>
        <v>0</v>
      </c>
      <c r="W98" s="13">
        <f t="shared" ca="1" si="36"/>
        <v>17453.800451508654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0.10474799999999998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4.8815990531280683E-3</v>
      </c>
      <c r="L99" s="13">
        <f t="shared" ca="1" si="25"/>
        <v>185</v>
      </c>
      <c r="M99" s="7">
        <f t="shared" ca="1" si="26"/>
        <v>815</v>
      </c>
      <c r="N99" s="44">
        <f t="shared" ca="1" si="27"/>
        <v>9</v>
      </c>
      <c r="O99" s="94">
        <f t="shared" ca="1" si="28"/>
        <v>2.6080912058901573</v>
      </c>
      <c r="P99" s="94">
        <f t="shared" ca="1" si="29"/>
        <v>26.080912058901578</v>
      </c>
      <c r="Q99" s="94">
        <f t="shared" ca="1" si="30"/>
        <v>26.080912058901578</v>
      </c>
      <c r="R99" s="94">
        <f t="shared" ca="1" si="31"/>
        <v>2.6080912058901577</v>
      </c>
      <c r="S99" s="94">
        <f t="shared" ca="1" si="32"/>
        <v>2.6080912058901573</v>
      </c>
      <c r="T99" s="4">
        <f t="shared" ca="1" si="33"/>
        <v>1.2731655561145033E-2</v>
      </c>
      <c r="U99" s="46">
        <f t="shared" ca="1" si="34"/>
        <v>1455.2765406745989</v>
      </c>
      <c r="V99" s="4">
        <f t="shared" ca="1" si="35"/>
        <v>7.1040765829966128</v>
      </c>
      <c r="W99" s="13">
        <f t="shared" ca="1" si="36"/>
        <v>15268.428469552404</v>
      </c>
      <c r="X99" s="4">
        <f t="shared" ca="1" si="37"/>
        <v>74.534345959720653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0.10474799999999998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2.9585448806836802E-4</v>
      </c>
      <c r="L100" s="13">
        <f t="shared" ca="1" si="25"/>
        <v>168</v>
      </c>
      <c r="M100" s="7">
        <f t="shared" ca="1" si="26"/>
        <v>832</v>
      </c>
      <c r="N100" s="44">
        <f t="shared" ca="1" si="27"/>
        <v>9</v>
      </c>
      <c r="O100" s="94">
        <f t="shared" ca="1" si="28"/>
        <v>2.6080912058901573</v>
      </c>
      <c r="P100" s="94">
        <f t="shared" ca="1" si="29"/>
        <v>26.080912058901578</v>
      </c>
      <c r="Q100" s="94">
        <f t="shared" ca="1" si="30"/>
        <v>26.080912058901578</v>
      </c>
      <c r="R100" s="94">
        <f t="shared" ca="1" si="31"/>
        <v>2.6080912058901577</v>
      </c>
      <c r="S100" s="94">
        <f t="shared" ca="1" si="32"/>
        <v>2.6080912058901573</v>
      </c>
      <c r="T100" s="4">
        <f t="shared" ca="1" si="33"/>
        <v>7.7161548855424515E-4</v>
      </c>
      <c r="U100" s="46">
        <f t="shared" ca="1" si="34"/>
        <v>1438.2765406745989</v>
      </c>
      <c r="V100" s="4">
        <f t="shared" ca="1" si="35"/>
        <v>0.42552056964202672</v>
      </c>
      <c r="W100" s="13">
        <f t="shared" ca="1" si="36"/>
        <v>13083.056487596155</v>
      </c>
      <c r="X100" s="4">
        <f t="shared" ca="1" si="37"/>
        <v>3.8706809795073016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0.10474799999999998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7.4710729310194035E-6</v>
      </c>
      <c r="L101" s="13">
        <f t="shared" ca="1" si="25"/>
        <v>151</v>
      </c>
      <c r="M101" s="7">
        <f t="shared" ca="1" si="26"/>
        <v>849</v>
      </c>
      <c r="N101" s="44">
        <f t="shared" ca="1" si="27"/>
        <v>9</v>
      </c>
      <c r="O101" s="94">
        <f t="shared" ca="1" si="28"/>
        <v>2.6080912058901573</v>
      </c>
      <c r="P101" s="94">
        <f t="shared" ca="1" si="29"/>
        <v>26.080912058901578</v>
      </c>
      <c r="Q101" s="94">
        <f t="shared" ca="1" si="30"/>
        <v>26.080912058901578</v>
      </c>
      <c r="R101" s="94">
        <f t="shared" ca="1" si="31"/>
        <v>2.6080912058901577</v>
      </c>
      <c r="S101" s="94">
        <f t="shared" ca="1" si="32"/>
        <v>2.6080912058901573</v>
      </c>
      <c r="T101" s="4">
        <f t="shared" ca="1" si="33"/>
        <v>1.9485239609955708E-5</v>
      </c>
      <c r="U101" s="46">
        <f t="shared" ca="1" si="34"/>
        <v>1421.2765406745989</v>
      </c>
      <c r="V101" s="4">
        <f t="shared" ca="1" si="35"/>
        <v>1.0618460690526894E-2</v>
      </c>
      <c r="W101" s="13">
        <f t="shared" ca="1" si="36"/>
        <v>10897.684505639905</v>
      </c>
      <c r="X101" s="4">
        <f t="shared" ca="1" si="37"/>
        <v>8.1417395720875863E-2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0.10474799999999998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1.0062051085548023E-7</v>
      </c>
      <c r="L102" s="13">
        <f t="shared" ca="1" si="25"/>
        <v>134</v>
      </c>
      <c r="M102" s="7">
        <f t="shared" ca="1" si="26"/>
        <v>866</v>
      </c>
      <c r="N102" s="44">
        <f t="shared" ca="1" si="27"/>
        <v>10</v>
      </c>
      <c r="O102" s="94">
        <f t="shared" ca="1" si="28"/>
        <v>2.855590707781452</v>
      </c>
      <c r="P102" s="94">
        <f t="shared" ca="1" si="29"/>
        <v>26.328411560792873</v>
      </c>
      <c r="Q102" s="94">
        <f t="shared" ca="1" si="30"/>
        <v>26.080912058901578</v>
      </c>
      <c r="R102" s="94">
        <f t="shared" ca="1" si="31"/>
        <v>2.6204661809847223</v>
      </c>
      <c r="S102" s="94">
        <f t="shared" ca="1" si="32"/>
        <v>2.855590707781452</v>
      </c>
      <c r="T102" s="4">
        <f t="shared" ca="1" si="33"/>
        <v>2.8733099581113207E-7</v>
      </c>
      <c r="U102" s="46">
        <f t="shared" ca="1" si="34"/>
        <v>1502.276501057248</v>
      </c>
      <c r="V102" s="4">
        <f t="shared" ca="1" si="35"/>
        <v>1.5115982898256369E-4</v>
      </c>
      <c r="W102" s="13">
        <f t="shared" ca="1" si="36"/>
        <v>8712.3125236836531</v>
      </c>
      <c r="X102" s="4">
        <f t="shared" ca="1" si="37"/>
        <v>8.7663733686564735E-4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0.10474799999999998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7.6227659739000283E-10</v>
      </c>
      <c r="L103" s="13">
        <f t="shared" ca="1" si="25"/>
        <v>117</v>
      </c>
      <c r="M103" s="7">
        <f t="shared" ca="1" si="26"/>
        <v>883</v>
      </c>
      <c r="N103" s="44">
        <f t="shared" ca="1" si="27"/>
        <v>10</v>
      </c>
      <c r="O103" s="94">
        <f t="shared" ca="1" si="28"/>
        <v>2.855590707781452</v>
      </c>
      <c r="P103" s="94">
        <f t="shared" ca="1" si="29"/>
        <v>28.555907077814521</v>
      </c>
      <c r="Q103" s="94">
        <f t="shared" ca="1" si="30"/>
        <v>28.060908074031932</v>
      </c>
      <c r="R103" s="94">
        <f t="shared" ca="1" si="31"/>
        <v>2.8308407575923225</v>
      </c>
      <c r="S103" s="94">
        <f t="shared" ca="1" si="32"/>
        <v>2.855590707781452</v>
      </c>
      <c r="T103" s="4">
        <f t="shared" ca="1" si="33"/>
        <v>2.176749968266155E-9</v>
      </c>
      <c r="U103" s="46">
        <f t="shared" ca="1" si="34"/>
        <v>1485.276501057248</v>
      </c>
      <c r="V103" s="4">
        <f t="shared" ca="1" si="35"/>
        <v>1.132191517409248E-6</v>
      </c>
      <c r="W103" s="13">
        <f t="shared" ca="1" si="36"/>
        <v>6526.9405417274047</v>
      </c>
      <c r="X103" s="4">
        <f t="shared" ca="1" si="37"/>
        <v>4.9753340275148278E-6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0.10474799999999998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3.0799054440000133E-12</v>
      </c>
      <c r="L104" s="13">
        <f t="shared" ca="1" si="25"/>
        <v>100</v>
      </c>
      <c r="M104" s="7">
        <f t="shared" ca="1" si="26"/>
        <v>900</v>
      </c>
      <c r="N104" s="44">
        <f t="shared" ca="1" si="27"/>
        <v>10</v>
      </c>
      <c r="O104" s="94">
        <f t="shared" ca="1" si="28"/>
        <v>2.855590707781452</v>
      </c>
      <c r="P104" s="94">
        <f t="shared" ca="1" si="29"/>
        <v>28.555907077814521</v>
      </c>
      <c r="Q104" s="94">
        <f t="shared" ca="1" si="30"/>
        <v>28.555907077814521</v>
      </c>
      <c r="R104" s="94">
        <f t="shared" ca="1" si="31"/>
        <v>2.855590707781452</v>
      </c>
      <c r="S104" s="94">
        <f t="shared" ca="1" si="32"/>
        <v>2.855590707781452</v>
      </c>
      <c r="T104" s="4">
        <f t="shared" ca="1" si="33"/>
        <v>8.7949493667319447E-12</v>
      </c>
      <c r="U104" s="46">
        <f t="shared" ca="1" si="34"/>
        <v>1468.276501057248</v>
      </c>
      <c r="V104" s="4">
        <f t="shared" ca="1" si="35"/>
        <v>4.5221527889035092E-9</v>
      </c>
      <c r="W104" s="13">
        <f t="shared" ca="1" si="36"/>
        <v>4341.5685597711545</v>
      </c>
      <c r="X104" s="4">
        <f t="shared" ca="1" si="37"/>
        <v>1.3371620642738475E-8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0.10474799999999998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5.1850260000000273E-15</v>
      </c>
      <c r="L105" s="13">
        <f t="shared" ca="1" si="25"/>
        <v>100</v>
      </c>
      <c r="M105" s="7">
        <f t="shared" ca="1" si="26"/>
        <v>900</v>
      </c>
      <c r="N105" s="44">
        <f t="shared" ca="1" si="27"/>
        <v>10</v>
      </c>
      <c r="O105" s="94">
        <f t="shared" ca="1" si="28"/>
        <v>2.855590707781452</v>
      </c>
      <c r="P105" s="94">
        <f t="shared" ca="1" si="29"/>
        <v>28.555907077814521</v>
      </c>
      <c r="Q105" s="94">
        <f t="shared" ca="1" si="30"/>
        <v>28.555907077814521</v>
      </c>
      <c r="R105" s="94">
        <f t="shared" ca="1" si="31"/>
        <v>2.855590707781452</v>
      </c>
      <c r="S105" s="94">
        <f t="shared" ca="1" si="32"/>
        <v>2.855590707781452</v>
      </c>
      <c r="T105" s="4">
        <f t="shared" ca="1" si="33"/>
        <v>1.4806312065205308E-14</v>
      </c>
      <c r="U105" s="46">
        <f t="shared" ca="1" si="34"/>
        <v>1468.276501057248</v>
      </c>
      <c r="V105" s="4">
        <f t="shared" ca="1" si="35"/>
        <v>7.6130518331708982E-12</v>
      </c>
      <c r="W105" s="13">
        <f t="shared" ca="1" si="36"/>
        <v>2156.1965778149038</v>
      </c>
      <c r="X105" s="4">
        <f t="shared" ca="1" si="37"/>
        <v>1.1179935317081357E-11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0.10474799999999998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119</v>
      </c>
      <c r="M106" s="7">
        <f t="shared" ca="1" si="26"/>
        <v>881</v>
      </c>
      <c r="N106" s="44">
        <f t="shared" ca="1" si="27"/>
        <v>10</v>
      </c>
      <c r="O106" s="94">
        <f t="shared" ca="1" si="28"/>
        <v>2.855590707781452</v>
      </c>
      <c r="P106" s="94">
        <f t="shared" ca="1" si="29"/>
        <v>28.555907077814521</v>
      </c>
      <c r="Q106" s="94">
        <f t="shared" ca="1" si="30"/>
        <v>27.565909070249344</v>
      </c>
      <c r="R106" s="94">
        <f t="shared" ca="1" si="31"/>
        <v>2.8060908074031934</v>
      </c>
      <c r="S106" s="94">
        <f t="shared" ca="1" si="32"/>
        <v>2.855590707781452</v>
      </c>
      <c r="T106" s="4">
        <f t="shared" ca="1" si="33"/>
        <v>0</v>
      </c>
      <c r="U106" s="46">
        <f t="shared" ca="1" si="34"/>
        <v>1487.276501057248</v>
      </c>
      <c r="V106" s="4">
        <f t="shared" ca="1" si="35"/>
        <v>0</v>
      </c>
      <c r="W106" s="13">
        <f t="shared" ca="1" si="36"/>
        <v>15297.60387369375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0.10474799999999998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4.9309081344728003E-5</v>
      </c>
      <c r="L107" s="13">
        <f t="shared" ca="1" si="25"/>
        <v>102</v>
      </c>
      <c r="M107" s="7">
        <f t="shared" ca="1" si="26"/>
        <v>898</v>
      </c>
      <c r="N107" s="44">
        <f t="shared" ca="1" si="27"/>
        <v>10</v>
      </c>
      <c r="O107" s="94">
        <f t="shared" ca="1" si="28"/>
        <v>2.855590707781452</v>
      </c>
      <c r="P107" s="94">
        <f t="shared" ca="1" si="29"/>
        <v>28.555907077814521</v>
      </c>
      <c r="Q107" s="94">
        <f t="shared" ca="1" si="30"/>
        <v>28.555907077814521</v>
      </c>
      <c r="R107" s="94">
        <f t="shared" ca="1" si="31"/>
        <v>2.855590707781452</v>
      </c>
      <c r="S107" s="94">
        <f t="shared" ca="1" si="32"/>
        <v>2.855590707781452</v>
      </c>
      <c r="T107" s="4">
        <f t="shared" ca="1" si="33"/>
        <v>1.4080655449724502E-4</v>
      </c>
      <c r="U107" s="46">
        <f t="shared" ca="1" si="34"/>
        <v>1470.276501057248</v>
      </c>
      <c r="V107" s="4">
        <f t="shared" ca="1" si="35"/>
        <v>7.2497983589873902E-2</v>
      </c>
      <c r="W107" s="13">
        <f t="shared" ca="1" si="36"/>
        <v>13112.2318917375</v>
      </c>
      <c r="X107" s="4">
        <f t="shared" ca="1" si="37"/>
        <v>0.6465521089606211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0.10474799999999998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2.9884291724077604E-6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10</v>
      </c>
      <c r="O108" s="94">
        <f t="shared" ca="1" si="28"/>
        <v>2.855590707781452</v>
      </c>
      <c r="P108" s="94">
        <f t="shared" ca="1" si="29"/>
        <v>28.555907077814521</v>
      </c>
      <c r="Q108" s="94">
        <f t="shared" ca="1" si="30"/>
        <v>28.555907077814521</v>
      </c>
      <c r="R108" s="94">
        <f t="shared" ca="1" si="31"/>
        <v>2.855590707781452</v>
      </c>
      <c r="S108" s="94">
        <f t="shared" ca="1" si="32"/>
        <v>2.855590707781452</v>
      </c>
      <c r="T108" s="4">
        <f t="shared" ca="1" si="33"/>
        <v>8.5337305755906155E-6</v>
      </c>
      <c r="U108" s="46">
        <f t="shared" ca="1" si="34"/>
        <v>1468.276501057248</v>
      </c>
      <c r="V108" s="4">
        <f t="shared" ca="1" si="35"/>
        <v>4.3878403289202735E-3</v>
      </c>
      <c r="W108" s="13">
        <f t="shared" ca="1" si="36"/>
        <v>10926.859909781251</v>
      </c>
      <c r="X108" s="4">
        <f t="shared" ca="1" si="37"/>
        <v>3.2654146917203121E-2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0.10474799999999998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7.5465383141610192E-8</v>
      </c>
      <c r="L109" s="13">
        <f t="shared" ca="1" si="25"/>
        <v>100</v>
      </c>
      <c r="M109" s="7">
        <f t="shared" ca="1" si="26"/>
        <v>900</v>
      </c>
      <c r="N109" s="44">
        <f t="shared" ca="1" si="27"/>
        <v>10</v>
      </c>
      <c r="O109" s="94">
        <f t="shared" ca="1" si="28"/>
        <v>2.855590707781452</v>
      </c>
      <c r="P109" s="94">
        <f t="shared" ca="1" si="29"/>
        <v>28.555907077814521</v>
      </c>
      <c r="Q109" s="94">
        <f t="shared" ca="1" si="30"/>
        <v>28.555907077814521</v>
      </c>
      <c r="R109" s="94">
        <f t="shared" ca="1" si="31"/>
        <v>2.855590707781452</v>
      </c>
      <c r="S109" s="94">
        <f t="shared" ca="1" si="32"/>
        <v>2.855590707781452</v>
      </c>
      <c r="T109" s="4">
        <f t="shared" ca="1" si="33"/>
        <v>2.154982468583491E-7</v>
      </c>
      <c r="U109" s="46">
        <f t="shared" ca="1" si="34"/>
        <v>1468.276501057248</v>
      </c>
      <c r="V109" s="4">
        <f t="shared" ca="1" si="35"/>
        <v>1.1080404871010804E-4</v>
      </c>
      <c r="W109" s="13">
        <f t="shared" ca="1" si="36"/>
        <v>8741.487927825001</v>
      </c>
      <c r="X109" s="4">
        <f t="shared" ca="1" si="37"/>
        <v>6.5967973570107388E-4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0.10474799999999998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1.0163687965200033E-9</v>
      </c>
      <c r="L110" s="13">
        <f t="shared" ca="1" si="25"/>
        <v>100</v>
      </c>
      <c r="M110" s="7">
        <f t="shared" ca="1" si="26"/>
        <v>900</v>
      </c>
      <c r="N110" s="44">
        <f t="shared" ca="1" si="27"/>
        <v>10</v>
      </c>
      <c r="O110" s="94">
        <f t="shared" ca="1" si="28"/>
        <v>2.855590707781452</v>
      </c>
      <c r="P110" s="94">
        <f t="shared" ca="1" si="29"/>
        <v>28.555907077814521</v>
      </c>
      <c r="Q110" s="94">
        <f t="shared" ca="1" si="30"/>
        <v>28.555907077814521</v>
      </c>
      <c r="R110" s="94">
        <f t="shared" ca="1" si="31"/>
        <v>2.855590707781452</v>
      </c>
      <c r="S110" s="94">
        <f t="shared" ca="1" si="32"/>
        <v>2.855590707781452</v>
      </c>
      <c r="T110" s="4">
        <f t="shared" ca="1" si="33"/>
        <v>2.9023332910215389E-9</v>
      </c>
      <c r="U110" s="46">
        <f t="shared" ca="1" si="34"/>
        <v>1468.276501057248</v>
      </c>
      <c r="V110" s="4">
        <f t="shared" ca="1" si="35"/>
        <v>1.4923104203381565E-6</v>
      </c>
      <c r="W110" s="13">
        <f t="shared" ca="1" si="36"/>
        <v>6556.1159458687498</v>
      </c>
      <c r="X110" s="4">
        <f t="shared" ca="1" si="37"/>
        <v>6.6634316737482245E-6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0.10474799999999998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7.6997636100000344E-12</v>
      </c>
      <c r="L111" s="13">
        <f t="shared" ca="1" si="25"/>
        <v>100</v>
      </c>
      <c r="M111" s="7">
        <f t="shared" ca="1" si="26"/>
        <v>900</v>
      </c>
      <c r="N111" s="44">
        <f t="shared" ca="1" si="27"/>
        <v>10</v>
      </c>
      <c r="O111" s="94">
        <f t="shared" ca="1" si="28"/>
        <v>2.855590707781452</v>
      </c>
      <c r="P111" s="94">
        <f t="shared" ca="1" si="29"/>
        <v>28.555907077814521</v>
      </c>
      <c r="Q111" s="94">
        <f t="shared" ca="1" si="30"/>
        <v>28.555907077814521</v>
      </c>
      <c r="R111" s="94">
        <f t="shared" ca="1" si="31"/>
        <v>2.855590707781452</v>
      </c>
      <c r="S111" s="94">
        <f t="shared" ca="1" si="32"/>
        <v>2.855590707781452</v>
      </c>
      <c r="T111" s="4">
        <f t="shared" ca="1" si="33"/>
        <v>2.1987373416829867E-11</v>
      </c>
      <c r="U111" s="46">
        <f t="shared" ca="1" si="34"/>
        <v>1468.276501057248</v>
      </c>
      <c r="V111" s="4">
        <f t="shared" ca="1" si="35"/>
        <v>1.1305381972258775E-8</v>
      </c>
      <c r="W111" s="13">
        <f t="shared" ca="1" si="36"/>
        <v>4370.7439639125005</v>
      </c>
      <c r="X111" s="4">
        <f t="shared" ca="1" si="37"/>
        <v>3.3653695321960774E-8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0.10474799999999998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3.1110156000000161E-14</v>
      </c>
      <c r="L112" s="13">
        <f t="shared" ca="1" si="25"/>
        <v>100</v>
      </c>
      <c r="M112" s="7">
        <f t="shared" ca="1" si="26"/>
        <v>900</v>
      </c>
      <c r="N112" s="44">
        <f t="shared" ca="1" si="27"/>
        <v>10</v>
      </c>
      <c r="O112" s="94">
        <f t="shared" ca="1" si="28"/>
        <v>2.855590707781452</v>
      </c>
      <c r="P112" s="94">
        <f t="shared" ca="1" si="29"/>
        <v>28.555907077814521</v>
      </c>
      <c r="Q112" s="94">
        <f t="shared" ca="1" si="30"/>
        <v>28.555907077814521</v>
      </c>
      <c r="R112" s="94">
        <f t="shared" ca="1" si="31"/>
        <v>2.855590707781452</v>
      </c>
      <c r="S112" s="94">
        <f t="shared" ca="1" si="32"/>
        <v>2.855590707781452</v>
      </c>
      <c r="T112" s="4">
        <f t="shared" ca="1" si="33"/>
        <v>8.8837872391231838E-14</v>
      </c>
      <c r="U112" s="46">
        <f t="shared" ca="1" si="34"/>
        <v>1468.276501057248</v>
      </c>
      <c r="V112" s="4">
        <f t="shared" ca="1" si="35"/>
        <v>4.5678310999025386E-11</v>
      </c>
      <c r="W112" s="13">
        <f t="shared" ca="1" si="36"/>
        <v>2185.3719819562502</v>
      </c>
      <c r="X112" s="4">
        <f t="shared" ca="1" si="37"/>
        <v>6.7987263276688483E-11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0.10474799999999998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5.2374000000000322E-17</v>
      </c>
      <c r="L113" s="13">
        <f t="shared" ca="1" si="25"/>
        <v>100</v>
      </c>
      <c r="M113" s="7">
        <f t="shared" ca="1" si="26"/>
        <v>900</v>
      </c>
      <c r="N113" s="44">
        <f t="shared" ca="1" si="27"/>
        <v>10</v>
      </c>
      <c r="O113" s="94">
        <f t="shared" ca="1" si="28"/>
        <v>2.855590707781452</v>
      </c>
      <c r="P113" s="94">
        <f t="shared" ca="1" si="29"/>
        <v>28.555907077814521</v>
      </c>
      <c r="Q113" s="94">
        <f t="shared" ca="1" si="30"/>
        <v>28.555907077814521</v>
      </c>
      <c r="R113" s="94">
        <f t="shared" ca="1" si="31"/>
        <v>2.855590707781452</v>
      </c>
      <c r="S113" s="94">
        <f t="shared" ca="1" si="32"/>
        <v>2.855590707781452</v>
      </c>
      <c r="T113" s="4">
        <f t="shared" ca="1" si="33"/>
        <v>1.4955870772934668E-16</v>
      </c>
      <c r="U113" s="46">
        <f t="shared" ca="1" si="34"/>
        <v>1468.276501057248</v>
      </c>
      <c r="V113" s="4">
        <f t="shared" ca="1" si="35"/>
        <v>7.6899513466372773E-14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285</v>
      </c>
      <c r="M114" s="7">
        <f t="shared" ca="1" si="26"/>
        <v>715</v>
      </c>
      <c r="N114" s="44">
        <f t="shared" ca="1" si="27"/>
        <v>8</v>
      </c>
      <c r="O114" s="94">
        <f t="shared" ca="1" si="28"/>
        <v>2.3721134347108093</v>
      </c>
      <c r="P114" s="94">
        <f t="shared" ca="1" si="29"/>
        <v>23.721134347108087</v>
      </c>
      <c r="Q114" s="94">
        <f t="shared" ca="1" si="30"/>
        <v>23.721134347108087</v>
      </c>
      <c r="R114" s="94">
        <f t="shared" ca="1" si="31"/>
        <v>2.3721134347108088</v>
      </c>
      <c r="S114" s="94">
        <f t="shared" ca="1" si="32"/>
        <v>2.3721134347108093</v>
      </c>
      <c r="T114" s="4">
        <f t="shared" ca="1" si="33"/>
        <v>0</v>
      </c>
      <c r="U114" s="46">
        <f t="shared" ca="1" si="34"/>
        <v>1461.8387274667198</v>
      </c>
      <c r="V114" s="4">
        <f t="shared" ca="1" si="35"/>
        <v>0</v>
      </c>
      <c r="W114" s="13">
        <f t="shared" ca="1" si="36"/>
        <v>19639.172433464904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268</v>
      </c>
      <c r="M115" s="7">
        <f t="shared" ca="1" si="26"/>
        <v>732</v>
      </c>
      <c r="N115" s="44">
        <f t="shared" ca="1" si="27"/>
        <v>8</v>
      </c>
      <c r="O115" s="94">
        <f t="shared" ca="1" si="28"/>
        <v>2.3721134347108093</v>
      </c>
      <c r="P115" s="94">
        <f t="shared" ca="1" si="29"/>
        <v>23.721134347108087</v>
      </c>
      <c r="Q115" s="94">
        <f t="shared" ca="1" si="30"/>
        <v>23.721134347108087</v>
      </c>
      <c r="R115" s="94">
        <f t="shared" ca="1" si="31"/>
        <v>2.3721134347108088</v>
      </c>
      <c r="S115" s="94">
        <f t="shared" ca="1" si="32"/>
        <v>2.3721134347108093</v>
      </c>
      <c r="T115" s="4">
        <f t="shared" ca="1" si="33"/>
        <v>0</v>
      </c>
      <c r="U115" s="46">
        <f t="shared" ca="1" si="34"/>
        <v>1444.8387274667198</v>
      </c>
      <c r="V115" s="4">
        <f t="shared" ca="1" si="35"/>
        <v>0</v>
      </c>
      <c r="W115" s="13">
        <f t="shared" ca="1" si="36"/>
        <v>17453.800451508654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251</v>
      </c>
      <c r="M116" s="7">
        <f t="shared" ca="1" si="26"/>
        <v>749</v>
      </c>
      <c r="N116" s="44">
        <f t="shared" ca="1" si="27"/>
        <v>8</v>
      </c>
      <c r="O116" s="94">
        <f t="shared" ca="1" si="28"/>
        <v>2.3721134347108093</v>
      </c>
      <c r="P116" s="94">
        <f t="shared" ca="1" si="29"/>
        <v>23.721134347108087</v>
      </c>
      <c r="Q116" s="94">
        <f t="shared" ca="1" si="30"/>
        <v>23.721134347108087</v>
      </c>
      <c r="R116" s="94">
        <f t="shared" ca="1" si="31"/>
        <v>2.3721134347108088</v>
      </c>
      <c r="S116" s="94">
        <f t="shared" ca="1" si="32"/>
        <v>2.3721134347108093</v>
      </c>
      <c r="T116" s="4">
        <f t="shared" ca="1" si="33"/>
        <v>0</v>
      </c>
      <c r="U116" s="46">
        <f t="shared" ca="1" si="34"/>
        <v>1427.8387274667198</v>
      </c>
      <c r="V116" s="4">
        <f t="shared" ca="1" si="35"/>
        <v>0</v>
      </c>
      <c r="W116" s="13">
        <f t="shared" ca="1" si="36"/>
        <v>15268.428469552406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234</v>
      </c>
      <c r="M117" s="7">
        <f t="shared" ca="1" si="26"/>
        <v>766</v>
      </c>
      <c r="N117" s="44">
        <f t="shared" ca="1" si="27"/>
        <v>8</v>
      </c>
      <c r="O117" s="94">
        <f t="shared" ca="1" si="28"/>
        <v>2.3721134347108093</v>
      </c>
      <c r="P117" s="94">
        <f t="shared" ca="1" si="29"/>
        <v>23.721134347108087</v>
      </c>
      <c r="Q117" s="94">
        <f t="shared" ca="1" si="30"/>
        <v>23.721134347108087</v>
      </c>
      <c r="R117" s="94">
        <f t="shared" ca="1" si="31"/>
        <v>2.3721134347108088</v>
      </c>
      <c r="S117" s="94">
        <f t="shared" ca="1" si="32"/>
        <v>2.3721134347108093</v>
      </c>
      <c r="T117" s="4">
        <f t="shared" ca="1" si="33"/>
        <v>0</v>
      </c>
      <c r="U117" s="46">
        <f t="shared" ca="1" si="34"/>
        <v>1410.8387274667198</v>
      </c>
      <c r="V117" s="4">
        <f t="shared" ca="1" si="35"/>
        <v>0</v>
      </c>
      <c r="W117" s="13">
        <f t="shared" ca="1" si="36"/>
        <v>13083.056487596155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217</v>
      </c>
      <c r="M118" s="7">
        <f t="shared" ca="1" si="26"/>
        <v>783</v>
      </c>
      <c r="N118" s="44">
        <f t="shared" ca="1" si="27"/>
        <v>9</v>
      </c>
      <c r="O118" s="94">
        <f t="shared" ca="1" si="28"/>
        <v>2.6080912058901573</v>
      </c>
      <c r="P118" s="94">
        <f t="shared" ca="1" si="29"/>
        <v>26.080912058901578</v>
      </c>
      <c r="Q118" s="94">
        <f t="shared" ca="1" si="30"/>
        <v>24.665045431825479</v>
      </c>
      <c r="R118" s="94">
        <f t="shared" ca="1" si="31"/>
        <v>2.5372978745363528</v>
      </c>
      <c r="S118" s="94">
        <f t="shared" ca="1" si="32"/>
        <v>2.6080912058901573</v>
      </c>
      <c r="T118" s="4">
        <f t="shared" ca="1" si="33"/>
        <v>0</v>
      </c>
      <c r="U118" s="46">
        <f t="shared" ca="1" si="34"/>
        <v>1487.2765406745989</v>
      </c>
      <c r="V118" s="4">
        <f t="shared" ca="1" si="35"/>
        <v>0</v>
      </c>
      <c r="W118" s="13">
        <f t="shared" ca="1" si="36"/>
        <v>10897.684505639903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200</v>
      </c>
      <c r="M119" s="7">
        <f t="shared" ca="1" si="26"/>
        <v>800</v>
      </c>
      <c r="N119" s="44">
        <f t="shared" ca="1" si="27"/>
        <v>9</v>
      </c>
      <c r="O119" s="94">
        <f t="shared" ca="1" si="28"/>
        <v>2.6080912058901573</v>
      </c>
      <c r="P119" s="94">
        <f t="shared" ca="1" si="29"/>
        <v>26.080912058901578</v>
      </c>
      <c r="Q119" s="94">
        <f t="shared" ca="1" si="30"/>
        <v>26.080912058901578</v>
      </c>
      <c r="R119" s="94">
        <f t="shared" ca="1" si="31"/>
        <v>2.6080912058901577</v>
      </c>
      <c r="S119" s="94">
        <f t="shared" ca="1" si="32"/>
        <v>2.6080912058901573</v>
      </c>
      <c r="T119" s="4">
        <f t="shared" ca="1" si="33"/>
        <v>0</v>
      </c>
      <c r="U119" s="46">
        <f t="shared" ca="1" si="34"/>
        <v>1470.2765406745989</v>
      </c>
      <c r="V119" s="4">
        <f t="shared" ca="1" si="35"/>
        <v>0</v>
      </c>
      <c r="W119" s="13">
        <f t="shared" ca="1" si="36"/>
        <v>8712.3125236836549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183</v>
      </c>
      <c r="M120" s="7">
        <f t="shared" ca="1" si="26"/>
        <v>817</v>
      </c>
      <c r="N120" s="44">
        <f t="shared" ca="1" si="27"/>
        <v>9</v>
      </c>
      <c r="O120" s="94">
        <f t="shared" ca="1" si="28"/>
        <v>2.6080912058901573</v>
      </c>
      <c r="P120" s="94">
        <f t="shared" ca="1" si="29"/>
        <v>26.080912058901578</v>
      </c>
      <c r="Q120" s="94">
        <f t="shared" ca="1" si="30"/>
        <v>26.080912058901578</v>
      </c>
      <c r="R120" s="94">
        <f t="shared" ca="1" si="31"/>
        <v>2.6080912058901577</v>
      </c>
      <c r="S120" s="94">
        <f t="shared" ca="1" si="32"/>
        <v>2.6080912058901573</v>
      </c>
      <c r="T120" s="4">
        <f t="shared" ca="1" si="33"/>
        <v>0</v>
      </c>
      <c r="U120" s="46">
        <f t="shared" ca="1" si="34"/>
        <v>1453.2765406745989</v>
      </c>
      <c r="V120" s="4">
        <f t="shared" ca="1" si="35"/>
        <v>0</v>
      </c>
      <c r="W120" s="13">
        <f t="shared" ca="1" si="36"/>
        <v>6526.9405417274047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166</v>
      </c>
      <c r="M121" s="7">
        <f t="shared" ca="1" si="26"/>
        <v>834</v>
      </c>
      <c r="N121" s="44">
        <f t="shared" ca="1" si="27"/>
        <v>9</v>
      </c>
      <c r="O121" s="94">
        <f t="shared" ca="1" si="28"/>
        <v>2.6080912058901573</v>
      </c>
      <c r="P121" s="94">
        <f t="shared" ca="1" si="29"/>
        <v>26.080912058901578</v>
      </c>
      <c r="Q121" s="94">
        <f t="shared" ca="1" si="30"/>
        <v>26.080912058901578</v>
      </c>
      <c r="R121" s="94">
        <f t="shared" ca="1" si="31"/>
        <v>2.6080912058901577</v>
      </c>
      <c r="S121" s="94">
        <f t="shared" ca="1" si="32"/>
        <v>2.6080912058901573</v>
      </c>
      <c r="T121" s="4">
        <f t="shared" ca="1" si="33"/>
        <v>0</v>
      </c>
      <c r="U121" s="46">
        <f t="shared" ca="1" si="34"/>
        <v>1436.2765406745989</v>
      </c>
      <c r="V121" s="4">
        <f t="shared" ca="1" si="35"/>
        <v>0</v>
      </c>
      <c r="W121" s="13">
        <f t="shared" ca="1" si="36"/>
        <v>4341.5685597711545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202</v>
      </c>
      <c r="M122" s="7">
        <f t="shared" ca="1" si="26"/>
        <v>798</v>
      </c>
      <c r="N122" s="44">
        <f t="shared" ca="1" si="27"/>
        <v>9</v>
      </c>
      <c r="O122" s="94">
        <f t="shared" ca="1" si="28"/>
        <v>2.6080912058901573</v>
      </c>
      <c r="P122" s="94">
        <f t="shared" ca="1" si="29"/>
        <v>26.080912058901578</v>
      </c>
      <c r="Q122" s="94">
        <f t="shared" ca="1" si="30"/>
        <v>26.080912058901578</v>
      </c>
      <c r="R122" s="94">
        <f t="shared" ca="1" si="31"/>
        <v>2.6080912058901577</v>
      </c>
      <c r="S122" s="94">
        <f t="shared" ca="1" si="32"/>
        <v>2.6080912058901573</v>
      </c>
      <c r="T122" s="4">
        <f t="shared" ca="1" si="33"/>
        <v>0</v>
      </c>
      <c r="U122" s="46">
        <f t="shared" ca="1" si="34"/>
        <v>1472.2765406745989</v>
      </c>
      <c r="V122" s="4">
        <f t="shared" ca="1" si="35"/>
        <v>0</v>
      </c>
      <c r="W122" s="13">
        <f t="shared" ca="1" si="36"/>
        <v>17482.975855650002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185</v>
      </c>
      <c r="M123" s="7">
        <f t="shared" ca="1" si="26"/>
        <v>815</v>
      </c>
      <c r="N123" s="44">
        <f t="shared" ca="1" si="27"/>
        <v>9</v>
      </c>
      <c r="O123" s="94">
        <f t="shared" ca="1" si="28"/>
        <v>2.6080912058901573</v>
      </c>
      <c r="P123" s="94">
        <f t="shared" ca="1" si="29"/>
        <v>26.080912058901578</v>
      </c>
      <c r="Q123" s="94">
        <f t="shared" ca="1" si="30"/>
        <v>26.080912058901578</v>
      </c>
      <c r="R123" s="94">
        <f t="shared" ca="1" si="31"/>
        <v>2.6080912058901577</v>
      </c>
      <c r="S123" s="94">
        <f t="shared" ca="1" si="32"/>
        <v>2.6080912058901573</v>
      </c>
      <c r="T123" s="4">
        <f t="shared" ca="1" si="33"/>
        <v>0</v>
      </c>
      <c r="U123" s="46">
        <f t="shared" ca="1" si="34"/>
        <v>1455.2765406745989</v>
      </c>
      <c r="V123" s="4">
        <f t="shared" ca="1" si="35"/>
        <v>0</v>
      </c>
      <c r="W123" s="13">
        <f t="shared" ca="1" si="36"/>
        <v>15297.60387369375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168</v>
      </c>
      <c r="M124" s="7">
        <f t="shared" ca="1" si="26"/>
        <v>832</v>
      </c>
      <c r="N124" s="44">
        <f t="shared" ca="1" si="27"/>
        <v>9</v>
      </c>
      <c r="O124" s="94">
        <f t="shared" ca="1" si="28"/>
        <v>2.6080912058901573</v>
      </c>
      <c r="P124" s="94">
        <f t="shared" ca="1" si="29"/>
        <v>26.080912058901578</v>
      </c>
      <c r="Q124" s="94">
        <f t="shared" ca="1" si="30"/>
        <v>26.080912058901578</v>
      </c>
      <c r="R124" s="94">
        <f t="shared" ca="1" si="31"/>
        <v>2.6080912058901577</v>
      </c>
      <c r="S124" s="94">
        <f t="shared" ca="1" si="32"/>
        <v>2.6080912058901573</v>
      </c>
      <c r="T124" s="4">
        <f t="shared" ca="1" si="33"/>
        <v>0</v>
      </c>
      <c r="U124" s="46">
        <f t="shared" ca="1" si="34"/>
        <v>1438.2765406745989</v>
      </c>
      <c r="V124" s="4">
        <f t="shared" ca="1" si="35"/>
        <v>0</v>
      </c>
      <c r="W124" s="13">
        <f t="shared" ca="1" si="36"/>
        <v>13112.231891737501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151</v>
      </c>
      <c r="M125" s="7">
        <f t="shared" ca="1" si="26"/>
        <v>849</v>
      </c>
      <c r="N125" s="44">
        <f t="shared" ca="1" si="27"/>
        <v>9</v>
      </c>
      <c r="O125" s="94">
        <f t="shared" ca="1" si="28"/>
        <v>2.6080912058901573</v>
      </c>
      <c r="P125" s="94">
        <f t="shared" ca="1" si="29"/>
        <v>26.080912058901578</v>
      </c>
      <c r="Q125" s="94">
        <f t="shared" ca="1" si="30"/>
        <v>26.080912058901578</v>
      </c>
      <c r="R125" s="94">
        <f t="shared" ca="1" si="31"/>
        <v>2.6080912058901577</v>
      </c>
      <c r="S125" s="94">
        <f t="shared" ca="1" si="32"/>
        <v>2.6080912058901573</v>
      </c>
      <c r="T125" s="4">
        <f t="shared" ca="1" si="33"/>
        <v>0</v>
      </c>
      <c r="U125" s="46">
        <f t="shared" ca="1" si="34"/>
        <v>1421.2765406745989</v>
      </c>
      <c r="V125" s="4">
        <f t="shared" ca="1" si="35"/>
        <v>0</v>
      </c>
      <c r="W125" s="13">
        <f t="shared" ca="1" si="36"/>
        <v>10926.859909781251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134</v>
      </c>
      <c r="M126" s="7">
        <f t="shared" ca="1" si="26"/>
        <v>866</v>
      </c>
      <c r="N126" s="44">
        <f t="shared" ca="1" si="27"/>
        <v>10</v>
      </c>
      <c r="O126" s="94">
        <f t="shared" ca="1" si="28"/>
        <v>2.855590707781452</v>
      </c>
      <c r="P126" s="94">
        <f t="shared" ca="1" si="29"/>
        <v>26.328411560792873</v>
      </c>
      <c r="Q126" s="94">
        <f t="shared" ca="1" si="30"/>
        <v>26.080912058901578</v>
      </c>
      <c r="R126" s="94">
        <f t="shared" ca="1" si="31"/>
        <v>2.6204661809847223</v>
      </c>
      <c r="S126" s="94">
        <f t="shared" ca="1" si="32"/>
        <v>2.855590707781452</v>
      </c>
      <c r="T126" s="4">
        <f t="shared" ca="1" si="33"/>
        <v>0</v>
      </c>
      <c r="U126" s="46">
        <f t="shared" ca="1" si="34"/>
        <v>1502.276501057248</v>
      </c>
      <c r="V126" s="4">
        <f t="shared" ca="1" si="35"/>
        <v>0</v>
      </c>
      <c r="W126" s="13">
        <f t="shared" ca="1" si="36"/>
        <v>8741.487927825001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117</v>
      </c>
      <c r="M127" s="7">
        <f t="shared" ca="1" si="26"/>
        <v>883</v>
      </c>
      <c r="N127" s="44">
        <f t="shared" ca="1" si="27"/>
        <v>10</v>
      </c>
      <c r="O127" s="94">
        <f t="shared" ca="1" si="28"/>
        <v>2.855590707781452</v>
      </c>
      <c r="P127" s="94">
        <f t="shared" ca="1" si="29"/>
        <v>28.555907077814521</v>
      </c>
      <c r="Q127" s="94">
        <f t="shared" ca="1" si="30"/>
        <v>28.060908074031932</v>
      </c>
      <c r="R127" s="94">
        <f t="shared" ca="1" si="31"/>
        <v>2.8308407575923225</v>
      </c>
      <c r="S127" s="94">
        <f t="shared" ca="1" si="32"/>
        <v>2.855590707781452</v>
      </c>
      <c r="T127" s="4">
        <f t="shared" ca="1" si="33"/>
        <v>0</v>
      </c>
      <c r="U127" s="46">
        <f t="shared" ca="1" si="34"/>
        <v>1485.276501057248</v>
      </c>
      <c r="V127" s="4">
        <f t="shared" ca="1" si="35"/>
        <v>0</v>
      </c>
      <c r="W127" s="13">
        <f t="shared" ca="1" si="36"/>
        <v>6556.1159458687507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100</v>
      </c>
      <c r="M128" s="7">
        <f t="shared" ca="1" si="26"/>
        <v>900</v>
      </c>
      <c r="N128" s="44">
        <f t="shared" ca="1" si="27"/>
        <v>10</v>
      </c>
      <c r="O128" s="94">
        <f t="shared" ca="1" si="28"/>
        <v>2.855590707781452</v>
      </c>
      <c r="P128" s="94">
        <f t="shared" ca="1" si="29"/>
        <v>28.555907077814521</v>
      </c>
      <c r="Q128" s="94">
        <f t="shared" ca="1" si="30"/>
        <v>28.555907077814521</v>
      </c>
      <c r="R128" s="94">
        <f t="shared" ca="1" si="31"/>
        <v>2.855590707781452</v>
      </c>
      <c r="S128" s="94">
        <f t="shared" ca="1" si="32"/>
        <v>2.855590707781452</v>
      </c>
      <c r="T128" s="4">
        <f t="shared" ca="1" si="33"/>
        <v>0</v>
      </c>
      <c r="U128" s="46">
        <f t="shared" ca="1" si="34"/>
        <v>1468.276501057248</v>
      </c>
      <c r="V128" s="4">
        <f t="shared" ca="1" si="35"/>
        <v>0</v>
      </c>
      <c r="W128" s="13">
        <f t="shared" ca="1" si="36"/>
        <v>4370.7439639125005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100</v>
      </c>
      <c r="M129" s="7">
        <f t="shared" ca="1" si="26"/>
        <v>900</v>
      </c>
      <c r="N129" s="44">
        <f t="shared" ca="1" si="27"/>
        <v>10</v>
      </c>
      <c r="O129" s="94">
        <f t="shared" ca="1" si="28"/>
        <v>2.855590707781452</v>
      </c>
      <c r="P129" s="94">
        <f t="shared" ca="1" si="29"/>
        <v>28.555907077814521</v>
      </c>
      <c r="Q129" s="94">
        <f t="shared" ca="1" si="30"/>
        <v>28.555907077814521</v>
      </c>
      <c r="R129" s="94">
        <f t="shared" ca="1" si="31"/>
        <v>2.855590707781452</v>
      </c>
      <c r="S129" s="94">
        <f t="shared" ca="1" si="32"/>
        <v>2.855590707781452</v>
      </c>
      <c r="T129" s="4">
        <f t="shared" ca="1" si="33"/>
        <v>0</v>
      </c>
      <c r="U129" s="46">
        <f t="shared" ca="1" si="34"/>
        <v>1468.276501057248</v>
      </c>
      <c r="V129" s="4">
        <f t="shared" ca="1" si="35"/>
        <v>0</v>
      </c>
      <c r="W129" s="13">
        <f t="shared" ca="1" si="36"/>
        <v>2185.3719819562502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202</v>
      </c>
      <c r="M130" s="7">
        <f t="shared" ca="1" si="26"/>
        <v>798</v>
      </c>
      <c r="N130" s="44">
        <f t="shared" ca="1" si="27"/>
        <v>9</v>
      </c>
      <c r="O130" s="94">
        <f t="shared" ca="1" si="28"/>
        <v>2.6080912058901573</v>
      </c>
      <c r="P130" s="94">
        <f t="shared" ca="1" si="29"/>
        <v>26.080912058901578</v>
      </c>
      <c r="Q130" s="94">
        <f t="shared" ca="1" si="30"/>
        <v>26.080912058901578</v>
      </c>
      <c r="R130" s="94">
        <f t="shared" ca="1" si="31"/>
        <v>2.6080912058901577</v>
      </c>
      <c r="S130" s="94">
        <f t="shared" ca="1" si="32"/>
        <v>2.6080912058901573</v>
      </c>
      <c r="T130" s="4">
        <f t="shared" ca="1" si="33"/>
        <v>0</v>
      </c>
      <c r="U130" s="46">
        <f t="shared" ca="1" si="34"/>
        <v>1472.2765406745989</v>
      </c>
      <c r="V130" s="4">
        <f t="shared" ca="1" si="35"/>
        <v>0</v>
      </c>
      <c r="W130" s="13">
        <f t="shared" ca="1" si="36"/>
        <v>17453.800451508654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185</v>
      </c>
      <c r="M131" s="7">
        <f t="shared" ca="1" si="26"/>
        <v>815</v>
      </c>
      <c r="N131" s="44">
        <f t="shared" ca="1" si="27"/>
        <v>9</v>
      </c>
      <c r="O131" s="94">
        <f t="shared" ca="1" si="28"/>
        <v>2.6080912058901573</v>
      </c>
      <c r="P131" s="94">
        <f t="shared" ca="1" si="29"/>
        <v>26.080912058901578</v>
      </c>
      <c r="Q131" s="94">
        <f t="shared" ca="1" si="30"/>
        <v>26.080912058901578</v>
      </c>
      <c r="R131" s="94">
        <f t="shared" ca="1" si="31"/>
        <v>2.6080912058901577</v>
      </c>
      <c r="S131" s="94">
        <f t="shared" ca="1" si="32"/>
        <v>2.6080912058901573</v>
      </c>
      <c r="T131" s="4">
        <f t="shared" ca="1" si="33"/>
        <v>0</v>
      </c>
      <c r="U131" s="46">
        <f t="shared" ca="1" si="34"/>
        <v>1455.2765406745989</v>
      </c>
      <c r="V131" s="4">
        <f t="shared" ca="1" si="35"/>
        <v>0</v>
      </c>
      <c r="W131" s="13">
        <f t="shared" ca="1" si="36"/>
        <v>15268.428469552404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168</v>
      </c>
      <c r="M132" s="7">
        <f t="shared" ca="1" si="26"/>
        <v>832</v>
      </c>
      <c r="N132" s="44">
        <f t="shared" ca="1" si="27"/>
        <v>9</v>
      </c>
      <c r="O132" s="94">
        <f t="shared" ca="1" si="28"/>
        <v>2.6080912058901573</v>
      </c>
      <c r="P132" s="94">
        <f t="shared" ca="1" si="29"/>
        <v>26.080912058901578</v>
      </c>
      <c r="Q132" s="94">
        <f t="shared" ca="1" si="30"/>
        <v>26.080912058901578</v>
      </c>
      <c r="R132" s="94">
        <f t="shared" ca="1" si="31"/>
        <v>2.6080912058901577</v>
      </c>
      <c r="S132" s="94">
        <f t="shared" ca="1" si="32"/>
        <v>2.6080912058901573</v>
      </c>
      <c r="T132" s="4">
        <f t="shared" ca="1" si="33"/>
        <v>0</v>
      </c>
      <c r="U132" s="46">
        <f t="shared" ca="1" si="34"/>
        <v>1438.2765406745989</v>
      </c>
      <c r="V132" s="4">
        <f t="shared" ca="1" si="35"/>
        <v>0</v>
      </c>
      <c r="W132" s="13">
        <f t="shared" ca="1" si="36"/>
        <v>13083.056487596155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151</v>
      </c>
      <c r="M133" s="7">
        <f t="shared" ca="1" si="26"/>
        <v>849</v>
      </c>
      <c r="N133" s="44">
        <f t="shared" ca="1" si="27"/>
        <v>9</v>
      </c>
      <c r="O133" s="94">
        <f t="shared" ca="1" si="28"/>
        <v>2.6080912058901573</v>
      </c>
      <c r="P133" s="94">
        <f t="shared" ca="1" si="29"/>
        <v>26.080912058901578</v>
      </c>
      <c r="Q133" s="94">
        <f t="shared" ca="1" si="30"/>
        <v>26.080912058901578</v>
      </c>
      <c r="R133" s="94">
        <f t="shared" ca="1" si="31"/>
        <v>2.6080912058901577</v>
      </c>
      <c r="S133" s="94">
        <f t="shared" ca="1" si="32"/>
        <v>2.6080912058901573</v>
      </c>
      <c r="T133" s="4">
        <f t="shared" ca="1" si="33"/>
        <v>0</v>
      </c>
      <c r="U133" s="46">
        <f t="shared" ca="1" si="34"/>
        <v>1421.2765406745989</v>
      </c>
      <c r="V133" s="4">
        <f t="shared" ca="1" si="35"/>
        <v>0</v>
      </c>
      <c r="W133" s="13">
        <f t="shared" ca="1" si="36"/>
        <v>10897.684505639905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134</v>
      </c>
      <c r="M134" s="7">
        <f t="shared" ca="1" si="26"/>
        <v>866</v>
      </c>
      <c r="N134" s="44">
        <f t="shared" ca="1" si="27"/>
        <v>10</v>
      </c>
      <c r="O134" s="94">
        <f t="shared" ca="1" si="28"/>
        <v>2.855590707781452</v>
      </c>
      <c r="P134" s="94">
        <f t="shared" ca="1" si="29"/>
        <v>26.328411560792873</v>
      </c>
      <c r="Q134" s="94">
        <f t="shared" ca="1" si="30"/>
        <v>26.080912058901578</v>
      </c>
      <c r="R134" s="94">
        <f t="shared" ca="1" si="31"/>
        <v>2.6204661809847223</v>
      </c>
      <c r="S134" s="94">
        <f t="shared" ca="1" si="32"/>
        <v>2.855590707781452</v>
      </c>
      <c r="T134" s="4">
        <f t="shared" ca="1" si="33"/>
        <v>0</v>
      </c>
      <c r="U134" s="46">
        <f t="shared" ca="1" si="34"/>
        <v>1502.276501057248</v>
      </c>
      <c r="V134" s="4">
        <f t="shared" ca="1" si="35"/>
        <v>0</v>
      </c>
      <c r="W134" s="13">
        <f t="shared" ca="1" si="36"/>
        <v>8712.3125236836531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117</v>
      </c>
      <c r="M135" s="7">
        <f t="shared" ca="1" si="26"/>
        <v>883</v>
      </c>
      <c r="N135" s="44">
        <f t="shared" ca="1" si="27"/>
        <v>10</v>
      </c>
      <c r="O135" s="94">
        <f t="shared" ca="1" si="28"/>
        <v>2.855590707781452</v>
      </c>
      <c r="P135" s="94">
        <f t="shared" ca="1" si="29"/>
        <v>28.555907077814521</v>
      </c>
      <c r="Q135" s="94">
        <f t="shared" ca="1" si="30"/>
        <v>28.060908074031932</v>
      </c>
      <c r="R135" s="94">
        <f t="shared" ca="1" si="31"/>
        <v>2.8308407575923225</v>
      </c>
      <c r="S135" s="94">
        <f t="shared" ca="1" si="32"/>
        <v>2.855590707781452</v>
      </c>
      <c r="T135" s="4">
        <f t="shared" ca="1" si="33"/>
        <v>0</v>
      </c>
      <c r="U135" s="46">
        <f t="shared" ca="1" si="34"/>
        <v>1485.276501057248</v>
      </c>
      <c r="V135" s="4">
        <f t="shared" ca="1" si="35"/>
        <v>0</v>
      </c>
      <c r="W135" s="13">
        <f t="shared" ca="1" si="36"/>
        <v>6526.9405417274047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100</v>
      </c>
      <c r="M136" s="7">
        <f t="shared" ca="1" si="26"/>
        <v>900</v>
      </c>
      <c r="N136" s="44">
        <f t="shared" ca="1" si="27"/>
        <v>10</v>
      </c>
      <c r="O136" s="94">
        <f t="shared" ca="1" si="28"/>
        <v>2.855590707781452</v>
      </c>
      <c r="P136" s="94">
        <f t="shared" ca="1" si="29"/>
        <v>28.555907077814521</v>
      </c>
      <c r="Q136" s="94">
        <f t="shared" ca="1" si="30"/>
        <v>28.555907077814521</v>
      </c>
      <c r="R136" s="94">
        <f t="shared" ca="1" si="31"/>
        <v>2.855590707781452</v>
      </c>
      <c r="S136" s="94">
        <f t="shared" ca="1" si="32"/>
        <v>2.855590707781452</v>
      </c>
      <c r="T136" s="4">
        <f t="shared" ca="1" si="33"/>
        <v>0</v>
      </c>
      <c r="U136" s="46">
        <f t="shared" ca="1" si="34"/>
        <v>1468.276501057248</v>
      </c>
      <c r="V136" s="4">
        <f t="shared" ca="1" si="35"/>
        <v>0</v>
      </c>
      <c r="W136" s="13">
        <f t="shared" ca="1" si="36"/>
        <v>4341.5685597711545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100</v>
      </c>
      <c r="M137" s="7">
        <f t="shared" ca="1" si="26"/>
        <v>900</v>
      </c>
      <c r="N137" s="44">
        <f t="shared" ca="1" si="27"/>
        <v>10</v>
      </c>
      <c r="O137" s="94">
        <f t="shared" ca="1" si="28"/>
        <v>2.855590707781452</v>
      </c>
      <c r="P137" s="94">
        <f t="shared" ca="1" si="29"/>
        <v>28.555907077814521</v>
      </c>
      <c r="Q137" s="94">
        <f t="shared" ca="1" si="30"/>
        <v>28.555907077814521</v>
      </c>
      <c r="R137" s="94">
        <f t="shared" ca="1" si="31"/>
        <v>2.855590707781452</v>
      </c>
      <c r="S137" s="94">
        <f t="shared" ca="1" si="32"/>
        <v>2.855590707781452</v>
      </c>
      <c r="T137" s="4">
        <f t="shared" ca="1" si="33"/>
        <v>0</v>
      </c>
      <c r="U137" s="46">
        <f t="shared" ca="1" si="34"/>
        <v>1468.276501057248</v>
      </c>
      <c r="V137" s="4">
        <f t="shared" ca="1" si="35"/>
        <v>0</v>
      </c>
      <c r="W137" s="13">
        <f t="shared" ca="1" si="36"/>
        <v>2156.1965778149038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119</v>
      </c>
      <c r="M138" s="7">
        <f t="shared" ca="1" si="26"/>
        <v>881</v>
      </c>
      <c r="N138" s="44">
        <f t="shared" ca="1" si="27"/>
        <v>10</v>
      </c>
      <c r="O138" s="94">
        <f t="shared" ca="1" si="28"/>
        <v>2.855590707781452</v>
      </c>
      <c r="P138" s="94">
        <f t="shared" ca="1" si="29"/>
        <v>28.555907077814521</v>
      </c>
      <c r="Q138" s="94">
        <f t="shared" ca="1" si="30"/>
        <v>27.565909070249344</v>
      </c>
      <c r="R138" s="94">
        <f t="shared" ca="1" si="31"/>
        <v>2.8060908074031934</v>
      </c>
      <c r="S138" s="94">
        <f t="shared" ca="1" si="32"/>
        <v>2.855590707781452</v>
      </c>
      <c r="T138" s="4">
        <f t="shared" ca="1" si="33"/>
        <v>0</v>
      </c>
      <c r="U138" s="46">
        <f t="shared" ca="1" si="34"/>
        <v>1487.276501057248</v>
      </c>
      <c r="V138" s="4">
        <f t="shared" ca="1" si="35"/>
        <v>0</v>
      </c>
      <c r="W138" s="13">
        <f t="shared" ca="1" si="36"/>
        <v>15297.60387369375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102</v>
      </c>
      <c r="M139" s="7">
        <f t="shared" ca="1" si="26"/>
        <v>898</v>
      </c>
      <c r="N139" s="44">
        <f t="shared" ca="1" si="27"/>
        <v>10</v>
      </c>
      <c r="O139" s="94">
        <f t="shared" ca="1" si="28"/>
        <v>2.855590707781452</v>
      </c>
      <c r="P139" s="94">
        <f t="shared" ca="1" si="29"/>
        <v>28.555907077814521</v>
      </c>
      <c r="Q139" s="94">
        <f t="shared" ca="1" si="30"/>
        <v>28.555907077814521</v>
      </c>
      <c r="R139" s="94">
        <f t="shared" ca="1" si="31"/>
        <v>2.855590707781452</v>
      </c>
      <c r="S139" s="94">
        <f t="shared" ca="1" si="32"/>
        <v>2.855590707781452</v>
      </c>
      <c r="T139" s="4">
        <f t="shared" ca="1" si="33"/>
        <v>0</v>
      </c>
      <c r="U139" s="46">
        <f t="shared" ca="1" si="34"/>
        <v>1470.276501057248</v>
      </c>
      <c r="V139" s="4">
        <f t="shared" ca="1" si="35"/>
        <v>0</v>
      </c>
      <c r="W139" s="13">
        <f t="shared" ca="1" si="36"/>
        <v>13112.2318917375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10</v>
      </c>
      <c r="O140" s="94">
        <f t="shared" ca="1" si="28"/>
        <v>2.855590707781452</v>
      </c>
      <c r="P140" s="94">
        <f t="shared" ca="1" si="29"/>
        <v>28.555907077814521</v>
      </c>
      <c r="Q140" s="94">
        <f t="shared" ca="1" si="30"/>
        <v>28.555907077814521</v>
      </c>
      <c r="R140" s="94">
        <f t="shared" ca="1" si="31"/>
        <v>2.855590707781452</v>
      </c>
      <c r="S140" s="94">
        <f t="shared" ca="1" si="32"/>
        <v>2.855590707781452</v>
      </c>
      <c r="T140" s="4">
        <f t="shared" ca="1" si="33"/>
        <v>0</v>
      </c>
      <c r="U140" s="46">
        <f t="shared" ca="1" si="34"/>
        <v>1468.276501057248</v>
      </c>
      <c r="V140" s="4">
        <f t="shared" ca="1" si="35"/>
        <v>0</v>
      </c>
      <c r="W140" s="13">
        <f t="shared" ca="1" si="36"/>
        <v>10926.859909781251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100</v>
      </c>
      <c r="M141" s="7">
        <f t="shared" ca="1" si="26"/>
        <v>900</v>
      </c>
      <c r="N141" s="44">
        <f t="shared" ca="1" si="27"/>
        <v>10</v>
      </c>
      <c r="O141" s="94">
        <f t="shared" ca="1" si="28"/>
        <v>2.855590707781452</v>
      </c>
      <c r="P141" s="94">
        <f t="shared" ca="1" si="29"/>
        <v>28.555907077814521</v>
      </c>
      <c r="Q141" s="94">
        <f t="shared" ca="1" si="30"/>
        <v>28.555907077814521</v>
      </c>
      <c r="R141" s="94">
        <f t="shared" ca="1" si="31"/>
        <v>2.855590707781452</v>
      </c>
      <c r="S141" s="94">
        <f t="shared" ca="1" si="32"/>
        <v>2.855590707781452</v>
      </c>
      <c r="T141" s="4">
        <f t="shared" ca="1" si="33"/>
        <v>0</v>
      </c>
      <c r="U141" s="46">
        <f t="shared" ca="1" si="34"/>
        <v>1468.276501057248</v>
      </c>
      <c r="V141" s="4">
        <f t="shared" ca="1" si="35"/>
        <v>0</v>
      </c>
      <c r="W141" s="13">
        <f t="shared" ca="1" si="36"/>
        <v>8741.487927825001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100</v>
      </c>
      <c r="M142" s="7">
        <f t="shared" ca="1" si="26"/>
        <v>900</v>
      </c>
      <c r="N142" s="44">
        <f t="shared" ca="1" si="27"/>
        <v>10</v>
      </c>
      <c r="O142" s="94">
        <f t="shared" ca="1" si="28"/>
        <v>2.855590707781452</v>
      </c>
      <c r="P142" s="94">
        <f t="shared" ca="1" si="29"/>
        <v>28.555907077814521</v>
      </c>
      <c r="Q142" s="94">
        <f t="shared" ca="1" si="30"/>
        <v>28.555907077814521</v>
      </c>
      <c r="R142" s="94">
        <f t="shared" ca="1" si="31"/>
        <v>2.855590707781452</v>
      </c>
      <c r="S142" s="94">
        <f t="shared" ca="1" si="32"/>
        <v>2.855590707781452</v>
      </c>
      <c r="T142" s="4">
        <f t="shared" ca="1" si="33"/>
        <v>0</v>
      </c>
      <c r="U142" s="46">
        <f t="shared" ca="1" si="34"/>
        <v>1468.276501057248</v>
      </c>
      <c r="V142" s="4">
        <f t="shared" ca="1" si="35"/>
        <v>0</v>
      </c>
      <c r="W142" s="13">
        <f t="shared" ca="1" si="36"/>
        <v>6556.1159458687498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100</v>
      </c>
      <c r="M143" s="7">
        <f t="shared" ca="1" si="26"/>
        <v>900</v>
      </c>
      <c r="N143" s="44">
        <f t="shared" ca="1" si="27"/>
        <v>10</v>
      </c>
      <c r="O143" s="94">
        <f t="shared" ca="1" si="28"/>
        <v>2.855590707781452</v>
      </c>
      <c r="P143" s="94">
        <f t="shared" ca="1" si="29"/>
        <v>28.555907077814521</v>
      </c>
      <c r="Q143" s="94">
        <f t="shared" ca="1" si="30"/>
        <v>28.555907077814521</v>
      </c>
      <c r="R143" s="94">
        <f t="shared" ca="1" si="31"/>
        <v>2.855590707781452</v>
      </c>
      <c r="S143" s="94">
        <f t="shared" ca="1" si="32"/>
        <v>2.855590707781452</v>
      </c>
      <c r="T143" s="4">
        <f t="shared" ca="1" si="33"/>
        <v>0</v>
      </c>
      <c r="U143" s="46">
        <f t="shared" ca="1" si="34"/>
        <v>1468.276501057248</v>
      </c>
      <c r="V143" s="4">
        <f t="shared" ca="1" si="35"/>
        <v>0</v>
      </c>
      <c r="W143" s="13">
        <f t="shared" ca="1" si="36"/>
        <v>4370.7439639125005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100</v>
      </c>
      <c r="M144" s="7">
        <f t="shared" ca="1" si="26"/>
        <v>900</v>
      </c>
      <c r="N144" s="44">
        <f t="shared" ca="1" si="27"/>
        <v>10</v>
      </c>
      <c r="O144" s="94">
        <f t="shared" ca="1" si="28"/>
        <v>2.855590707781452</v>
      </c>
      <c r="P144" s="94">
        <f t="shared" ca="1" si="29"/>
        <v>28.555907077814521</v>
      </c>
      <c r="Q144" s="94">
        <f t="shared" ca="1" si="30"/>
        <v>28.555907077814521</v>
      </c>
      <c r="R144" s="94">
        <f t="shared" ca="1" si="31"/>
        <v>2.855590707781452</v>
      </c>
      <c r="S144" s="94">
        <f t="shared" ca="1" si="32"/>
        <v>2.855590707781452</v>
      </c>
      <c r="T144" s="4">
        <f t="shared" ca="1" si="33"/>
        <v>0</v>
      </c>
      <c r="U144" s="46">
        <f t="shared" ca="1" si="34"/>
        <v>1468.276501057248</v>
      </c>
      <c r="V144" s="4">
        <f t="shared" ca="1" si="35"/>
        <v>0</v>
      </c>
      <c r="W144" s="13">
        <f t="shared" ca="1" si="36"/>
        <v>2185.3719819562502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100</v>
      </c>
      <c r="M145" s="7">
        <f t="shared" ca="1" si="26"/>
        <v>900</v>
      </c>
      <c r="N145" s="44">
        <f t="shared" ca="1" si="27"/>
        <v>10</v>
      </c>
      <c r="O145" s="94">
        <f t="shared" ca="1" si="28"/>
        <v>2.855590707781452</v>
      </c>
      <c r="P145" s="94">
        <f t="shared" ca="1" si="29"/>
        <v>28.555907077814521</v>
      </c>
      <c r="Q145" s="94">
        <f t="shared" ca="1" si="30"/>
        <v>28.555907077814521</v>
      </c>
      <c r="R145" s="94">
        <f t="shared" ca="1" si="31"/>
        <v>2.855590707781452</v>
      </c>
      <c r="S145" s="94">
        <f t="shared" ca="1" si="32"/>
        <v>2.855590707781452</v>
      </c>
      <c r="T145" s="4">
        <f t="shared" ca="1" si="33"/>
        <v>0</v>
      </c>
      <c r="U145" s="46">
        <f t="shared" ca="1" si="34"/>
        <v>1468.276501057248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8.3648759999999989E-2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285</v>
      </c>
      <c r="M146" s="7">
        <f t="shared" ref="M146:M209" ca="1" si="45">MAX(Set1MinTP-(L146+Set1Regain), 0)</f>
        <v>715</v>
      </c>
      <c r="N146" s="44">
        <f t="shared" ref="N146:N209" ca="1" si="46">CEILING(M146/Set1MeleeTP, 1)</f>
        <v>8</v>
      </c>
      <c r="O146" s="94">
        <f t="shared" ref="O146:O209" ca="1" si="47">VLOOKUP(N146,AvgRoundsSet1,2)</f>
        <v>2.3721134347108093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23.721134347108087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23.721134347108087</v>
      </c>
      <c r="R146" s="94">
        <f t="shared" ref="R146:R209" ca="1" si="50">(P146+Q146)/20</f>
        <v>2.3721134347108088</v>
      </c>
      <c r="S146" s="94">
        <f t="shared" ref="S146:S209" ca="1" si="51">R146*Set1ConserveTP + O146*(1-Set1ConserveTP)</f>
        <v>2.3721134347108093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1461.8387274667198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19639.172433464904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8.3648759999999989E-2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268</v>
      </c>
      <c r="M147" s="7">
        <f t="shared" ca="1" si="45"/>
        <v>732</v>
      </c>
      <c r="N147" s="44">
        <f t="shared" ca="1" si="46"/>
        <v>8</v>
      </c>
      <c r="O147" s="94">
        <f t="shared" ca="1" si="47"/>
        <v>2.3721134347108093</v>
      </c>
      <c r="P147" s="94">
        <f t="shared" ca="1" si="48"/>
        <v>23.721134347108087</v>
      </c>
      <c r="Q147" s="94">
        <f t="shared" ca="1" si="49"/>
        <v>23.721134347108087</v>
      </c>
      <c r="R147" s="94">
        <f t="shared" ca="1" si="50"/>
        <v>2.3721134347108088</v>
      </c>
      <c r="S147" s="94">
        <f t="shared" ca="1" si="51"/>
        <v>2.3721134347108093</v>
      </c>
      <c r="T147" s="4">
        <f t="shared" ca="1" si="52"/>
        <v>0</v>
      </c>
      <c r="U147" s="46">
        <f t="shared" ca="1" si="53"/>
        <v>1444.8387274667198</v>
      </c>
      <c r="V147" s="4">
        <f t="shared" ca="1" si="54"/>
        <v>0</v>
      </c>
      <c r="W147" s="13">
        <f t="shared" ca="1" si="55"/>
        <v>17453.800451508654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8.3648759999999989E-2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7.4815964708907959E-2</v>
      </c>
      <c r="L148" s="13">
        <f t="shared" ca="1" si="44"/>
        <v>251</v>
      </c>
      <c r="M148" s="7">
        <f t="shared" ca="1" si="45"/>
        <v>749</v>
      </c>
      <c r="N148" s="44">
        <f t="shared" ca="1" si="46"/>
        <v>8</v>
      </c>
      <c r="O148" s="94">
        <f t="shared" ca="1" si="47"/>
        <v>2.3721134347108093</v>
      </c>
      <c r="P148" s="94">
        <f t="shared" ca="1" si="48"/>
        <v>23.721134347108087</v>
      </c>
      <c r="Q148" s="94">
        <f t="shared" ca="1" si="49"/>
        <v>23.721134347108087</v>
      </c>
      <c r="R148" s="94">
        <f t="shared" ca="1" si="50"/>
        <v>2.3721134347108088</v>
      </c>
      <c r="S148" s="94">
        <f t="shared" ca="1" si="51"/>
        <v>2.3721134347108093</v>
      </c>
      <c r="T148" s="4">
        <f t="shared" ca="1" si="52"/>
        <v>0.17747195501685034</v>
      </c>
      <c r="U148" s="46">
        <f t="shared" ca="1" si="53"/>
        <v>1427.8387274667198</v>
      </c>
      <c r="V148" s="4">
        <f t="shared" ca="1" si="54"/>
        <v>106.82513184416216</v>
      </c>
      <c r="W148" s="13">
        <f t="shared" ca="1" si="55"/>
        <v>15268.428469552406</v>
      </c>
      <c r="X148" s="4">
        <f t="shared" ca="1" si="56"/>
        <v>1142.3222055385183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8.3648759999999989E-2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3.7785840762074759E-3</v>
      </c>
      <c r="L149" s="13">
        <f t="shared" ca="1" si="44"/>
        <v>234</v>
      </c>
      <c r="M149" s="7">
        <f t="shared" ca="1" si="45"/>
        <v>766</v>
      </c>
      <c r="N149" s="44">
        <f t="shared" ca="1" si="46"/>
        <v>8</v>
      </c>
      <c r="O149" s="94">
        <f t="shared" ca="1" si="47"/>
        <v>2.3721134347108093</v>
      </c>
      <c r="P149" s="94">
        <f t="shared" ca="1" si="48"/>
        <v>23.721134347108087</v>
      </c>
      <c r="Q149" s="94">
        <f t="shared" ca="1" si="49"/>
        <v>23.721134347108087</v>
      </c>
      <c r="R149" s="94">
        <f t="shared" ca="1" si="50"/>
        <v>2.3721134347108088</v>
      </c>
      <c r="S149" s="94">
        <f t="shared" ca="1" si="51"/>
        <v>2.3721134347108093</v>
      </c>
      <c r="T149" s="4">
        <f t="shared" ca="1" si="52"/>
        <v>8.9632300513560852E-3</v>
      </c>
      <c r="U149" s="46">
        <f t="shared" ca="1" si="53"/>
        <v>1410.8387274667198</v>
      </c>
      <c r="V149" s="4">
        <f t="shared" ca="1" si="54"/>
        <v>5.3309727497025658</v>
      </c>
      <c r="W149" s="13">
        <f t="shared" ca="1" si="55"/>
        <v>13083.056487596155</v>
      </c>
      <c r="X149" s="4">
        <f t="shared" ca="1" si="56"/>
        <v>49.435428912153746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8.3648759999999989E-2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7.633503184257535E-5</v>
      </c>
      <c r="L150" s="13">
        <f t="shared" ca="1" si="44"/>
        <v>217</v>
      </c>
      <c r="M150" s="7">
        <f t="shared" ca="1" si="45"/>
        <v>783</v>
      </c>
      <c r="N150" s="44">
        <f t="shared" ca="1" si="46"/>
        <v>9</v>
      </c>
      <c r="O150" s="94">
        <f t="shared" ca="1" si="47"/>
        <v>2.6080912058901573</v>
      </c>
      <c r="P150" s="94">
        <f t="shared" ca="1" si="48"/>
        <v>26.080912058901578</v>
      </c>
      <c r="Q150" s="94">
        <f t="shared" ca="1" si="49"/>
        <v>24.665045431825479</v>
      </c>
      <c r="R150" s="94">
        <f t="shared" ca="1" si="50"/>
        <v>2.5372978745363528</v>
      </c>
      <c r="S150" s="94">
        <f t="shared" ca="1" si="51"/>
        <v>2.6080912058901573</v>
      </c>
      <c r="T150" s="4">
        <f t="shared" ca="1" si="52"/>
        <v>1.9908872524996589E-4</v>
      </c>
      <c r="U150" s="46">
        <f t="shared" ca="1" si="53"/>
        <v>1487.2765406745989</v>
      </c>
      <c r="V150" s="4">
        <f t="shared" ca="1" si="54"/>
        <v>0.11353130209111081</v>
      </c>
      <c r="W150" s="13">
        <f t="shared" ca="1" si="55"/>
        <v>10897.684505639903</v>
      </c>
      <c r="X150" s="4">
        <f t="shared" ca="1" si="56"/>
        <v>0.83187509374836199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8.3648759999999989E-2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7.7106092770278191E-7</v>
      </c>
      <c r="L151" s="13">
        <f t="shared" ca="1" si="44"/>
        <v>200</v>
      </c>
      <c r="M151" s="7">
        <f t="shared" ca="1" si="45"/>
        <v>800</v>
      </c>
      <c r="N151" s="44">
        <f t="shared" ca="1" si="46"/>
        <v>9</v>
      </c>
      <c r="O151" s="94">
        <f t="shared" ca="1" si="47"/>
        <v>2.6080912058901573</v>
      </c>
      <c r="P151" s="94">
        <f t="shared" ca="1" si="48"/>
        <v>26.080912058901578</v>
      </c>
      <c r="Q151" s="94">
        <f t="shared" ca="1" si="49"/>
        <v>26.080912058901578</v>
      </c>
      <c r="R151" s="94">
        <f t="shared" ca="1" si="50"/>
        <v>2.6080912058901577</v>
      </c>
      <c r="S151" s="94">
        <f t="shared" ca="1" si="51"/>
        <v>2.6080912058901573</v>
      </c>
      <c r="T151" s="4">
        <f t="shared" ca="1" si="52"/>
        <v>2.0109972247471317E-6</v>
      </c>
      <c r="U151" s="46">
        <f t="shared" ca="1" si="53"/>
        <v>1470.2765406745989</v>
      </c>
      <c r="V151" s="4">
        <f t="shared" ca="1" si="54"/>
        <v>1.1336727934321933E-3</v>
      </c>
      <c r="W151" s="13">
        <f t="shared" ca="1" si="55"/>
        <v>8712.3125236836549</v>
      </c>
      <c r="X151" s="4">
        <f t="shared" ca="1" si="56"/>
        <v>6.7177237769480841E-3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8.3648759999999989E-2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3.8942471096100133E-9</v>
      </c>
      <c r="L152" s="13">
        <f t="shared" ca="1" si="44"/>
        <v>183</v>
      </c>
      <c r="M152" s="7">
        <f t="shared" ca="1" si="45"/>
        <v>817</v>
      </c>
      <c r="N152" s="44">
        <f t="shared" ca="1" si="46"/>
        <v>9</v>
      </c>
      <c r="O152" s="94">
        <f t="shared" ca="1" si="47"/>
        <v>2.6080912058901573</v>
      </c>
      <c r="P152" s="94">
        <f t="shared" ca="1" si="48"/>
        <v>26.080912058901578</v>
      </c>
      <c r="Q152" s="94">
        <f t="shared" ca="1" si="49"/>
        <v>26.080912058901578</v>
      </c>
      <c r="R152" s="94">
        <f t="shared" ca="1" si="50"/>
        <v>2.6080912058901577</v>
      </c>
      <c r="S152" s="94">
        <f t="shared" ca="1" si="51"/>
        <v>2.6080912058901573</v>
      </c>
      <c r="T152" s="4">
        <f t="shared" ca="1" si="52"/>
        <v>1.0156551640137039E-8</v>
      </c>
      <c r="U152" s="46">
        <f t="shared" ca="1" si="53"/>
        <v>1453.2765406745989</v>
      </c>
      <c r="V152" s="4">
        <f t="shared" ca="1" si="54"/>
        <v>5.6594179679860955E-6</v>
      </c>
      <c r="W152" s="13">
        <f t="shared" ca="1" si="55"/>
        <v>6526.9405417274047</v>
      </c>
      <c r="X152" s="4">
        <f t="shared" ca="1" si="56"/>
        <v>2.5417519339218359E-5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8.3648759999999989E-2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7.8671658780000346E-12</v>
      </c>
      <c r="L153" s="13">
        <f t="shared" ca="1" si="44"/>
        <v>166</v>
      </c>
      <c r="M153" s="7">
        <f t="shared" ca="1" si="45"/>
        <v>834</v>
      </c>
      <c r="N153" s="44">
        <f t="shared" ca="1" si="46"/>
        <v>9</v>
      </c>
      <c r="O153" s="94">
        <f t="shared" ca="1" si="47"/>
        <v>2.6080912058901573</v>
      </c>
      <c r="P153" s="94">
        <f t="shared" ca="1" si="48"/>
        <v>26.080912058901578</v>
      </c>
      <c r="Q153" s="94">
        <f t="shared" ca="1" si="49"/>
        <v>26.080912058901578</v>
      </c>
      <c r="R153" s="94">
        <f t="shared" ca="1" si="50"/>
        <v>2.6080912058901577</v>
      </c>
      <c r="S153" s="94">
        <f t="shared" ca="1" si="51"/>
        <v>2.6080912058901573</v>
      </c>
      <c r="T153" s="4">
        <f t="shared" ca="1" si="52"/>
        <v>2.0518286141691008E-11</v>
      </c>
      <c r="U153" s="46">
        <f t="shared" ca="1" si="53"/>
        <v>1436.2765406745989</v>
      </c>
      <c r="V153" s="4">
        <f t="shared" ca="1" si="54"/>
        <v>1.1299425792167133E-8</v>
      </c>
      <c r="W153" s="13">
        <f t="shared" ca="1" si="55"/>
        <v>4341.5685597711545</v>
      </c>
      <c r="X153" s="4">
        <f t="shared" ca="1" si="56"/>
        <v>3.4155840030429381E-8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8.3648759999999989E-2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202</v>
      </c>
      <c r="M154" s="7">
        <f t="shared" ca="1" si="45"/>
        <v>798</v>
      </c>
      <c r="N154" s="44">
        <f t="shared" ca="1" si="46"/>
        <v>9</v>
      </c>
      <c r="O154" s="94">
        <f t="shared" ca="1" si="47"/>
        <v>2.6080912058901573</v>
      </c>
      <c r="P154" s="94">
        <f t="shared" ca="1" si="48"/>
        <v>26.080912058901578</v>
      </c>
      <c r="Q154" s="94">
        <f t="shared" ca="1" si="49"/>
        <v>26.080912058901578</v>
      </c>
      <c r="R154" s="94">
        <f t="shared" ca="1" si="50"/>
        <v>2.6080912058901577</v>
      </c>
      <c r="S154" s="94">
        <f t="shared" ca="1" si="51"/>
        <v>2.6080912058901573</v>
      </c>
      <c r="T154" s="4">
        <f t="shared" ca="1" si="52"/>
        <v>0</v>
      </c>
      <c r="U154" s="46">
        <f t="shared" ca="1" si="53"/>
        <v>1472.2765406745989</v>
      </c>
      <c r="V154" s="4">
        <f t="shared" ca="1" si="54"/>
        <v>0</v>
      </c>
      <c r="W154" s="13">
        <f t="shared" ca="1" si="55"/>
        <v>17482.975855650002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8.3648759999999989E-2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185</v>
      </c>
      <c r="M155" s="7">
        <f t="shared" ca="1" si="45"/>
        <v>815</v>
      </c>
      <c r="N155" s="44">
        <f t="shared" ca="1" si="46"/>
        <v>9</v>
      </c>
      <c r="O155" s="94">
        <f t="shared" ca="1" si="47"/>
        <v>2.6080912058901573</v>
      </c>
      <c r="P155" s="94">
        <f t="shared" ca="1" si="48"/>
        <v>26.080912058901578</v>
      </c>
      <c r="Q155" s="94">
        <f t="shared" ca="1" si="49"/>
        <v>26.080912058901578</v>
      </c>
      <c r="R155" s="94">
        <f t="shared" ca="1" si="50"/>
        <v>2.6080912058901577</v>
      </c>
      <c r="S155" s="94">
        <f t="shared" ca="1" si="51"/>
        <v>2.6080912058901573</v>
      </c>
      <c r="T155" s="4">
        <f t="shared" ca="1" si="52"/>
        <v>0</v>
      </c>
      <c r="U155" s="46">
        <f t="shared" ca="1" si="53"/>
        <v>1455.2765406745989</v>
      </c>
      <c r="V155" s="4">
        <f t="shared" ca="1" si="54"/>
        <v>0</v>
      </c>
      <c r="W155" s="13">
        <f t="shared" ca="1" si="55"/>
        <v>15297.60387369375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8.3648759999999989E-2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7.5571681524149511E-4</v>
      </c>
      <c r="L156" s="13">
        <f t="shared" ca="1" si="44"/>
        <v>168</v>
      </c>
      <c r="M156" s="7">
        <f t="shared" ca="1" si="45"/>
        <v>832</v>
      </c>
      <c r="N156" s="44">
        <f t="shared" ca="1" si="46"/>
        <v>9</v>
      </c>
      <c r="O156" s="94">
        <f t="shared" ca="1" si="47"/>
        <v>2.6080912058901573</v>
      </c>
      <c r="P156" s="94">
        <f t="shared" ca="1" si="48"/>
        <v>26.080912058901578</v>
      </c>
      <c r="Q156" s="94">
        <f t="shared" ca="1" si="49"/>
        <v>26.080912058901578</v>
      </c>
      <c r="R156" s="94">
        <f t="shared" ca="1" si="50"/>
        <v>2.6080912058901577</v>
      </c>
      <c r="S156" s="94">
        <f t="shared" ca="1" si="51"/>
        <v>2.6080912058901573</v>
      </c>
      <c r="T156" s="4">
        <f t="shared" ca="1" si="52"/>
        <v>1.9709783799746602E-3</v>
      </c>
      <c r="U156" s="46">
        <f t="shared" ca="1" si="53"/>
        <v>1438.2765406745989</v>
      </c>
      <c r="V156" s="4">
        <f t="shared" ca="1" si="54"/>
        <v>1.0869297667551625</v>
      </c>
      <c r="W156" s="13">
        <f t="shared" ca="1" si="55"/>
        <v>13112.231891737501</v>
      </c>
      <c r="X156" s="4">
        <f t="shared" ca="1" si="56"/>
        <v>9.9091341259318284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8.3648759999999989E-2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3.8167515921287668E-5</v>
      </c>
      <c r="L157" s="13">
        <f t="shared" ca="1" si="44"/>
        <v>151</v>
      </c>
      <c r="M157" s="7">
        <f t="shared" ca="1" si="45"/>
        <v>849</v>
      </c>
      <c r="N157" s="44">
        <f t="shared" ca="1" si="46"/>
        <v>9</v>
      </c>
      <c r="O157" s="94">
        <f t="shared" ca="1" si="47"/>
        <v>2.6080912058901573</v>
      </c>
      <c r="P157" s="94">
        <f t="shared" ca="1" si="48"/>
        <v>26.080912058901578</v>
      </c>
      <c r="Q157" s="94">
        <f t="shared" ca="1" si="49"/>
        <v>26.080912058901578</v>
      </c>
      <c r="R157" s="94">
        <f t="shared" ca="1" si="50"/>
        <v>2.6080912058901577</v>
      </c>
      <c r="S157" s="94">
        <f t="shared" ca="1" si="51"/>
        <v>2.6080912058901573</v>
      </c>
      <c r="T157" s="4">
        <f t="shared" ca="1" si="52"/>
        <v>9.9544362624982933E-5</v>
      </c>
      <c r="U157" s="46">
        <f t="shared" ca="1" si="53"/>
        <v>1421.2765406745989</v>
      </c>
      <c r="V157" s="4">
        <f t="shared" ca="1" si="54"/>
        <v>5.4246594994750416E-2</v>
      </c>
      <c r="W157" s="13">
        <f t="shared" ca="1" si="55"/>
        <v>10926.859909781251</v>
      </c>
      <c r="X157" s="4">
        <f t="shared" ca="1" si="56"/>
        <v>0.41705109957625586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8.3648759999999989E-2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7.7106092770278191E-7</v>
      </c>
      <c r="L158" s="13">
        <f t="shared" ca="1" si="44"/>
        <v>134</v>
      </c>
      <c r="M158" s="7">
        <f t="shared" ca="1" si="45"/>
        <v>866</v>
      </c>
      <c r="N158" s="44">
        <f t="shared" ca="1" si="46"/>
        <v>10</v>
      </c>
      <c r="O158" s="94">
        <f t="shared" ca="1" si="47"/>
        <v>2.855590707781452</v>
      </c>
      <c r="P158" s="94">
        <f t="shared" ca="1" si="48"/>
        <v>26.328411560792873</v>
      </c>
      <c r="Q158" s="94">
        <f t="shared" ca="1" si="49"/>
        <v>26.080912058901578</v>
      </c>
      <c r="R158" s="94">
        <f t="shared" ca="1" si="50"/>
        <v>2.6204661809847223</v>
      </c>
      <c r="S158" s="94">
        <f t="shared" ca="1" si="51"/>
        <v>2.855590707781452</v>
      </c>
      <c r="T158" s="4">
        <f t="shared" ca="1" si="52"/>
        <v>2.2018344202814099E-6</v>
      </c>
      <c r="U158" s="46">
        <f t="shared" ca="1" si="53"/>
        <v>1502.276501057248</v>
      </c>
      <c r="V158" s="4">
        <f t="shared" ca="1" si="54"/>
        <v>1.1583467125712908E-3</v>
      </c>
      <c r="W158" s="13">
        <f t="shared" ca="1" si="55"/>
        <v>8741.487927825001</v>
      </c>
      <c r="X158" s="4">
        <f t="shared" ca="1" si="56"/>
        <v>6.7402197911314143E-3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8.3648759999999989E-2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7.7884942192200266E-9</v>
      </c>
      <c r="L159" s="13">
        <f t="shared" ca="1" si="44"/>
        <v>117</v>
      </c>
      <c r="M159" s="7">
        <f t="shared" ca="1" si="45"/>
        <v>883</v>
      </c>
      <c r="N159" s="44">
        <f t="shared" ca="1" si="46"/>
        <v>10</v>
      </c>
      <c r="O159" s="94">
        <f t="shared" ca="1" si="47"/>
        <v>2.855590707781452</v>
      </c>
      <c r="P159" s="94">
        <f t="shared" ca="1" si="48"/>
        <v>28.555907077814521</v>
      </c>
      <c r="Q159" s="94">
        <f t="shared" ca="1" si="49"/>
        <v>28.060908074031932</v>
      </c>
      <c r="R159" s="94">
        <f t="shared" ca="1" si="50"/>
        <v>2.8308407575923225</v>
      </c>
      <c r="S159" s="94">
        <f t="shared" ca="1" si="51"/>
        <v>2.855590707781452</v>
      </c>
      <c r="T159" s="4">
        <f t="shared" ca="1" si="52"/>
        <v>2.2240751720014263E-8</v>
      </c>
      <c r="U159" s="46">
        <f t="shared" ca="1" si="53"/>
        <v>1485.276501057248</v>
      </c>
      <c r="V159" s="4">
        <f t="shared" ca="1" si="54"/>
        <v>1.1568067442427724E-5</v>
      </c>
      <c r="W159" s="13">
        <f t="shared" ca="1" si="55"/>
        <v>6556.1159458687507</v>
      </c>
      <c r="X159" s="4">
        <f t="shared" ca="1" si="56"/>
        <v>5.1062271144935003E-5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8.3648759999999989E-2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3.9335829390000168E-11</v>
      </c>
      <c r="L160" s="13">
        <f t="shared" ca="1" si="44"/>
        <v>100</v>
      </c>
      <c r="M160" s="7">
        <f t="shared" ca="1" si="45"/>
        <v>900</v>
      </c>
      <c r="N160" s="44">
        <f t="shared" ca="1" si="46"/>
        <v>10</v>
      </c>
      <c r="O160" s="94">
        <f t="shared" ca="1" si="47"/>
        <v>2.855590707781452</v>
      </c>
      <c r="P160" s="94">
        <f t="shared" ca="1" si="48"/>
        <v>28.555907077814521</v>
      </c>
      <c r="Q160" s="94">
        <f t="shared" ca="1" si="49"/>
        <v>28.555907077814521</v>
      </c>
      <c r="R160" s="94">
        <f t="shared" ca="1" si="50"/>
        <v>2.855590707781452</v>
      </c>
      <c r="S160" s="94">
        <f t="shared" ca="1" si="51"/>
        <v>2.855590707781452</v>
      </c>
      <c r="T160" s="4">
        <f t="shared" ca="1" si="52"/>
        <v>1.1232702888896102E-10</v>
      </c>
      <c r="U160" s="46">
        <f t="shared" ca="1" si="53"/>
        <v>1468.276501057248</v>
      </c>
      <c r="V160" s="4">
        <f t="shared" ca="1" si="54"/>
        <v>5.7755873942934309E-8</v>
      </c>
      <c r="W160" s="13">
        <f t="shared" ca="1" si="55"/>
        <v>4370.7439639125005</v>
      </c>
      <c r="X160" s="4">
        <f t="shared" ca="1" si="56"/>
        <v>1.7192683887183518E-7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8.3648759999999989E-2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7.9466322000000424E-14</v>
      </c>
      <c r="L161" s="13">
        <f t="shared" ca="1" si="44"/>
        <v>100</v>
      </c>
      <c r="M161" s="7">
        <f t="shared" ca="1" si="45"/>
        <v>900</v>
      </c>
      <c r="N161" s="44">
        <f t="shared" ca="1" si="46"/>
        <v>10</v>
      </c>
      <c r="O161" s="94">
        <f t="shared" ca="1" si="47"/>
        <v>2.855590707781452</v>
      </c>
      <c r="P161" s="94">
        <f t="shared" ca="1" si="48"/>
        <v>28.555907077814521</v>
      </c>
      <c r="Q161" s="94">
        <f t="shared" ca="1" si="49"/>
        <v>28.555907077814521</v>
      </c>
      <c r="R161" s="94">
        <f t="shared" ca="1" si="50"/>
        <v>2.855590707781452</v>
      </c>
      <c r="S161" s="94">
        <f t="shared" ca="1" si="51"/>
        <v>2.855590707781452</v>
      </c>
      <c r="T161" s="4">
        <f t="shared" ca="1" si="52"/>
        <v>2.2692329068476997E-13</v>
      </c>
      <c r="U161" s="46">
        <f t="shared" ca="1" si="53"/>
        <v>1468.276501057248</v>
      </c>
      <c r="V161" s="4">
        <f t="shared" ca="1" si="54"/>
        <v>1.1667853321804923E-10</v>
      </c>
      <c r="W161" s="13">
        <f t="shared" ca="1" si="55"/>
        <v>2185.3719819562502</v>
      </c>
      <c r="X161" s="4">
        <f t="shared" ca="1" si="56"/>
        <v>1.736634736079145E-10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8.3648759999999989E-2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202</v>
      </c>
      <c r="M162" s="7">
        <f t="shared" ca="1" si="45"/>
        <v>798</v>
      </c>
      <c r="N162" s="44">
        <f t="shared" ca="1" si="46"/>
        <v>9</v>
      </c>
      <c r="O162" s="94">
        <f t="shared" ca="1" si="47"/>
        <v>2.6080912058901573</v>
      </c>
      <c r="P162" s="94">
        <f t="shared" ca="1" si="48"/>
        <v>26.080912058901578</v>
      </c>
      <c r="Q162" s="94">
        <f t="shared" ca="1" si="49"/>
        <v>26.080912058901578</v>
      </c>
      <c r="R162" s="94">
        <f t="shared" ca="1" si="50"/>
        <v>2.6080912058901577</v>
      </c>
      <c r="S162" s="94">
        <f t="shared" ca="1" si="51"/>
        <v>2.6080912058901573</v>
      </c>
      <c r="T162" s="4">
        <f t="shared" ca="1" si="52"/>
        <v>0</v>
      </c>
      <c r="U162" s="46">
        <f t="shared" ca="1" si="53"/>
        <v>1472.2765406745989</v>
      </c>
      <c r="V162" s="4">
        <f t="shared" ca="1" si="54"/>
        <v>0</v>
      </c>
      <c r="W162" s="13">
        <f t="shared" ca="1" si="55"/>
        <v>17453.800451508654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8.3648759999999989E-2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185</v>
      </c>
      <c r="M163" s="7">
        <f t="shared" ca="1" si="45"/>
        <v>815</v>
      </c>
      <c r="N163" s="44">
        <f t="shared" ca="1" si="46"/>
        <v>9</v>
      </c>
      <c r="O163" s="94">
        <f t="shared" ca="1" si="47"/>
        <v>2.6080912058901573</v>
      </c>
      <c r="P163" s="94">
        <f t="shared" ca="1" si="48"/>
        <v>26.080912058901578</v>
      </c>
      <c r="Q163" s="94">
        <f t="shared" ca="1" si="49"/>
        <v>26.080912058901578</v>
      </c>
      <c r="R163" s="94">
        <f t="shared" ca="1" si="50"/>
        <v>2.6080912058901577</v>
      </c>
      <c r="S163" s="94">
        <f t="shared" ca="1" si="51"/>
        <v>2.6080912058901573</v>
      </c>
      <c r="T163" s="4">
        <f t="shared" ca="1" si="52"/>
        <v>0</v>
      </c>
      <c r="U163" s="46">
        <f t="shared" ca="1" si="53"/>
        <v>1455.2765406745989</v>
      </c>
      <c r="V163" s="4">
        <f t="shared" ca="1" si="54"/>
        <v>0</v>
      </c>
      <c r="W163" s="13">
        <f t="shared" ca="1" si="55"/>
        <v>15268.428469552404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8.3648759999999989E-2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3.9376823531004192E-3</v>
      </c>
      <c r="L164" s="13">
        <f t="shared" ca="1" si="44"/>
        <v>168</v>
      </c>
      <c r="M164" s="7">
        <f t="shared" ca="1" si="45"/>
        <v>832</v>
      </c>
      <c r="N164" s="44">
        <f t="shared" ca="1" si="46"/>
        <v>9</v>
      </c>
      <c r="O164" s="94">
        <f t="shared" ca="1" si="47"/>
        <v>2.6080912058901573</v>
      </c>
      <c r="P164" s="94">
        <f t="shared" ca="1" si="48"/>
        <v>26.080912058901578</v>
      </c>
      <c r="Q164" s="94">
        <f t="shared" ca="1" si="49"/>
        <v>26.080912058901578</v>
      </c>
      <c r="R164" s="94">
        <f t="shared" ca="1" si="50"/>
        <v>2.6080912058901577</v>
      </c>
      <c r="S164" s="94">
        <f t="shared" ca="1" si="51"/>
        <v>2.6080912058901573</v>
      </c>
      <c r="T164" s="4">
        <f t="shared" ca="1" si="52"/>
        <v>1.0269834716710065E-2</v>
      </c>
      <c r="U164" s="46">
        <f t="shared" ca="1" si="53"/>
        <v>1438.2765406745989</v>
      </c>
      <c r="V164" s="4">
        <f t="shared" ca="1" si="54"/>
        <v>5.6634761530926854</v>
      </c>
      <c r="W164" s="13">
        <f t="shared" ca="1" si="55"/>
        <v>13083.056487596155</v>
      </c>
      <c r="X164" s="4">
        <f t="shared" ca="1" si="56"/>
        <v>51.516920655823334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8.3648759999999989E-2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1.9887284611618295E-4</v>
      </c>
      <c r="L165" s="13">
        <f t="shared" ca="1" si="44"/>
        <v>151</v>
      </c>
      <c r="M165" s="7">
        <f t="shared" ca="1" si="45"/>
        <v>849</v>
      </c>
      <c r="N165" s="44">
        <f t="shared" ca="1" si="46"/>
        <v>9</v>
      </c>
      <c r="O165" s="94">
        <f t="shared" ca="1" si="47"/>
        <v>2.6080912058901573</v>
      </c>
      <c r="P165" s="94">
        <f t="shared" ca="1" si="48"/>
        <v>26.080912058901578</v>
      </c>
      <c r="Q165" s="94">
        <f t="shared" ca="1" si="49"/>
        <v>26.080912058901578</v>
      </c>
      <c r="R165" s="94">
        <f t="shared" ca="1" si="50"/>
        <v>2.6080912058901577</v>
      </c>
      <c r="S165" s="94">
        <f t="shared" ca="1" si="51"/>
        <v>2.6080912058901573</v>
      </c>
      <c r="T165" s="4">
        <f t="shared" ca="1" si="52"/>
        <v>5.1867852104596328E-4</v>
      </c>
      <c r="U165" s="46">
        <f t="shared" ca="1" si="53"/>
        <v>1421.2765406745989</v>
      </c>
      <c r="V165" s="4">
        <f t="shared" ca="1" si="54"/>
        <v>0.28265331076212036</v>
      </c>
      <c r="W165" s="13">
        <f t="shared" ca="1" si="55"/>
        <v>10897.684505639905</v>
      </c>
      <c r="X165" s="4">
        <f t="shared" ca="1" si="56"/>
        <v>2.1672535337128362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8.3648759999999989E-2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4.0176332548723863E-6</v>
      </c>
      <c r="L166" s="13">
        <f t="shared" ca="1" si="44"/>
        <v>134</v>
      </c>
      <c r="M166" s="7">
        <f t="shared" ca="1" si="45"/>
        <v>866</v>
      </c>
      <c r="N166" s="44">
        <f t="shared" ca="1" si="46"/>
        <v>10</v>
      </c>
      <c r="O166" s="94">
        <f t="shared" ca="1" si="47"/>
        <v>2.855590707781452</v>
      </c>
      <c r="P166" s="94">
        <f t="shared" ca="1" si="48"/>
        <v>26.328411560792873</v>
      </c>
      <c r="Q166" s="94">
        <f t="shared" ca="1" si="49"/>
        <v>26.080912058901578</v>
      </c>
      <c r="R166" s="94">
        <f t="shared" ca="1" si="50"/>
        <v>2.6204661809847223</v>
      </c>
      <c r="S166" s="94">
        <f t="shared" ca="1" si="51"/>
        <v>2.855590707781452</v>
      </c>
      <c r="T166" s="4">
        <f t="shared" ca="1" si="52"/>
        <v>1.1472716189887336E-5</v>
      </c>
      <c r="U166" s="46">
        <f t="shared" ca="1" si="53"/>
        <v>1502.276501057248</v>
      </c>
      <c r="V166" s="4">
        <f t="shared" ca="1" si="54"/>
        <v>6.0355960286609311E-3</v>
      </c>
      <c r="W166" s="13">
        <f t="shared" ca="1" si="55"/>
        <v>8712.3125236836531</v>
      </c>
      <c r="X166" s="4">
        <f t="shared" ca="1" si="56"/>
        <v>3.5002876521992611E-2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8.3648759999999989E-2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4.0582154089620111E-8</v>
      </c>
      <c r="L167" s="13">
        <f t="shared" ca="1" si="44"/>
        <v>117</v>
      </c>
      <c r="M167" s="7">
        <f t="shared" ca="1" si="45"/>
        <v>883</v>
      </c>
      <c r="N167" s="44">
        <f t="shared" ca="1" si="46"/>
        <v>10</v>
      </c>
      <c r="O167" s="94">
        <f t="shared" ca="1" si="47"/>
        <v>2.855590707781452</v>
      </c>
      <c r="P167" s="94">
        <f t="shared" ca="1" si="48"/>
        <v>28.555907077814521</v>
      </c>
      <c r="Q167" s="94">
        <f t="shared" ca="1" si="49"/>
        <v>28.060908074031932</v>
      </c>
      <c r="R167" s="94">
        <f t="shared" ca="1" si="50"/>
        <v>2.8308407575923225</v>
      </c>
      <c r="S167" s="94">
        <f t="shared" ca="1" si="51"/>
        <v>2.855590707781452</v>
      </c>
      <c r="T167" s="4">
        <f t="shared" ca="1" si="52"/>
        <v>1.1588602212007424E-7</v>
      </c>
      <c r="U167" s="46">
        <f t="shared" ca="1" si="53"/>
        <v>1485.276501057248</v>
      </c>
      <c r="V167" s="4">
        <f t="shared" ca="1" si="54"/>
        <v>6.0275719831597047E-5</v>
      </c>
      <c r="W167" s="13">
        <f t="shared" ca="1" si="55"/>
        <v>6526.9405417274047</v>
      </c>
      <c r="X167" s="4">
        <f t="shared" ca="1" si="56"/>
        <v>2.648773067981701E-4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 t="shared" si="40"/>
        <v>1</v>
      </c>
      <c r="F168" s="100">
        <f t="shared" ca="1" si="41"/>
        <v>8.3648759999999989E-2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2.0496037419000073E-10</v>
      </c>
      <c r="L168" s="13">
        <f t="shared" ca="1" si="44"/>
        <v>100</v>
      </c>
      <c r="M168" s="7">
        <f t="shared" ca="1" si="45"/>
        <v>900</v>
      </c>
      <c r="N168" s="44">
        <f t="shared" ca="1" si="46"/>
        <v>10</v>
      </c>
      <c r="O168" s="94">
        <f t="shared" ca="1" si="47"/>
        <v>2.855590707781452</v>
      </c>
      <c r="P168" s="94">
        <f t="shared" ca="1" si="48"/>
        <v>28.555907077814521</v>
      </c>
      <c r="Q168" s="94">
        <f t="shared" ca="1" si="49"/>
        <v>28.555907077814521</v>
      </c>
      <c r="R168" s="94">
        <f t="shared" ca="1" si="50"/>
        <v>2.855590707781452</v>
      </c>
      <c r="S168" s="94">
        <f t="shared" ca="1" si="51"/>
        <v>2.855590707781452</v>
      </c>
      <c r="T168" s="4">
        <f t="shared" ca="1" si="52"/>
        <v>5.8528294000037537E-10</v>
      </c>
      <c r="U168" s="46">
        <f t="shared" ca="1" si="53"/>
        <v>1468.276501057248</v>
      </c>
      <c r="V168" s="4">
        <f t="shared" ca="1" si="54"/>
        <v>3.0093850107107857E-7</v>
      </c>
      <c r="W168" s="13">
        <f t="shared" ca="1" si="55"/>
        <v>4341.5685597711545</v>
      </c>
      <c r="X168" s="4">
        <f t="shared" ca="1" si="56"/>
        <v>8.8984951658223836E-7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8.3648759999999989E-2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4.1406136200000187E-13</v>
      </c>
      <c r="L169" s="13">
        <f t="shared" ca="1" si="44"/>
        <v>100</v>
      </c>
      <c r="M169" s="7">
        <f t="shared" ca="1" si="45"/>
        <v>900</v>
      </c>
      <c r="N169" s="44">
        <f t="shared" ca="1" si="46"/>
        <v>10</v>
      </c>
      <c r="O169" s="94">
        <f t="shared" ca="1" si="47"/>
        <v>2.855590707781452</v>
      </c>
      <c r="P169" s="94">
        <f t="shared" ca="1" si="48"/>
        <v>28.555907077814521</v>
      </c>
      <c r="Q169" s="94">
        <f t="shared" ca="1" si="49"/>
        <v>28.555907077814521</v>
      </c>
      <c r="R169" s="94">
        <f t="shared" ca="1" si="50"/>
        <v>2.855590707781452</v>
      </c>
      <c r="S169" s="94">
        <f t="shared" ca="1" si="51"/>
        <v>2.855590707781452</v>
      </c>
      <c r="T169" s="4">
        <f t="shared" ca="1" si="52"/>
        <v>1.1823897777785373E-12</v>
      </c>
      <c r="U169" s="46">
        <f t="shared" ca="1" si="53"/>
        <v>1468.276501057248</v>
      </c>
      <c r="V169" s="4">
        <f t="shared" ca="1" si="54"/>
        <v>6.0795656782036126E-10</v>
      </c>
      <c r="W169" s="13">
        <f t="shared" ca="1" si="55"/>
        <v>2156.1965778149038</v>
      </c>
      <c r="X169" s="4">
        <f t="shared" ca="1" si="56"/>
        <v>8.927976917497821E-10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8.3648759999999989E-2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119</v>
      </c>
      <c r="M170" s="7">
        <f t="shared" ca="1" si="45"/>
        <v>881</v>
      </c>
      <c r="N170" s="44">
        <f t="shared" ca="1" si="46"/>
        <v>10</v>
      </c>
      <c r="O170" s="94">
        <f t="shared" ca="1" si="47"/>
        <v>2.855590707781452</v>
      </c>
      <c r="P170" s="94">
        <f t="shared" ca="1" si="48"/>
        <v>28.555907077814521</v>
      </c>
      <c r="Q170" s="94">
        <f t="shared" ca="1" si="49"/>
        <v>27.565909070249344</v>
      </c>
      <c r="R170" s="94">
        <f t="shared" ca="1" si="50"/>
        <v>2.8060908074031934</v>
      </c>
      <c r="S170" s="94">
        <f t="shared" ca="1" si="51"/>
        <v>2.855590707781452</v>
      </c>
      <c r="T170" s="4">
        <f t="shared" ca="1" si="52"/>
        <v>0</v>
      </c>
      <c r="U170" s="46">
        <f t="shared" ca="1" si="53"/>
        <v>1487.276501057248</v>
      </c>
      <c r="V170" s="4">
        <f t="shared" ca="1" si="54"/>
        <v>0</v>
      </c>
      <c r="W170" s="13">
        <f t="shared" ca="1" si="55"/>
        <v>15297.60387369375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8.3648759999999989E-2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102</v>
      </c>
      <c r="M171" s="7">
        <f t="shared" ca="1" si="45"/>
        <v>898</v>
      </c>
      <c r="N171" s="44">
        <f t="shared" ca="1" si="46"/>
        <v>10</v>
      </c>
      <c r="O171" s="94">
        <f t="shared" ca="1" si="47"/>
        <v>2.855590707781452</v>
      </c>
      <c r="P171" s="94">
        <f t="shared" ca="1" si="48"/>
        <v>28.555907077814521</v>
      </c>
      <c r="Q171" s="94">
        <f t="shared" ca="1" si="49"/>
        <v>28.555907077814521</v>
      </c>
      <c r="R171" s="94">
        <f t="shared" ca="1" si="50"/>
        <v>2.855590707781452</v>
      </c>
      <c r="S171" s="94">
        <f t="shared" ca="1" si="51"/>
        <v>2.855590707781452</v>
      </c>
      <c r="T171" s="4">
        <f t="shared" ca="1" si="52"/>
        <v>0</v>
      </c>
      <c r="U171" s="46">
        <f t="shared" ca="1" si="53"/>
        <v>1470.276501057248</v>
      </c>
      <c r="V171" s="4">
        <f t="shared" ca="1" si="54"/>
        <v>0</v>
      </c>
      <c r="W171" s="13">
        <f t="shared" ca="1" si="55"/>
        <v>13112.2318917375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8.3648759999999989E-2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3.9774569223236589E-5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10</v>
      </c>
      <c r="O172" s="94">
        <f t="shared" ca="1" si="47"/>
        <v>2.855590707781452</v>
      </c>
      <c r="P172" s="94">
        <f t="shared" ca="1" si="48"/>
        <v>28.555907077814521</v>
      </c>
      <c r="Q172" s="94">
        <f t="shared" ca="1" si="49"/>
        <v>28.555907077814521</v>
      </c>
      <c r="R172" s="94">
        <f t="shared" ca="1" si="50"/>
        <v>2.855590707781452</v>
      </c>
      <c r="S172" s="94">
        <f t="shared" ca="1" si="51"/>
        <v>2.855590707781452</v>
      </c>
      <c r="T172" s="4">
        <f t="shared" ca="1" si="52"/>
        <v>1.1357989027988453E-4</v>
      </c>
      <c r="U172" s="46">
        <f t="shared" ca="1" si="53"/>
        <v>1468.276501057248</v>
      </c>
      <c r="V172" s="4">
        <f t="shared" ca="1" si="54"/>
        <v>5.8400065330153121E-2</v>
      </c>
      <c r="W172" s="13">
        <f t="shared" ca="1" si="55"/>
        <v>10926.859909781251</v>
      </c>
      <c r="X172" s="4">
        <f t="shared" ca="1" si="56"/>
        <v>0.43461114587420308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8.3648759999999989E-2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2.0088166274361932E-6</v>
      </c>
      <c r="L173" s="13">
        <f t="shared" ca="1" si="44"/>
        <v>100</v>
      </c>
      <c r="M173" s="7">
        <f t="shared" ca="1" si="45"/>
        <v>900</v>
      </c>
      <c r="N173" s="44">
        <f t="shared" ca="1" si="46"/>
        <v>10</v>
      </c>
      <c r="O173" s="94">
        <f t="shared" ca="1" si="47"/>
        <v>2.855590707781452</v>
      </c>
      <c r="P173" s="94">
        <f t="shared" ca="1" si="48"/>
        <v>28.555907077814521</v>
      </c>
      <c r="Q173" s="94">
        <f t="shared" ca="1" si="49"/>
        <v>28.555907077814521</v>
      </c>
      <c r="R173" s="94">
        <f t="shared" ca="1" si="50"/>
        <v>2.855590707781452</v>
      </c>
      <c r="S173" s="94">
        <f t="shared" ca="1" si="51"/>
        <v>2.855590707781452</v>
      </c>
      <c r="T173" s="4">
        <f t="shared" ca="1" si="52"/>
        <v>5.736358094943668E-6</v>
      </c>
      <c r="U173" s="46">
        <f t="shared" ca="1" si="53"/>
        <v>1468.276501057248</v>
      </c>
      <c r="V173" s="4">
        <f t="shared" ca="1" si="54"/>
        <v>2.9494982489976351E-3</v>
      </c>
      <c r="W173" s="13">
        <f t="shared" ca="1" si="55"/>
        <v>8741.487927825001</v>
      </c>
      <c r="X173" s="4">
        <f t="shared" ca="1" si="56"/>
        <v>1.7560046297947614E-2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8.3648759999999989E-2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4.0582154089620104E-8</v>
      </c>
      <c r="L174" s="13">
        <f t="shared" ca="1" si="44"/>
        <v>100</v>
      </c>
      <c r="M174" s="7">
        <f t="shared" ca="1" si="45"/>
        <v>900</v>
      </c>
      <c r="N174" s="44">
        <f t="shared" ca="1" si="46"/>
        <v>10</v>
      </c>
      <c r="O174" s="94">
        <f t="shared" ca="1" si="47"/>
        <v>2.855590707781452</v>
      </c>
      <c r="P174" s="94">
        <f t="shared" ca="1" si="48"/>
        <v>28.555907077814521</v>
      </c>
      <c r="Q174" s="94">
        <f t="shared" ca="1" si="49"/>
        <v>28.555907077814521</v>
      </c>
      <c r="R174" s="94">
        <f t="shared" ca="1" si="50"/>
        <v>2.855590707781452</v>
      </c>
      <c r="S174" s="94">
        <f t="shared" ca="1" si="51"/>
        <v>2.855590707781452</v>
      </c>
      <c r="T174" s="4">
        <f t="shared" ca="1" si="52"/>
        <v>1.1588602212007422E-7</v>
      </c>
      <c r="U174" s="46">
        <f t="shared" ca="1" si="53"/>
        <v>1468.276501057248</v>
      </c>
      <c r="V174" s="4">
        <f t="shared" ca="1" si="54"/>
        <v>5.9585823212073493E-5</v>
      </c>
      <c r="W174" s="13">
        <f t="shared" ca="1" si="55"/>
        <v>6556.1159458687498</v>
      </c>
      <c r="X174" s="4">
        <f t="shared" ca="1" si="56"/>
        <v>2.6606130754466107E-4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8.3648759999999989E-2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4.0992074838000146E-10</v>
      </c>
      <c r="L175" s="13">
        <f t="shared" ca="1" si="44"/>
        <v>100</v>
      </c>
      <c r="M175" s="7">
        <f t="shared" ca="1" si="45"/>
        <v>900</v>
      </c>
      <c r="N175" s="44">
        <f t="shared" ca="1" si="46"/>
        <v>10</v>
      </c>
      <c r="O175" s="94">
        <f t="shared" ca="1" si="47"/>
        <v>2.855590707781452</v>
      </c>
      <c r="P175" s="94">
        <f t="shared" ca="1" si="48"/>
        <v>28.555907077814521</v>
      </c>
      <c r="Q175" s="94">
        <f t="shared" ca="1" si="49"/>
        <v>28.555907077814521</v>
      </c>
      <c r="R175" s="94">
        <f t="shared" ca="1" si="50"/>
        <v>2.855590707781452</v>
      </c>
      <c r="S175" s="94">
        <f t="shared" ca="1" si="51"/>
        <v>2.855590707781452</v>
      </c>
      <c r="T175" s="4">
        <f t="shared" ca="1" si="52"/>
        <v>1.1705658800007507E-9</v>
      </c>
      <c r="U175" s="46">
        <f t="shared" ca="1" si="53"/>
        <v>1468.276501057248</v>
      </c>
      <c r="V175" s="4">
        <f t="shared" ca="1" si="54"/>
        <v>6.0187700214215713E-7</v>
      </c>
      <c r="W175" s="13">
        <f t="shared" ca="1" si="55"/>
        <v>4370.7439639125005</v>
      </c>
      <c r="X175" s="4">
        <f t="shared" ca="1" si="56"/>
        <v>1.7916586366643862E-6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8.3648759999999989E-2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2.070306810000009E-12</v>
      </c>
      <c r="L176" s="13">
        <f t="shared" ca="1" si="44"/>
        <v>100</v>
      </c>
      <c r="M176" s="7">
        <f t="shared" ca="1" si="45"/>
        <v>900</v>
      </c>
      <c r="N176" s="44">
        <f t="shared" ca="1" si="46"/>
        <v>10</v>
      </c>
      <c r="O176" s="94">
        <f t="shared" ca="1" si="47"/>
        <v>2.855590707781452</v>
      </c>
      <c r="P176" s="94">
        <f t="shared" ca="1" si="48"/>
        <v>28.555907077814521</v>
      </c>
      <c r="Q176" s="94">
        <f t="shared" ca="1" si="49"/>
        <v>28.555907077814521</v>
      </c>
      <c r="R176" s="94">
        <f t="shared" ca="1" si="50"/>
        <v>2.855590707781452</v>
      </c>
      <c r="S176" s="94">
        <f t="shared" ca="1" si="51"/>
        <v>2.855590707781452</v>
      </c>
      <c r="T176" s="4">
        <f t="shared" ca="1" si="52"/>
        <v>5.911948888892686E-12</v>
      </c>
      <c r="U176" s="46">
        <f t="shared" ca="1" si="53"/>
        <v>1468.276501057248</v>
      </c>
      <c r="V176" s="4">
        <f t="shared" ca="1" si="54"/>
        <v>3.0397828391018058E-9</v>
      </c>
      <c r="W176" s="13">
        <f t="shared" ca="1" si="55"/>
        <v>2185.3719819562502</v>
      </c>
      <c r="X176" s="4">
        <f t="shared" ca="1" si="56"/>
        <v>4.5243904966272414E-9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8.3648759999999989E-2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4.1824380000000226E-15</v>
      </c>
      <c r="L177" s="13">
        <f t="shared" ca="1" si="44"/>
        <v>100</v>
      </c>
      <c r="M177" s="7">
        <f t="shared" ca="1" si="45"/>
        <v>900</v>
      </c>
      <c r="N177" s="44">
        <f t="shared" ca="1" si="46"/>
        <v>10</v>
      </c>
      <c r="O177" s="94">
        <f t="shared" ca="1" si="47"/>
        <v>2.855590707781452</v>
      </c>
      <c r="P177" s="94">
        <f t="shared" ca="1" si="48"/>
        <v>28.555907077814521</v>
      </c>
      <c r="Q177" s="94">
        <f t="shared" ca="1" si="49"/>
        <v>28.555907077814521</v>
      </c>
      <c r="R177" s="94">
        <f t="shared" ca="1" si="50"/>
        <v>2.855590707781452</v>
      </c>
      <c r="S177" s="94">
        <f t="shared" ca="1" si="51"/>
        <v>2.855590707781452</v>
      </c>
      <c r="T177" s="4">
        <f t="shared" ca="1" si="52"/>
        <v>1.1943331088672105E-14</v>
      </c>
      <c r="U177" s="46">
        <f t="shared" ca="1" si="53"/>
        <v>1468.276501057248</v>
      </c>
      <c r="V177" s="4">
        <f t="shared" ca="1" si="54"/>
        <v>6.1409754325289076E-12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1.249924E-2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285</v>
      </c>
      <c r="M178" s="7">
        <f t="shared" ca="1" si="45"/>
        <v>715</v>
      </c>
      <c r="N178" s="44">
        <f t="shared" ca="1" si="46"/>
        <v>8</v>
      </c>
      <c r="O178" s="94">
        <f t="shared" ca="1" si="47"/>
        <v>2.3721134347108093</v>
      </c>
      <c r="P178" s="94">
        <f t="shared" ca="1" si="48"/>
        <v>23.721134347108087</v>
      </c>
      <c r="Q178" s="94">
        <f t="shared" ca="1" si="49"/>
        <v>23.721134347108087</v>
      </c>
      <c r="R178" s="94">
        <f t="shared" ca="1" si="50"/>
        <v>2.3721134347108088</v>
      </c>
      <c r="S178" s="94">
        <f t="shared" ca="1" si="51"/>
        <v>2.3721134347108093</v>
      </c>
      <c r="T178" s="4">
        <f t="shared" ca="1" si="52"/>
        <v>0</v>
      </c>
      <c r="U178" s="46">
        <f t="shared" ca="1" si="53"/>
        <v>1461.8387274667198</v>
      </c>
      <c r="V178" s="4">
        <f t="shared" ca="1" si="54"/>
        <v>0</v>
      </c>
      <c r="W178" s="13">
        <f t="shared" ca="1" si="55"/>
        <v>19639.172433464904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1.249924E-2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1.1067603055214316E-2</v>
      </c>
      <c r="L179" s="13">
        <f t="shared" ca="1" si="44"/>
        <v>268</v>
      </c>
      <c r="M179" s="7">
        <f t="shared" ca="1" si="45"/>
        <v>732</v>
      </c>
      <c r="N179" s="44">
        <f t="shared" ca="1" si="46"/>
        <v>8</v>
      </c>
      <c r="O179" s="94">
        <f t="shared" ca="1" si="47"/>
        <v>2.3721134347108093</v>
      </c>
      <c r="P179" s="94">
        <f t="shared" ca="1" si="48"/>
        <v>23.721134347108087</v>
      </c>
      <c r="Q179" s="94">
        <f t="shared" ca="1" si="49"/>
        <v>23.721134347108087</v>
      </c>
      <c r="R179" s="94">
        <f t="shared" ca="1" si="50"/>
        <v>2.3721134347108088</v>
      </c>
      <c r="S179" s="94">
        <f t="shared" ca="1" si="51"/>
        <v>2.3721134347108093</v>
      </c>
      <c r="T179" s="4">
        <f t="shared" ca="1" si="52"/>
        <v>2.6253609897320278E-2</v>
      </c>
      <c r="U179" s="46">
        <f t="shared" ca="1" si="53"/>
        <v>1444.8387274667198</v>
      </c>
      <c r="V179" s="4">
        <f t="shared" ca="1" si="54"/>
        <v>15.990901514402633</v>
      </c>
      <c r="W179" s="13">
        <f t="shared" ca="1" si="55"/>
        <v>17453.800451508654</v>
      </c>
      <c r="X179" s="4">
        <f t="shared" ca="1" si="56"/>
        <v>193.1717352022182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1.249924E-2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6.7076382152814098E-4</v>
      </c>
      <c r="L180" s="13">
        <f t="shared" ca="1" si="44"/>
        <v>251</v>
      </c>
      <c r="M180" s="7">
        <f t="shared" ca="1" si="45"/>
        <v>749</v>
      </c>
      <c r="N180" s="44">
        <f t="shared" ca="1" si="46"/>
        <v>8</v>
      </c>
      <c r="O180" s="94">
        <f t="shared" ca="1" si="47"/>
        <v>2.3721134347108093</v>
      </c>
      <c r="P180" s="94">
        <f t="shared" ca="1" si="48"/>
        <v>23.721134347108087</v>
      </c>
      <c r="Q180" s="94">
        <f t="shared" ca="1" si="49"/>
        <v>23.721134347108087</v>
      </c>
      <c r="R180" s="94">
        <f t="shared" ca="1" si="50"/>
        <v>2.3721134347108088</v>
      </c>
      <c r="S180" s="94">
        <f t="shared" ca="1" si="51"/>
        <v>2.3721134347108093</v>
      </c>
      <c r="T180" s="4">
        <f t="shared" ca="1" si="52"/>
        <v>1.5911278725648668E-3</v>
      </c>
      <c r="U180" s="46">
        <f t="shared" ca="1" si="53"/>
        <v>1427.8387274667198</v>
      </c>
      <c r="V180" s="4">
        <f t="shared" ca="1" si="54"/>
        <v>0.95774256136145475</v>
      </c>
      <c r="W180" s="13">
        <f t="shared" ca="1" si="55"/>
        <v>15268.428469552406</v>
      </c>
      <c r="X180" s="4">
        <f t="shared" ca="1" si="56"/>
        <v>10.241509428966037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1.249924E-2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1.693848034161974E-5</v>
      </c>
      <c r="L181" s="13">
        <f t="shared" ca="1" si="44"/>
        <v>234</v>
      </c>
      <c r="M181" s="7">
        <f t="shared" ca="1" si="45"/>
        <v>766</v>
      </c>
      <c r="N181" s="44">
        <f t="shared" ca="1" si="46"/>
        <v>8</v>
      </c>
      <c r="O181" s="94">
        <f t="shared" ca="1" si="47"/>
        <v>2.3721134347108093</v>
      </c>
      <c r="P181" s="94">
        <f t="shared" ca="1" si="48"/>
        <v>23.721134347108087</v>
      </c>
      <c r="Q181" s="94">
        <f t="shared" ca="1" si="49"/>
        <v>23.721134347108087</v>
      </c>
      <c r="R181" s="94">
        <f t="shared" ca="1" si="50"/>
        <v>2.3721134347108088</v>
      </c>
      <c r="S181" s="94">
        <f t="shared" ca="1" si="51"/>
        <v>2.3721134347108093</v>
      </c>
      <c r="T181" s="4">
        <f t="shared" ca="1" si="52"/>
        <v>4.0179996781941122E-5</v>
      </c>
      <c r="U181" s="46">
        <f t="shared" ca="1" si="53"/>
        <v>1410.8387274667198</v>
      </c>
      <c r="V181" s="4">
        <f t="shared" ca="1" si="54"/>
        <v>2.3897464050390844E-2</v>
      </c>
      <c r="W181" s="13">
        <f t="shared" ca="1" si="55"/>
        <v>13083.056487596155</v>
      </c>
      <c r="X181" s="4">
        <f t="shared" ca="1" si="56"/>
        <v>0.22160709512344809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1.249924E-2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2.2812768136861616E-7</v>
      </c>
      <c r="L182" s="13">
        <f t="shared" ca="1" si="44"/>
        <v>217</v>
      </c>
      <c r="M182" s="7">
        <f t="shared" ca="1" si="45"/>
        <v>783</v>
      </c>
      <c r="N182" s="44">
        <f t="shared" ca="1" si="46"/>
        <v>9</v>
      </c>
      <c r="O182" s="94">
        <f t="shared" ca="1" si="47"/>
        <v>2.6080912058901573</v>
      </c>
      <c r="P182" s="94">
        <f t="shared" ca="1" si="48"/>
        <v>26.080912058901578</v>
      </c>
      <c r="Q182" s="94">
        <f t="shared" ca="1" si="49"/>
        <v>24.665045431825479</v>
      </c>
      <c r="R182" s="94">
        <f t="shared" ca="1" si="50"/>
        <v>2.5372978745363528</v>
      </c>
      <c r="S182" s="94">
        <f t="shared" ca="1" si="51"/>
        <v>2.6080912058901573</v>
      </c>
      <c r="T182" s="4">
        <f t="shared" ca="1" si="52"/>
        <v>5.949777995975997E-7</v>
      </c>
      <c r="U182" s="46">
        <f t="shared" ca="1" si="53"/>
        <v>1487.2765406745989</v>
      </c>
      <c r="V182" s="4">
        <f t="shared" ca="1" si="54"/>
        <v>3.3928894877803257E-4</v>
      </c>
      <c r="W182" s="13">
        <f t="shared" ca="1" si="55"/>
        <v>10897.684505639903</v>
      </c>
      <c r="X182" s="4">
        <f t="shared" ca="1" si="56"/>
        <v>2.4860634985583254E-3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1.249924E-2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1.7282400103683064E-9</v>
      </c>
      <c r="L183" s="13">
        <f t="shared" ca="1" si="44"/>
        <v>200</v>
      </c>
      <c r="M183" s="7">
        <f t="shared" ca="1" si="45"/>
        <v>800</v>
      </c>
      <c r="N183" s="44">
        <f t="shared" ca="1" si="46"/>
        <v>9</v>
      </c>
      <c r="O183" s="94">
        <f t="shared" ca="1" si="47"/>
        <v>2.6080912058901573</v>
      </c>
      <c r="P183" s="94">
        <f t="shared" ca="1" si="48"/>
        <v>26.080912058901578</v>
      </c>
      <c r="Q183" s="94">
        <f t="shared" ca="1" si="49"/>
        <v>26.080912058901578</v>
      </c>
      <c r="R183" s="94">
        <f t="shared" ca="1" si="50"/>
        <v>2.6080912058901577</v>
      </c>
      <c r="S183" s="94">
        <f t="shared" ca="1" si="51"/>
        <v>2.6080912058901573</v>
      </c>
      <c r="T183" s="4">
        <f t="shared" ca="1" si="52"/>
        <v>4.5074075727090942E-9</v>
      </c>
      <c r="U183" s="46">
        <f t="shared" ca="1" si="53"/>
        <v>1470.2765406745989</v>
      </c>
      <c r="V183" s="4">
        <f t="shared" ca="1" si="54"/>
        <v>2.5409907438997462E-6</v>
      </c>
      <c r="W183" s="13">
        <f t="shared" ca="1" si="55"/>
        <v>8712.3125236836549</v>
      </c>
      <c r="X183" s="4">
        <f t="shared" ca="1" si="56"/>
        <v>1.5056967086262965E-5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1.249924E-2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6.9827879206800323E-12</v>
      </c>
      <c r="L184" s="13">
        <f t="shared" ca="1" si="44"/>
        <v>183</v>
      </c>
      <c r="M184" s="7">
        <f t="shared" ca="1" si="45"/>
        <v>817</v>
      </c>
      <c r="N184" s="44">
        <f t="shared" ca="1" si="46"/>
        <v>9</v>
      </c>
      <c r="O184" s="94">
        <f t="shared" ca="1" si="47"/>
        <v>2.6080912058901573</v>
      </c>
      <c r="P184" s="94">
        <f t="shared" ca="1" si="48"/>
        <v>26.080912058901578</v>
      </c>
      <c r="Q184" s="94">
        <f t="shared" ca="1" si="49"/>
        <v>26.080912058901578</v>
      </c>
      <c r="R184" s="94">
        <f t="shared" ca="1" si="50"/>
        <v>2.6080912058901577</v>
      </c>
      <c r="S184" s="94">
        <f t="shared" ca="1" si="51"/>
        <v>2.6080912058901573</v>
      </c>
      <c r="T184" s="4">
        <f t="shared" ca="1" si="52"/>
        <v>1.8211747768521608E-11</v>
      </c>
      <c r="U184" s="46">
        <f t="shared" ca="1" si="53"/>
        <v>1453.2765406745989</v>
      </c>
      <c r="V184" s="4">
        <f t="shared" ca="1" si="54"/>
        <v>1.0147921873630252E-8</v>
      </c>
      <c r="W184" s="13">
        <f t="shared" ca="1" si="55"/>
        <v>6526.9405417274047</v>
      </c>
      <c r="X184" s="4">
        <f t="shared" ca="1" si="56"/>
        <v>4.5576241573770905E-8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1.249924E-2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1.1755535220000064E-14</v>
      </c>
      <c r="L185" s="13">
        <f t="shared" ca="1" si="44"/>
        <v>166</v>
      </c>
      <c r="M185" s="7">
        <f t="shared" ca="1" si="45"/>
        <v>834</v>
      </c>
      <c r="N185" s="44">
        <f t="shared" ca="1" si="46"/>
        <v>9</v>
      </c>
      <c r="O185" s="94">
        <f t="shared" ca="1" si="47"/>
        <v>2.6080912058901573</v>
      </c>
      <c r="P185" s="94">
        <f t="shared" ca="1" si="48"/>
        <v>26.080912058901578</v>
      </c>
      <c r="Q185" s="94">
        <f t="shared" ca="1" si="49"/>
        <v>26.080912058901578</v>
      </c>
      <c r="R185" s="94">
        <f t="shared" ca="1" si="50"/>
        <v>2.6080912058901577</v>
      </c>
      <c r="S185" s="94">
        <f t="shared" ca="1" si="51"/>
        <v>2.6080912058901573</v>
      </c>
      <c r="T185" s="4">
        <f t="shared" ca="1" si="52"/>
        <v>3.0659508027814181E-14</v>
      </c>
      <c r="U185" s="46">
        <f t="shared" ca="1" si="53"/>
        <v>1436.2765406745989</v>
      </c>
      <c r="V185" s="4">
        <f t="shared" ca="1" si="54"/>
        <v>1.6884199459560101E-11</v>
      </c>
      <c r="W185" s="13">
        <f t="shared" ca="1" si="55"/>
        <v>4341.5685597711545</v>
      </c>
      <c r="X185" s="4">
        <f t="shared" ca="1" si="56"/>
        <v>5.1037462114434758E-11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1.249924E-2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202</v>
      </c>
      <c r="M186" s="7">
        <f t="shared" ca="1" si="45"/>
        <v>798</v>
      </c>
      <c r="N186" s="44">
        <f t="shared" ca="1" si="46"/>
        <v>9</v>
      </c>
      <c r="O186" s="94">
        <f t="shared" ca="1" si="47"/>
        <v>2.6080912058901573</v>
      </c>
      <c r="P186" s="94">
        <f t="shared" ca="1" si="48"/>
        <v>26.080912058901578</v>
      </c>
      <c r="Q186" s="94">
        <f t="shared" ca="1" si="49"/>
        <v>26.080912058901578</v>
      </c>
      <c r="R186" s="94">
        <f t="shared" ca="1" si="50"/>
        <v>2.6080912058901577</v>
      </c>
      <c r="S186" s="94">
        <f t="shared" ca="1" si="51"/>
        <v>2.6080912058901573</v>
      </c>
      <c r="T186" s="4">
        <f t="shared" ca="1" si="52"/>
        <v>0</v>
      </c>
      <c r="U186" s="46">
        <f t="shared" ca="1" si="53"/>
        <v>1472.2765406745989</v>
      </c>
      <c r="V186" s="4">
        <f t="shared" ca="1" si="54"/>
        <v>0</v>
      </c>
      <c r="W186" s="13">
        <f t="shared" ca="1" si="55"/>
        <v>17482.975855650002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1.249924E-2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1.1179397025469017E-4</v>
      </c>
      <c r="L187" s="13">
        <f t="shared" ca="1" si="44"/>
        <v>185</v>
      </c>
      <c r="M187" s="7">
        <f t="shared" ca="1" si="45"/>
        <v>815</v>
      </c>
      <c r="N187" s="44">
        <f t="shared" ca="1" si="46"/>
        <v>9</v>
      </c>
      <c r="O187" s="94">
        <f t="shared" ca="1" si="47"/>
        <v>2.6080912058901573</v>
      </c>
      <c r="P187" s="94">
        <f t="shared" ca="1" si="48"/>
        <v>26.080912058901578</v>
      </c>
      <c r="Q187" s="94">
        <f t="shared" ca="1" si="49"/>
        <v>26.080912058901578</v>
      </c>
      <c r="R187" s="94">
        <f t="shared" ca="1" si="50"/>
        <v>2.6080912058901577</v>
      </c>
      <c r="S187" s="94">
        <f t="shared" ca="1" si="51"/>
        <v>2.6080912058901573</v>
      </c>
      <c r="T187" s="4">
        <f t="shared" ca="1" si="52"/>
        <v>2.9156887069280325E-4</v>
      </c>
      <c r="U187" s="46">
        <f t="shared" ca="1" si="53"/>
        <v>1455.2765406745989</v>
      </c>
      <c r="V187" s="4">
        <f t="shared" ca="1" si="54"/>
        <v>0.1626911423005245</v>
      </c>
      <c r="W187" s="13">
        <f t="shared" ca="1" si="55"/>
        <v>15297.60387369375</v>
      </c>
      <c r="X187" s="4">
        <f t="shared" ca="1" si="56"/>
        <v>1.7101798724237522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1.249924E-2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6.7753921366478936E-6</v>
      </c>
      <c r="L188" s="13">
        <f t="shared" ca="1" si="44"/>
        <v>168</v>
      </c>
      <c r="M188" s="7">
        <f t="shared" ca="1" si="45"/>
        <v>832</v>
      </c>
      <c r="N188" s="44">
        <f t="shared" ca="1" si="46"/>
        <v>9</v>
      </c>
      <c r="O188" s="94">
        <f t="shared" ca="1" si="47"/>
        <v>2.6080912058901573</v>
      </c>
      <c r="P188" s="94">
        <f t="shared" ca="1" si="48"/>
        <v>26.080912058901578</v>
      </c>
      <c r="Q188" s="94">
        <f t="shared" ca="1" si="49"/>
        <v>26.080912058901578</v>
      </c>
      <c r="R188" s="94">
        <f t="shared" ca="1" si="50"/>
        <v>2.6080912058901577</v>
      </c>
      <c r="S188" s="94">
        <f t="shared" ca="1" si="51"/>
        <v>2.6080912058901573</v>
      </c>
      <c r="T188" s="4">
        <f t="shared" ca="1" si="52"/>
        <v>1.7670840648048695E-5</v>
      </c>
      <c r="U188" s="46">
        <f t="shared" ca="1" si="53"/>
        <v>1438.2765406745989</v>
      </c>
      <c r="V188" s="4">
        <f t="shared" ca="1" si="54"/>
        <v>9.7448875640118119E-3</v>
      </c>
      <c r="W188" s="13">
        <f t="shared" ca="1" si="55"/>
        <v>13112.231891737501</v>
      </c>
      <c r="X188" s="4">
        <f t="shared" ca="1" si="56"/>
        <v>8.8840512853182008E-2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1.249924E-2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1.7109576102646218E-7</v>
      </c>
      <c r="L189" s="13">
        <f t="shared" ca="1" si="44"/>
        <v>151</v>
      </c>
      <c r="M189" s="7">
        <f t="shared" ca="1" si="45"/>
        <v>849</v>
      </c>
      <c r="N189" s="44">
        <f t="shared" ca="1" si="46"/>
        <v>9</v>
      </c>
      <c r="O189" s="94">
        <f t="shared" ca="1" si="47"/>
        <v>2.6080912058901573</v>
      </c>
      <c r="P189" s="94">
        <f t="shared" ca="1" si="48"/>
        <v>26.080912058901578</v>
      </c>
      <c r="Q189" s="94">
        <f t="shared" ca="1" si="49"/>
        <v>26.080912058901578</v>
      </c>
      <c r="R189" s="94">
        <f t="shared" ca="1" si="50"/>
        <v>2.6080912058901577</v>
      </c>
      <c r="S189" s="94">
        <f t="shared" ca="1" si="51"/>
        <v>2.6080912058901573</v>
      </c>
      <c r="T189" s="4">
        <f t="shared" ca="1" si="52"/>
        <v>4.4623334969819991E-7</v>
      </c>
      <c r="U189" s="46">
        <f t="shared" ca="1" si="53"/>
        <v>1421.2765406745989</v>
      </c>
      <c r="V189" s="4">
        <f t="shared" ca="1" si="54"/>
        <v>2.4317439135577803E-4</v>
      </c>
      <c r="W189" s="13">
        <f t="shared" ca="1" si="55"/>
        <v>10926.859909781251</v>
      </c>
      <c r="X189" s="4">
        <f t="shared" ca="1" si="56"/>
        <v>1.869539411893563E-3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1.249924E-2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2.3043200138244079E-9</v>
      </c>
      <c r="L190" s="13">
        <f t="shared" ca="1" si="44"/>
        <v>134</v>
      </c>
      <c r="M190" s="7">
        <f t="shared" ca="1" si="45"/>
        <v>866</v>
      </c>
      <c r="N190" s="44">
        <f t="shared" ca="1" si="46"/>
        <v>10</v>
      </c>
      <c r="O190" s="94">
        <f t="shared" ca="1" si="47"/>
        <v>2.855590707781452</v>
      </c>
      <c r="P190" s="94">
        <f t="shared" ca="1" si="48"/>
        <v>26.328411560792873</v>
      </c>
      <c r="Q190" s="94">
        <f t="shared" ca="1" si="49"/>
        <v>26.080912058901578</v>
      </c>
      <c r="R190" s="94">
        <f t="shared" ca="1" si="50"/>
        <v>2.6204661809847223</v>
      </c>
      <c r="S190" s="94">
        <f t="shared" ca="1" si="51"/>
        <v>2.855590707781452</v>
      </c>
      <c r="T190" s="4">
        <f t="shared" ca="1" si="52"/>
        <v>6.5801948192318062E-9</v>
      </c>
      <c r="U190" s="46">
        <f t="shared" ca="1" si="53"/>
        <v>1502.276501057248</v>
      </c>
      <c r="V190" s="4">
        <f t="shared" ca="1" si="54"/>
        <v>3.4617258076843208E-6</v>
      </c>
      <c r="W190" s="13">
        <f t="shared" ca="1" si="55"/>
        <v>8741.487927825001</v>
      </c>
      <c r="X190" s="4">
        <f t="shared" ca="1" si="56"/>
        <v>2.0143185582691603E-5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1.249924E-2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1.7456969801700082E-11</v>
      </c>
      <c r="L191" s="13">
        <f t="shared" ca="1" si="44"/>
        <v>117</v>
      </c>
      <c r="M191" s="7">
        <f t="shared" ca="1" si="45"/>
        <v>883</v>
      </c>
      <c r="N191" s="44">
        <f t="shared" ca="1" si="46"/>
        <v>10</v>
      </c>
      <c r="O191" s="94">
        <f t="shared" ca="1" si="47"/>
        <v>2.855590707781452</v>
      </c>
      <c r="P191" s="94">
        <f t="shared" ca="1" si="48"/>
        <v>28.555907077814521</v>
      </c>
      <c r="Q191" s="94">
        <f t="shared" ca="1" si="49"/>
        <v>28.060908074031932</v>
      </c>
      <c r="R191" s="94">
        <f t="shared" ca="1" si="50"/>
        <v>2.8308407575923225</v>
      </c>
      <c r="S191" s="94">
        <f t="shared" ca="1" si="51"/>
        <v>2.855590707781452</v>
      </c>
      <c r="T191" s="4">
        <f t="shared" ca="1" si="52"/>
        <v>4.9849960751756168E-11</v>
      </c>
      <c r="U191" s="46">
        <f t="shared" ca="1" si="53"/>
        <v>1485.276501057248</v>
      </c>
      <c r="V191" s="4">
        <f t="shared" ca="1" si="54"/>
        <v>2.5928427026131138E-8</v>
      </c>
      <c r="W191" s="13">
        <f t="shared" ca="1" si="55"/>
        <v>6556.1159458687507</v>
      </c>
      <c r="X191" s="4">
        <f t="shared" ca="1" si="56"/>
        <v>1.1444991808347515E-7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1.249924E-2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7.0533211320000391E-14</v>
      </c>
      <c r="L192" s="13">
        <f t="shared" ca="1" si="44"/>
        <v>100</v>
      </c>
      <c r="M192" s="7">
        <f t="shared" ca="1" si="45"/>
        <v>900</v>
      </c>
      <c r="N192" s="44">
        <f t="shared" ca="1" si="46"/>
        <v>10</v>
      </c>
      <c r="O192" s="94">
        <f t="shared" ca="1" si="47"/>
        <v>2.855590707781452</v>
      </c>
      <c r="P192" s="94">
        <f t="shared" ca="1" si="48"/>
        <v>28.555907077814521</v>
      </c>
      <c r="Q192" s="94">
        <f t="shared" ca="1" si="49"/>
        <v>28.555907077814521</v>
      </c>
      <c r="R192" s="94">
        <f t="shared" ca="1" si="50"/>
        <v>2.855590707781452</v>
      </c>
      <c r="S192" s="94">
        <f t="shared" ca="1" si="51"/>
        <v>2.855590707781452</v>
      </c>
      <c r="T192" s="4">
        <f t="shared" ca="1" si="52"/>
        <v>2.0141398283537863E-13</v>
      </c>
      <c r="U192" s="46">
        <f t="shared" ca="1" si="53"/>
        <v>1468.276501057248</v>
      </c>
      <c r="V192" s="4">
        <f t="shared" ca="1" si="54"/>
        <v>1.0356225672526165E-10</v>
      </c>
      <c r="W192" s="13">
        <f t="shared" ca="1" si="55"/>
        <v>4370.7439639125005</v>
      </c>
      <c r="X192" s="4">
        <f t="shared" ca="1" si="56"/>
        <v>3.0828260763225654E-10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1.249924E-2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1.1874278000000076E-16</v>
      </c>
      <c r="L193" s="13">
        <f t="shared" ca="1" si="44"/>
        <v>100</v>
      </c>
      <c r="M193" s="7">
        <f t="shared" ca="1" si="45"/>
        <v>900</v>
      </c>
      <c r="N193" s="44">
        <f t="shared" ca="1" si="46"/>
        <v>10</v>
      </c>
      <c r="O193" s="94">
        <f t="shared" ca="1" si="47"/>
        <v>2.855590707781452</v>
      </c>
      <c r="P193" s="94">
        <f t="shared" ca="1" si="48"/>
        <v>28.555907077814521</v>
      </c>
      <c r="Q193" s="94">
        <f t="shared" ca="1" si="49"/>
        <v>28.555907077814521</v>
      </c>
      <c r="R193" s="94">
        <f t="shared" ca="1" si="50"/>
        <v>2.855590707781452</v>
      </c>
      <c r="S193" s="94">
        <f t="shared" ca="1" si="51"/>
        <v>2.855590707781452</v>
      </c>
      <c r="T193" s="4">
        <f t="shared" ca="1" si="52"/>
        <v>3.3908077918413943E-16</v>
      </c>
      <c r="U193" s="46">
        <f t="shared" ca="1" si="53"/>
        <v>1468.276501057248</v>
      </c>
      <c r="V193" s="4">
        <f t="shared" ca="1" si="54"/>
        <v>1.7434723354421168E-13</v>
      </c>
      <c r="W193" s="13">
        <f t="shared" ca="1" si="55"/>
        <v>2185.3719819562502</v>
      </c>
      <c r="X193" s="4">
        <f t="shared" ca="1" si="56"/>
        <v>2.5949714447159666E-13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1.249924E-2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202</v>
      </c>
      <c r="M194" s="7">
        <f t="shared" ca="1" si="45"/>
        <v>798</v>
      </c>
      <c r="N194" s="44">
        <f t="shared" ca="1" si="46"/>
        <v>9</v>
      </c>
      <c r="O194" s="94">
        <f t="shared" ca="1" si="47"/>
        <v>2.6080912058901573</v>
      </c>
      <c r="P194" s="94">
        <f t="shared" ca="1" si="48"/>
        <v>26.080912058901578</v>
      </c>
      <c r="Q194" s="94">
        <f t="shared" ca="1" si="49"/>
        <v>26.080912058901578</v>
      </c>
      <c r="R194" s="94">
        <f t="shared" ca="1" si="50"/>
        <v>2.6080912058901577</v>
      </c>
      <c r="S194" s="94">
        <f t="shared" ca="1" si="51"/>
        <v>2.6080912058901573</v>
      </c>
      <c r="T194" s="4">
        <f t="shared" ca="1" si="52"/>
        <v>0</v>
      </c>
      <c r="U194" s="46">
        <f t="shared" ca="1" si="53"/>
        <v>1472.2765406745989</v>
      </c>
      <c r="V194" s="4">
        <f t="shared" ca="1" si="54"/>
        <v>0</v>
      </c>
      <c r="W194" s="13">
        <f t="shared" ca="1" si="55"/>
        <v>17453.800451508654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1.249924E-2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5.8250542395864833E-4</v>
      </c>
      <c r="L195" s="13">
        <f t="shared" ca="1" si="44"/>
        <v>185</v>
      </c>
      <c r="M195" s="7">
        <f t="shared" ca="1" si="45"/>
        <v>815</v>
      </c>
      <c r="N195" s="44">
        <f t="shared" ca="1" si="46"/>
        <v>9</v>
      </c>
      <c r="O195" s="94">
        <f t="shared" ca="1" si="47"/>
        <v>2.6080912058901573</v>
      </c>
      <c r="P195" s="94">
        <f t="shared" ca="1" si="48"/>
        <v>26.080912058901578</v>
      </c>
      <c r="Q195" s="94">
        <f t="shared" ca="1" si="49"/>
        <v>26.080912058901578</v>
      </c>
      <c r="R195" s="94">
        <f t="shared" ca="1" si="50"/>
        <v>2.6080912058901577</v>
      </c>
      <c r="S195" s="94">
        <f t="shared" ca="1" si="51"/>
        <v>2.6080912058901573</v>
      </c>
      <c r="T195" s="4">
        <f t="shared" ca="1" si="52"/>
        <v>1.5192272736098684E-3</v>
      </c>
      <c r="U195" s="46">
        <f t="shared" ca="1" si="53"/>
        <v>1455.2765406745989</v>
      </c>
      <c r="V195" s="4">
        <f t="shared" ca="1" si="54"/>
        <v>0.84770647830273238</v>
      </c>
      <c r="W195" s="13">
        <f t="shared" ca="1" si="55"/>
        <v>15268.428469552404</v>
      </c>
      <c r="X195" s="4">
        <f t="shared" ca="1" si="56"/>
        <v>8.8939423988389184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1.249924E-2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3.530335902779689E-5</v>
      </c>
      <c r="L196" s="13">
        <f t="shared" ca="1" si="44"/>
        <v>168</v>
      </c>
      <c r="M196" s="7">
        <f t="shared" ca="1" si="45"/>
        <v>832</v>
      </c>
      <c r="N196" s="44">
        <f t="shared" ca="1" si="46"/>
        <v>9</v>
      </c>
      <c r="O196" s="94">
        <f t="shared" ca="1" si="47"/>
        <v>2.6080912058901573</v>
      </c>
      <c r="P196" s="94">
        <f t="shared" ca="1" si="48"/>
        <v>26.080912058901578</v>
      </c>
      <c r="Q196" s="94">
        <f t="shared" ca="1" si="49"/>
        <v>26.080912058901578</v>
      </c>
      <c r="R196" s="94">
        <f t="shared" ca="1" si="50"/>
        <v>2.6080912058901577</v>
      </c>
      <c r="S196" s="94">
        <f t="shared" ca="1" si="51"/>
        <v>2.6080912058901573</v>
      </c>
      <c r="T196" s="4">
        <f t="shared" ca="1" si="52"/>
        <v>9.2074380218779963E-5</v>
      </c>
      <c r="U196" s="46">
        <f t="shared" ca="1" si="53"/>
        <v>1438.2765406745989</v>
      </c>
      <c r="V196" s="4">
        <f t="shared" ca="1" si="54"/>
        <v>5.0775993096693083E-2</v>
      </c>
      <c r="W196" s="13">
        <f t="shared" ca="1" si="55"/>
        <v>13083.056487596155</v>
      </c>
      <c r="X196" s="4">
        <f t="shared" ca="1" si="56"/>
        <v>0.46187584036255441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1.249924E-2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8.9149896534840743E-7</v>
      </c>
      <c r="L197" s="13">
        <f t="shared" ca="1" si="44"/>
        <v>151</v>
      </c>
      <c r="M197" s="7">
        <f t="shared" ca="1" si="45"/>
        <v>849</v>
      </c>
      <c r="N197" s="44">
        <f t="shared" ca="1" si="46"/>
        <v>9</v>
      </c>
      <c r="O197" s="94">
        <f t="shared" ca="1" si="47"/>
        <v>2.6080912058901573</v>
      </c>
      <c r="P197" s="94">
        <f t="shared" ca="1" si="48"/>
        <v>26.080912058901578</v>
      </c>
      <c r="Q197" s="94">
        <f t="shared" ca="1" si="49"/>
        <v>26.080912058901578</v>
      </c>
      <c r="R197" s="94">
        <f t="shared" ca="1" si="50"/>
        <v>2.6080912058901577</v>
      </c>
      <c r="S197" s="94">
        <f t="shared" ca="1" si="51"/>
        <v>2.6080912058901573</v>
      </c>
      <c r="T197" s="4">
        <f t="shared" ca="1" si="52"/>
        <v>2.3251106115853553E-6</v>
      </c>
      <c r="U197" s="46">
        <f t="shared" ca="1" si="53"/>
        <v>1421.2765406745989</v>
      </c>
      <c r="V197" s="4">
        <f t="shared" ca="1" si="54"/>
        <v>1.2670665654853687E-3</v>
      </c>
      <c r="W197" s="13">
        <f t="shared" ca="1" si="55"/>
        <v>10897.684505639905</v>
      </c>
      <c r="X197" s="4">
        <f t="shared" ca="1" si="56"/>
        <v>9.7152744614713467E-3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1.249924E-2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1.2006720072032431E-8</v>
      </c>
      <c r="L198" s="13">
        <f t="shared" ca="1" si="44"/>
        <v>134</v>
      </c>
      <c r="M198" s="7">
        <f t="shared" ca="1" si="45"/>
        <v>866</v>
      </c>
      <c r="N198" s="44">
        <f t="shared" ca="1" si="46"/>
        <v>10</v>
      </c>
      <c r="O198" s="94">
        <f t="shared" ca="1" si="47"/>
        <v>2.855590707781452</v>
      </c>
      <c r="P198" s="94">
        <f t="shared" ca="1" si="48"/>
        <v>26.328411560792873</v>
      </c>
      <c r="Q198" s="94">
        <f t="shared" ca="1" si="49"/>
        <v>26.080912058901578</v>
      </c>
      <c r="R198" s="94">
        <f t="shared" ca="1" si="50"/>
        <v>2.6204661809847223</v>
      </c>
      <c r="S198" s="94">
        <f t="shared" ca="1" si="51"/>
        <v>2.855590707781452</v>
      </c>
      <c r="T198" s="4">
        <f t="shared" ca="1" si="52"/>
        <v>3.4286278268628852E-8</v>
      </c>
      <c r="U198" s="46">
        <f t="shared" ca="1" si="53"/>
        <v>1502.276501057248</v>
      </c>
      <c r="V198" s="4">
        <f t="shared" ca="1" si="54"/>
        <v>1.8037413418986707E-5</v>
      </c>
      <c r="W198" s="13">
        <f t="shared" ca="1" si="55"/>
        <v>8712.3125236836531</v>
      </c>
      <c r="X198" s="4">
        <f t="shared" ca="1" si="56"/>
        <v>1.0460629765193204E-4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1.249924E-2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9.0960000545700345E-11</v>
      </c>
      <c r="L199" s="13">
        <f t="shared" ca="1" si="44"/>
        <v>117</v>
      </c>
      <c r="M199" s="7">
        <f t="shared" ca="1" si="45"/>
        <v>883</v>
      </c>
      <c r="N199" s="44">
        <f t="shared" ca="1" si="46"/>
        <v>10</v>
      </c>
      <c r="O199" s="94">
        <f t="shared" ca="1" si="47"/>
        <v>2.855590707781452</v>
      </c>
      <c r="P199" s="94">
        <f t="shared" ca="1" si="48"/>
        <v>28.555907077814521</v>
      </c>
      <c r="Q199" s="94">
        <f t="shared" ca="1" si="49"/>
        <v>28.060908074031932</v>
      </c>
      <c r="R199" s="94">
        <f t="shared" ca="1" si="50"/>
        <v>2.8308407575923225</v>
      </c>
      <c r="S199" s="94">
        <f t="shared" ca="1" si="51"/>
        <v>2.855590707781452</v>
      </c>
      <c r="T199" s="4">
        <f t="shared" ca="1" si="52"/>
        <v>2.597445323380977E-10</v>
      </c>
      <c r="U199" s="46">
        <f t="shared" ca="1" si="53"/>
        <v>1485.276501057248</v>
      </c>
      <c r="V199" s="4">
        <f t="shared" ca="1" si="54"/>
        <v>1.3510075134668318E-7</v>
      </c>
      <c r="W199" s="13">
        <f t="shared" ca="1" si="55"/>
        <v>6526.9405417274047</v>
      </c>
      <c r="X199" s="4">
        <f t="shared" ca="1" si="56"/>
        <v>5.9369051523727842E-7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1.249924E-2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3.6751515372000167E-13</v>
      </c>
      <c r="L200" s="13">
        <f t="shared" ca="1" si="44"/>
        <v>100</v>
      </c>
      <c r="M200" s="7">
        <f t="shared" ca="1" si="45"/>
        <v>900</v>
      </c>
      <c r="N200" s="44">
        <f t="shared" ca="1" si="46"/>
        <v>10</v>
      </c>
      <c r="O200" s="94">
        <f t="shared" ca="1" si="47"/>
        <v>2.855590707781452</v>
      </c>
      <c r="P200" s="94">
        <f t="shared" ca="1" si="48"/>
        <v>28.555907077814521</v>
      </c>
      <c r="Q200" s="94">
        <f t="shared" ca="1" si="49"/>
        <v>28.555907077814521</v>
      </c>
      <c r="R200" s="94">
        <f t="shared" ca="1" si="50"/>
        <v>2.855590707781452</v>
      </c>
      <c r="S200" s="94">
        <f t="shared" ca="1" si="51"/>
        <v>2.855590707781452</v>
      </c>
      <c r="T200" s="4">
        <f t="shared" ca="1" si="52"/>
        <v>1.0494728579317087E-12</v>
      </c>
      <c r="U200" s="46">
        <f t="shared" ca="1" si="53"/>
        <v>1468.276501057248</v>
      </c>
      <c r="V200" s="4">
        <f t="shared" ca="1" si="54"/>
        <v>5.3961386398952073E-10</v>
      </c>
      <c r="W200" s="13">
        <f t="shared" ca="1" si="55"/>
        <v>4341.5685597711545</v>
      </c>
      <c r="X200" s="4">
        <f t="shared" ca="1" si="56"/>
        <v>1.595592236630222E-9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1.249924E-2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6.1871238000000337E-16</v>
      </c>
      <c r="L201" s="13">
        <f t="shared" ca="1" si="44"/>
        <v>100</v>
      </c>
      <c r="M201" s="7">
        <f t="shared" ca="1" si="45"/>
        <v>900</v>
      </c>
      <c r="N201" s="44">
        <f t="shared" ca="1" si="46"/>
        <v>10</v>
      </c>
      <c r="O201" s="94">
        <f t="shared" ca="1" si="47"/>
        <v>2.855590707781452</v>
      </c>
      <c r="P201" s="94">
        <f t="shared" ca="1" si="48"/>
        <v>28.555907077814521</v>
      </c>
      <c r="Q201" s="94">
        <f t="shared" ca="1" si="49"/>
        <v>28.555907077814521</v>
      </c>
      <c r="R201" s="94">
        <f t="shared" ca="1" si="50"/>
        <v>2.855590707781452</v>
      </c>
      <c r="S201" s="94">
        <f t="shared" ca="1" si="51"/>
        <v>2.855590707781452</v>
      </c>
      <c r="T201" s="4">
        <f t="shared" ca="1" si="52"/>
        <v>1.7667893231173562E-15</v>
      </c>
      <c r="U201" s="46">
        <f t="shared" ca="1" si="53"/>
        <v>1468.276501057248</v>
      </c>
      <c r="V201" s="4">
        <f t="shared" ca="1" si="54"/>
        <v>9.0844084846720737E-13</v>
      </c>
      <c r="W201" s="13">
        <f t="shared" ca="1" si="55"/>
        <v>2156.1965778149038</v>
      </c>
      <c r="X201" s="4">
        <f t="shared" ca="1" si="56"/>
        <v>1.3340655164077216E-12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1.249924E-2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119</v>
      </c>
      <c r="M202" s="7">
        <f t="shared" ca="1" si="45"/>
        <v>881</v>
      </c>
      <c r="N202" s="44">
        <f t="shared" ca="1" si="46"/>
        <v>10</v>
      </c>
      <c r="O202" s="94">
        <f t="shared" ca="1" si="47"/>
        <v>2.855590707781452</v>
      </c>
      <c r="P202" s="94">
        <f t="shared" ca="1" si="48"/>
        <v>28.555907077814521</v>
      </c>
      <c r="Q202" s="94">
        <f t="shared" ca="1" si="49"/>
        <v>27.565909070249344</v>
      </c>
      <c r="R202" s="94">
        <f t="shared" ca="1" si="50"/>
        <v>2.8060908074031934</v>
      </c>
      <c r="S202" s="94">
        <f t="shared" ca="1" si="51"/>
        <v>2.855590707781452</v>
      </c>
      <c r="T202" s="4">
        <f t="shared" ca="1" si="52"/>
        <v>0</v>
      </c>
      <c r="U202" s="46">
        <f t="shared" ca="1" si="53"/>
        <v>1487.276501057248</v>
      </c>
      <c r="V202" s="4">
        <f t="shared" ca="1" si="54"/>
        <v>0</v>
      </c>
      <c r="W202" s="13">
        <f t="shared" ca="1" si="55"/>
        <v>15297.60387369375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1.249924E-2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5.8838931712994825E-6</v>
      </c>
      <c r="L203" s="13">
        <f t="shared" ca="1" si="44"/>
        <v>102</v>
      </c>
      <c r="M203" s="7">
        <f t="shared" ca="1" si="45"/>
        <v>898</v>
      </c>
      <c r="N203" s="44">
        <f t="shared" ca="1" si="46"/>
        <v>10</v>
      </c>
      <c r="O203" s="94">
        <f t="shared" ca="1" si="47"/>
        <v>2.855590707781452</v>
      </c>
      <c r="P203" s="94">
        <f t="shared" ca="1" si="48"/>
        <v>28.555907077814521</v>
      </c>
      <c r="Q203" s="94">
        <f t="shared" ca="1" si="49"/>
        <v>28.555907077814521</v>
      </c>
      <c r="R203" s="94">
        <f t="shared" ca="1" si="50"/>
        <v>2.855590707781452</v>
      </c>
      <c r="S203" s="94">
        <f t="shared" ca="1" si="51"/>
        <v>2.855590707781452</v>
      </c>
      <c r="T203" s="4">
        <f t="shared" ca="1" si="52"/>
        <v>1.6801990665541541E-5</v>
      </c>
      <c r="U203" s="46">
        <f t="shared" ca="1" si="53"/>
        <v>1470.276501057248</v>
      </c>
      <c r="V203" s="4">
        <f t="shared" ca="1" si="54"/>
        <v>8.6509498644928382E-3</v>
      </c>
      <c r="W203" s="13">
        <f t="shared" ca="1" si="55"/>
        <v>13112.2318917375</v>
      </c>
      <c r="X203" s="4">
        <f t="shared" ca="1" si="56"/>
        <v>7.7150971688289563E-2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1.249924E-2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3.5659958613936284E-7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10</v>
      </c>
      <c r="O204" s="94">
        <f t="shared" ca="1" si="47"/>
        <v>2.855590707781452</v>
      </c>
      <c r="P204" s="94">
        <f t="shared" ca="1" si="48"/>
        <v>28.555907077814521</v>
      </c>
      <c r="Q204" s="94">
        <f t="shared" ca="1" si="49"/>
        <v>28.555907077814521</v>
      </c>
      <c r="R204" s="94">
        <f t="shared" ca="1" si="50"/>
        <v>2.855590707781452</v>
      </c>
      <c r="S204" s="94">
        <f t="shared" ca="1" si="51"/>
        <v>2.855590707781452</v>
      </c>
      <c r="T204" s="4">
        <f t="shared" ca="1" si="52"/>
        <v>1.0183024645782761E-6</v>
      </c>
      <c r="U204" s="46">
        <f t="shared" ca="1" si="53"/>
        <v>1468.276501057248</v>
      </c>
      <c r="V204" s="4">
        <f t="shared" ca="1" si="54"/>
        <v>5.2358679261516636E-4</v>
      </c>
      <c r="W204" s="13">
        <f t="shared" ca="1" si="55"/>
        <v>10926.859909781251</v>
      </c>
      <c r="X204" s="4">
        <f t="shared" ca="1" si="56"/>
        <v>3.8965137216307897E-3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1.249924E-2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9.0050400540243236E-9</v>
      </c>
      <c r="L205" s="13">
        <f t="shared" ca="1" si="44"/>
        <v>100</v>
      </c>
      <c r="M205" s="7">
        <f t="shared" ca="1" si="45"/>
        <v>900</v>
      </c>
      <c r="N205" s="44">
        <f t="shared" ca="1" si="46"/>
        <v>10</v>
      </c>
      <c r="O205" s="94">
        <f t="shared" ca="1" si="47"/>
        <v>2.855590707781452</v>
      </c>
      <c r="P205" s="94">
        <f t="shared" ca="1" si="48"/>
        <v>28.555907077814521</v>
      </c>
      <c r="Q205" s="94">
        <f t="shared" ca="1" si="49"/>
        <v>28.555907077814521</v>
      </c>
      <c r="R205" s="94">
        <f t="shared" ca="1" si="50"/>
        <v>2.855590707781452</v>
      </c>
      <c r="S205" s="94">
        <f t="shared" ca="1" si="51"/>
        <v>2.855590707781452</v>
      </c>
      <c r="T205" s="4">
        <f t="shared" ca="1" si="52"/>
        <v>2.5714708701471644E-8</v>
      </c>
      <c r="U205" s="46">
        <f t="shared" ca="1" si="53"/>
        <v>1468.276501057248</v>
      </c>
      <c r="V205" s="4">
        <f t="shared" ca="1" si="54"/>
        <v>1.3221888702403205E-5</v>
      </c>
      <c r="W205" s="13">
        <f t="shared" ca="1" si="55"/>
        <v>8741.487927825001</v>
      </c>
      <c r="X205" s="4">
        <f t="shared" ca="1" si="56"/>
        <v>7.8717448921834221E-5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1.249924E-2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1.2128000072760042E-10</v>
      </c>
      <c r="L206" s="13">
        <f t="shared" ca="1" si="44"/>
        <v>100</v>
      </c>
      <c r="M206" s="7">
        <f t="shared" ca="1" si="45"/>
        <v>900</v>
      </c>
      <c r="N206" s="44">
        <f t="shared" ca="1" si="46"/>
        <v>10</v>
      </c>
      <c r="O206" s="94">
        <f t="shared" ca="1" si="47"/>
        <v>2.855590707781452</v>
      </c>
      <c r="P206" s="94">
        <f t="shared" ca="1" si="48"/>
        <v>28.555907077814521</v>
      </c>
      <c r="Q206" s="94">
        <f t="shared" ca="1" si="49"/>
        <v>28.555907077814521</v>
      </c>
      <c r="R206" s="94">
        <f t="shared" ca="1" si="50"/>
        <v>2.855590707781452</v>
      </c>
      <c r="S206" s="94">
        <f t="shared" ca="1" si="51"/>
        <v>2.855590707781452</v>
      </c>
      <c r="T206" s="4">
        <f t="shared" ca="1" si="52"/>
        <v>3.4632604311746348E-10</v>
      </c>
      <c r="U206" s="46">
        <f t="shared" ca="1" si="53"/>
        <v>1468.276501057248</v>
      </c>
      <c r="V206" s="4">
        <f t="shared" ca="1" si="54"/>
        <v>1.7807257511654162E-7</v>
      </c>
      <c r="W206" s="13">
        <f t="shared" ca="1" si="55"/>
        <v>6556.1159458687498</v>
      </c>
      <c r="X206" s="4">
        <f t="shared" ca="1" si="56"/>
        <v>7.9512574668519462E-7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1.249924E-2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9.187878843000043E-13</v>
      </c>
      <c r="L207" s="13">
        <f t="shared" ca="1" si="44"/>
        <v>100</v>
      </c>
      <c r="M207" s="7">
        <f t="shared" ca="1" si="45"/>
        <v>900</v>
      </c>
      <c r="N207" s="44">
        <f t="shared" ca="1" si="46"/>
        <v>10</v>
      </c>
      <c r="O207" s="94">
        <f t="shared" ca="1" si="47"/>
        <v>2.855590707781452</v>
      </c>
      <c r="P207" s="94">
        <f t="shared" ca="1" si="48"/>
        <v>28.555907077814521</v>
      </c>
      <c r="Q207" s="94">
        <f t="shared" ca="1" si="49"/>
        <v>28.555907077814521</v>
      </c>
      <c r="R207" s="94">
        <f t="shared" ca="1" si="50"/>
        <v>2.855590707781452</v>
      </c>
      <c r="S207" s="94">
        <f t="shared" ca="1" si="51"/>
        <v>2.855590707781452</v>
      </c>
      <c r="T207" s="4">
        <f t="shared" ca="1" si="52"/>
        <v>2.6236821448292722E-12</v>
      </c>
      <c r="U207" s="46">
        <f t="shared" ca="1" si="53"/>
        <v>1468.276501057248</v>
      </c>
      <c r="V207" s="4">
        <f t="shared" ca="1" si="54"/>
        <v>1.3490346599738019E-9</v>
      </c>
      <c r="W207" s="13">
        <f t="shared" ca="1" si="55"/>
        <v>4370.7439639125005</v>
      </c>
      <c r="X207" s="4">
        <f t="shared" ca="1" si="56"/>
        <v>4.0157865994201803E-9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1.249924E-2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3.7122742800000204E-15</v>
      </c>
      <c r="L208" s="13">
        <f t="shared" ca="1" si="44"/>
        <v>100</v>
      </c>
      <c r="M208" s="7">
        <f t="shared" ca="1" si="45"/>
        <v>900</v>
      </c>
      <c r="N208" s="44">
        <f t="shared" ca="1" si="46"/>
        <v>10</v>
      </c>
      <c r="O208" s="94">
        <f t="shared" ca="1" si="47"/>
        <v>2.855590707781452</v>
      </c>
      <c r="P208" s="94">
        <f t="shared" ca="1" si="48"/>
        <v>28.555907077814521</v>
      </c>
      <c r="Q208" s="94">
        <f t="shared" ca="1" si="49"/>
        <v>28.555907077814521</v>
      </c>
      <c r="R208" s="94">
        <f t="shared" ca="1" si="50"/>
        <v>2.855590707781452</v>
      </c>
      <c r="S208" s="94">
        <f t="shared" ca="1" si="51"/>
        <v>2.855590707781452</v>
      </c>
      <c r="T208" s="4">
        <f t="shared" ca="1" si="52"/>
        <v>1.0600735938704138E-14</v>
      </c>
      <c r="U208" s="46">
        <f t="shared" ca="1" si="53"/>
        <v>1468.276501057248</v>
      </c>
      <c r="V208" s="4">
        <f t="shared" ca="1" si="54"/>
        <v>5.4506450908032448E-12</v>
      </c>
      <c r="W208" s="13">
        <f t="shared" ca="1" si="55"/>
        <v>2185.3719819562502</v>
      </c>
      <c r="X208" s="4">
        <f t="shared" ca="1" si="56"/>
        <v>8.1127002008488566E-12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1.249924E-2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6.2496200000000398E-18</v>
      </c>
      <c r="L209" s="13">
        <f t="shared" ca="1" si="44"/>
        <v>100</v>
      </c>
      <c r="M209" s="7">
        <f t="shared" ca="1" si="45"/>
        <v>900</v>
      </c>
      <c r="N209" s="44">
        <f t="shared" ca="1" si="46"/>
        <v>10</v>
      </c>
      <c r="O209" s="94">
        <f t="shared" ca="1" si="47"/>
        <v>2.855590707781452</v>
      </c>
      <c r="P209" s="94">
        <f t="shared" ca="1" si="48"/>
        <v>28.555907077814521</v>
      </c>
      <c r="Q209" s="94">
        <f t="shared" ca="1" si="49"/>
        <v>28.555907077814521</v>
      </c>
      <c r="R209" s="94">
        <f t="shared" ca="1" si="50"/>
        <v>2.855590707781452</v>
      </c>
      <c r="S209" s="94">
        <f t="shared" ca="1" si="51"/>
        <v>2.855590707781452</v>
      </c>
      <c r="T209" s="4">
        <f t="shared" ca="1" si="52"/>
        <v>1.7846356799165232E-17</v>
      </c>
      <c r="U209" s="46">
        <f t="shared" ca="1" si="53"/>
        <v>1468.276501057248</v>
      </c>
      <c r="V209" s="4">
        <f t="shared" ca="1" si="54"/>
        <v>9.1761701865374561E-15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1.5651999999999999E-2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285</v>
      </c>
      <c r="M210" s="7">
        <f t="shared" ref="M210:M273" ca="1" si="64">MAX(Set1MinTP-(L210+Set1Regain), 0)</f>
        <v>715</v>
      </c>
      <c r="N210" s="44">
        <f t="shared" ref="N210:N273" ca="1" si="65">CEILING(M210/Set1MeleeTP, 1)</f>
        <v>8</v>
      </c>
      <c r="O210" s="94">
        <f t="shared" ref="O210:O273" ca="1" si="66">VLOOKUP(N210,AvgRoundsSet1,2)</f>
        <v>2.3721134347108093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23.721134347108087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23.721134347108087</v>
      </c>
      <c r="R210" s="94">
        <f t="shared" ref="R210:R273" ca="1" si="69">(P210+Q210)/20</f>
        <v>2.3721134347108088</v>
      </c>
      <c r="S210" s="94">
        <f t="shared" ref="S210:S273" ca="1" si="70">R210*Set1ConserveTP + O210*(1-Set1ConserveTP)</f>
        <v>2.3721134347108093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1461.8387274667198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19639.172433464904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1.5651999999999999E-2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1.3859252484168196E-2</v>
      </c>
      <c r="L211" s="13">
        <f t="shared" ca="1" si="63"/>
        <v>268</v>
      </c>
      <c r="M211" s="7">
        <f t="shared" ca="1" si="64"/>
        <v>732</v>
      </c>
      <c r="N211" s="44">
        <f t="shared" ca="1" si="65"/>
        <v>8</v>
      </c>
      <c r="O211" s="94">
        <f t="shared" ca="1" si="66"/>
        <v>2.3721134347108093</v>
      </c>
      <c r="P211" s="94">
        <f t="shared" ca="1" si="67"/>
        <v>23.721134347108087</v>
      </c>
      <c r="Q211" s="94">
        <f t="shared" ca="1" si="68"/>
        <v>23.721134347108087</v>
      </c>
      <c r="R211" s="94">
        <f t="shared" ca="1" si="69"/>
        <v>2.3721134347108088</v>
      </c>
      <c r="S211" s="94">
        <f t="shared" ca="1" si="70"/>
        <v>2.3721134347108093</v>
      </c>
      <c r="T211" s="4">
        <f t="shared" ca="1" si="71"/>
        <v>3.2875719012744532E-2</v>
      </c>
      <c r="U211" s="46">
        <f t="shared" ca="1" si="72"/>
        <v>1444.8387274667198</v>
      </c>
      <c r="V211" s="4">
        <f t="shared" ca="1" si="73"/>
        <v>20.024384722865552</v>
      </c>
      <c r="W211" s="13">
        <f t="shared" ca="1" si="74"/>
        <v>17453.800451508654</v>
      </c>
      <c r="X211" s="4">
        <f t="shared" ca="1" si="75"/>
        <v>241.8966272657473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1.5651999999999999E-2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8.3995469601019443E-4</v>
      </c>
      <c r="L212" s="13">
        <f t="shared" ca="1" si="63"/>
        <v>251</v>
      </c>
      <c r="M212" s="7">
        <f t="shared" ca="1" si="64"/>
        <v>749</v>
      </c>
      <c r="N212" s="44">
        <f t="shared" ca="1" si="65"/>
        <v>8</v>
      </c>
      <c r="O212" s="94">
        <f t="shared" ca="1" si="66"/>
        <v>2.3721134347108093</v>
      </c>
      <c r="P212" s="94">
        <f t="shared" ca="1" si="67"/>
        <v>23.721134347108087</v>
      </c>
      <c r="Q212" s="94">
        <f t="shared" ca="1" si="68"/>
        <v>23.721134347108087</v>
      </c>
      <c r="R212" s="94">
        <f t="shared" ca="1" si="69"/>
        <v>2.3721134347108088</v>
      </c>
      <c r="S212" s="94">
        <f t="shared" ca="1" si="70"/>
        <v>2.3721134347108093</v>
      </c>
      <c r="T212" s="4">
        <f t="shared" ca="1" si="71"/>
        <v>1.992467818954216E-3</v>
      </c>
      <c r="U212" s="46">
        <f t="shared" ca="1" si="72"/>
        <v>1427.8387274667198</v>
      </c>
      <c r="V212" s="4">
        <f t="shared" ca="1" si="73"/>
        <v>1.1993198442808914</v>
      </c>
      <c r="W212" s="13">
        <f t="shared" ca="1" si="74"/>
        <v>15268.428469552406</v>
      </c>
      <c r="X212" s="4">
        <f t="shared" ca="1" si="75"/>
        <v>12.824788193696289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1.5651999999999999E-2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2.1210977171974628E-5</v>
      </c>
      <c r="L213" s="13">
        <f t="shared" ca="1" si="63"/>
        <v>234</v>
      </c>
      <c r="M213" s="7">
        <f t="shared" ca="1" si="64"/>
        <v>766</v>
      </c>
      <c r="N213" s="44">
        <f t="shared" ca="1" si="65"/>
        <v>8</v>
      </c>
      <c r="O213" s="94">
        <f t="shared" ca="1" si="66"/>
        <v>2.3721134347108093</v>
      </c>
      <c r="P213" s="94">
        <f t="shared" ca="1" si="67"/>
        <v>23.721134347108087</v>
      </c>
      <c r="Q213" s="94">
        <f t="shared" ca="1" si="68"/>
        <v>23.721134347108087</v>
      </c>
      <c r="R213" s="94">
        <f t="shared" ca="1" si="69"/>
        <v>2.3721134347108088</v>
      </c>
      <c r="S213" s="94">
        <f t="shared" ca="1" si="70"/>
        <v>2.3721134347108093</v>
      </c>
      <c r="T213" s="4">
        <f t="shared" ca="1" si="71"/>
        <v>5.0314843912985303E-5</v>
      </c>
      <c r="U213" s="46">
        <f t="shared" ca="1" si="72"/>
        <v>1410.8387274667198</v>
      </c>
      <c r="V213" s="4">
        <f t="shared" ca="1" si="73"/>
        <v>2.9925268041634326E-2</v>
      </c>
      <c r="W213" s="13">
        <f t="shared" ca="1" si="74"/>
        <v>13083.056487596155</v>
      </c>
      <c r="X213" s="4">
        <f t="shared" ca="1" si="75"/>
        <v>0.27750441249805663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1.5651999999999999E-2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2.8566972622188071E-7</v>
      </c>
      <c r="L214" s="13">
        <f t="shared" ca="1" si="63"/>
        <v>217</v>
      </c>
      <c r="M214" s="7">
        <f t="shared" ca="1" si="64"/>
        <v>783</v>
      </c>
      <c r="N214" s="44">
        <f t="shared" ca="1" si="65"/>
        <v>9</v>
      </c>
      <c r="O214" s="94">
        <f t="shared" ca="1" si="66"/>
        <v>2.6080912058901573</v>
      </c>
      <c r="P214" s="94">
        <f t="shared" ca="1" si="67"/>
        <v>26.080912058901578</v>
      </c>
      <c r="Q214" s="94">
        <f t="shared" ca="1" si="68"/>
        <v>24.665045431825479</v>
      </c>
      <c r="R214" s="94">
        <f t="shared" ca="1" si="69"/>
        <v>2.5372978745363528</v>
      </c>
      <c r="S214" s="94">
        <f t="shared" ca="1" si="70"/>
        <v>2.6080912058901573</v>
      </c>
      <c r="T214" s="4">
        <f t="shared" ca="1" si="71"/>
        <v>7.4505270074833595E-7</v>
      </c>
      <c r="U214" s="46">
        <f t="shared" ca="1" si="72"/>
        <v>1487.2765406745989</v>
      </c>
      <c r="V214" s="4">
        <f t="shared" ca="1" si="73"/>
        <v>4.2486988219073851E-4</v>
      </c>
      <c r="W214" s="13">
        <f t="shared" ca="1" si="74"/>
        <v>10897.684505639903</v>
      </c>
      <c r="X214" s="4">
        <f t="shared" ca="1" si="75"/>
        <v>3.1131385491785825E-3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1.5651999999999999E-2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2.164164592590008E-9</v>
      </c>
      <c r="L215" s="13">
        <f t="shared" ca="1" si="63"/>
        <v>200</v>
      </c>
      <c r="M215" s="7">
        <f t="shared" ca="1" si="64"/>
        <v>800</v>
      </c>
      <c r="N215" s="44">
        <f t="shared" ca="1" si="65"/>
        <v>9</v>
      </c>
      <c r="O215" s="94">
        <f t="shared" ca="1" si="66"/>
        <v>2.6080912058901573</v>
      </c>
      <c r="P215" s="94">
        <f t="shared" ca="1" si="67"/>
        <v>26.080912058901578</v>
      </c>
      <c r="Q215" s="94">
        <f t="shared" ca="1" si="68"/>
        <v>26.080912058901578</v>
      </c>
      <c r="R215" s="94">
        <f t="shared" ca="1" si="69"/>
        <v>2.6080912058901577</v>
      </c>
      <c r="S215" s="94">
        <f t="shared" ca="1" si="70"/>
        <v>2.6080912058901573</v>
      </c>
      <c r="T215" s="4">
        <f t="shared" ca="1" si="71"/>
        <v>5.6443386420328548E-9</v>
      </c>
      <c r="U215" s="46">
        <f t="shared" ca="1" si="72"/>
        <v>1470.2765406745989</v>
      </c>
      <c r="V215" s="4">
        <f t="shared" ca="1" si="73"/>
        <v>3.1819204306436897E-6</v>
      </c>
      <c r="W215" s="13">
        <f t="shared" ca="1" si="74"/>
        <v>8712.3125236836549</v>
      </c>
      <c r="X215" s="4">
        <f t="shared" ca="1" si="75"/>
        <v>1.8854878283334663E-5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1.5651999999999999E-2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8.7440993640000398E-12</v>
      </c>
      <c r="L216" s="13">
        <f t="shared" ca="1" si="63"/>
        <v>183</v>
      </c>
      <c r="M216" s="7">
        <f t="shared" ca="1" si="64"/>
        <v>817</v>
      </c>
      <c r="N216" s="44">
        <f t="shared" ca="1" si="65"/>
        <v>9</v>
      </c>
      <c r="O216" s="94">
        <f t="shared" ca="1" si="66"/>
        <v>2.6080912058901573</v>
      </c>
      <c r="P216" s="94">
        <f t="shared" ca="1" si="67"/>
        <v>26.080912058901578</v>
      </c>
      <c r="Q216" s="94">
        <f t="shared" ca="1" si="68"/>
        <v>26.080912058901578</v>
      </c>
      <c r="R216" s="94">
        <f t="shared" ca="1" si="69"/>
        <v>2.6080912058901577</v>
      </c>
      <c r="S216" s="94">
        <f t="shared" ca="1" si="70"/>
        <v>2.6080912058901573</v>
      </c>
      <c r="T216" s="4">
        <f t="shared" ca="1" si="71"/>
        <v>2.2805408654678221E-11</v>
      </c>
      <c r="U216" s="46">
        <f t="shared" ca="1" si="72"/>
        <v>1453.2765406745989</v>
      </c>
      <c r="V216" s="4">
        <f t="shared" ca="1" si="73"/>
        <v>1.2707594475028938E-8</v>
      </c>
      <c r="W216" s="13">
        <f t="shared" ca="1" si="74"/>
        <v>6526.9405417274047</v>
      </c>
      <c r="X216" s="4">
        <f t="shared" ca="1" si="75"/>
        <v>5.7072216639784677E-8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1.5651999999999999E-2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1.4720706000000081E-14</v>
      </c>
      <c r="L217" s="13">
        <f t="shared" ca="1" si="63"/>
        <v>166</v>
      </c>
      <c r="M217" s="7">
        <f t="shared" ca="1" si="64"/>
        <v>834</v>
      </c>
      <c r="N217" s="44">
        <f t="shared" ca="1" si="65"/>
        <v>9</v>
      </c>
      <c r="O217" s="94">
        <f t="shared" ca="1" si="66"/>
        <v>2.6080912058901573</v>
      </c>
      <c r="P217" s="94">
        <f t="shared" ca="1" si="67"/>
        <v>26.080912058901578</v>
      </c>
      <c r="Q217" s="94">
        <f t="shared" ca="1" si="68"/>
        <v>26.080912058901578</v>
      </c>
      <c r="R217" s="94">
        <f t="shared" ca="1" si="69"/>
        <v>2.6080912058901577</v>
      </c>
      <c r="S217" s="94">
        <f t="shared" ca="1" si="70"/>
        <v>2.6080912058901573</v>
      </c>
      <c r="T217" s="4">
        <f t="shared" ca="1" si="71"/>
        <v>3.8392943863094687E-14</v>
      </c>
      <c r="U217" s="46">
        <f t="shared" ca="1" si="72"/>
        <v>1436.2765406745989</v>
      </c>
      <c r="V217" s="4">
        <f t="shared" ca="1" si="73"/>
        <v>2.1143004689967928E-11</v>
      </c>
      <c r="W217" s="13">
        <f t="shared" ca="1" si="74"/>
        <v>4341.5685597711545</v>
      </c>
      <c r="X217" s="4">
        <f t="shared" ca="1" si="75"/>
        <v>6.3910954347234947E-11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1.5651999999999999E-2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202</v>
      </c>
      <c r="M218" s="7">
        <f t="shared" ca="1" si="64"/>
        <v>798</v>
      </c>
      <c r="N218" s="44">
        <f t="shared" ca="1" si="65"/>
        <v>9</v>
      </c>
      <c r="O218" s="94">
        <f t="shared" ca="1" si="66"/>
        <v>2.6080912058901573</v>
      </c>
      <c r="P218" s="94">
        <f t="shared" ca="1" si="67"/>
        <v>26.080912058901578</v>
      </c>
      <c r="Q218" s="94">
        <f t="shared" ca="1" si="68"/>
        <v>26.080912058901578</v>
      </c>
      <c r="R218" s="94">
        <f t="shared" ca="1" si="69"/>
        <v>2.6080912058901577</v>
      </c>
      <c r="S218" s="94">
        <f t="shared" ca="1" si="70"/>
        <v>2.6080912058901573</v>
      </c>
      <c r="T218" s="4">
        <f t="shared" ca="1" si="71"/>
        <v>0</v>
      </c>
      <c r="U218" s="46">
        <f t="shared" ca="1" si="72"/>
        <v>1472.2765406745989</v>
      </c>
      <c r="V218" s="4">
        <f t="shared" ca="1" si="73"/>
        <v>0</v>
      </c>
      <c r="W218" s="13">
        <f t="shared" ca="1" si="74"/>
        <v>17482.975855650002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1.5651999999999999E-2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1.399924493350324E-4</v>
      </c>
      <c r="L219" s="13">
        <f t="shared" ca="1" si="63"/>
        <v>185</v>
      </c>
      <c r="M219" s="7">
        <f t="shared" ca="1" si="64"/>
        <v>815</v>
      </c>
      <c r="N219" s="44">
        <f t="shared" ca="1" si="65"/>
        <v>9</v>
      </c>
      <c r="O219" s="94">
        <f t="shared" ca="1" si="66"/>
        <v>2.6080912058901573</v>
      </c>
      <c r="P219" s="94">
        <f t="shared" ca="1" si="67"/>
        <v>26.080912058901578</v>
      </c>
      <c r="Q219" s="94">
        <f t="shared" ca="1" si="68"/>
        <v>26.080912058901578</v>
      </c>
      <c r="R219" s="94">
        <f t="shared" ca="1" si="69"/>
        <v>2.6080912058901577</v>
      </c>
      <c r="S219" s="94">
        <f t="shared" ca="1" si="70"/>
        <v>2.6080912058901573</v>
      </c>
      <c r="T219" s="4">
        <f t="shared" ca="1" si="71"/>
        <v>3.6511307600172138E-4</v>
      </c>
      <c r="U219" s="46">
        <f t="shared" ca="1" si="72"/>
        <v>1455.2765406745989</v>
      </c>
      <c r="V219" s="4">
        <f t="shared" ca="1" si="73"/>
        <v>0.20372772738885001</v>
      </c>
      <c r="W219" s="13">
        <f t="shared" ca="1" si="74"/>
        <v>15297.60387369375</v>
      </c>
      <c r="X219" s="4">
        <f t="shared" ca="1" si="75"/>
        <v>2.1415490352354678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1.5651999999999999E-2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8.4843908687898497E-6</v>
      </c>
      <c r="L220" s="13">
        <f t="shared" ca="1" si="63"/>
        <v>168</v>
      </c>
      <c r="M220" s="7">
        <f t="shared" ca="1" si="64"/>
        <v>832</v>
      </c>
      <c r="N220" s="44">
        <f t="shared" ca="1" si="65"/>
        <v>9</v>
      </c>
      <c r="O220" s="94">
        <f t="shared" ca="1" si="66"/>
        <v>2.6080912058901573</v>
      </c>
      <c r="P220" s="94">
        <f t="shared" ca="1" si="67"/>
        <v>26.080912058901578</v>
      </c>
      <c r="Q220" s="94">
        <f t="shared" ca="1" si="68"/>
        <v>26.080912058901578</v>
      </c>
      <c r="R220" s="94">
        <f t="shared" ca="1" si="69"/>
        <v>2.6080912058901577</v>
      </c>
      <c r="S220" s="94">
        <f t="shared" ca="1" si="70"/>
        <v>2.6080912058901573</v>
      </c>
      <c r="T220" s="4">
        <f t="shared" ca="1" si="71"/>
        <v>2.2128065212225558E-5</v>
      </c>
      <c r="U220" s="46">
        <f t="shared" ca="1" si="72"/>
        <v>1438.2765406745989</v>
      </c>
      <c r="V220" s="4">
        <f t="shared" ca="1" si="73"/>
        <v>1.220290034849422E-2</v>
      </c>
      <c r="W220" s="13">
        <f t="shared" ca="1" si="74"/>
        <v>13112.231891737501</v>
      </c>
      <c r="X220" s="4">
        <f t="shared" ca="1" si="75"/>
        <v>0.11124930053171271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1.5651999999999999E-2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2.1425229466641057E-7</v>
      </c>
      <c r="L221" s="13">
        <f t="shared" ca="1" si="63"/>
        <v>151</v>
      </c>
      <c r="M221" s="7">
        <f t="shared" ca="1" si="64"/>
        <v>849</v>
      </c>
      <c r="N221" s="44">
        <f t="shared" ca="1" si="65"/>
        <v>9</v>
      </c>
      <c r="O221" s="94">
        <f t="shared" ca="1" si="66"/>
        <v>2.6080912058901573</v>
      </c>
      <c r="P221" s="94">
        <f t="shared" ca="1" si="67"/>
        <v>26.080912058901578</v>
      </c>
      <c r="Q221" s="94">
        <f t="shared" ca="1" si="68"/>
        <v>26.080912058901578</v>
      </c>
      <c r="R221" s="94">
        <f t="shared" ca="1" si="69"/>
        <v>2.6080912058901577</v>
      </c>
      <c r="S221" s="94">
        <f t="shared" ca="1" si="70"/>
        <v>2.6080912058901573</v>
      </c>
      <c r="T221" s="4">
        <f t="shared" ca="1" si="71"/>
        <v>5.5878952556125204E-7</v>
      </c>
      <c r="U221" s="46">
        <f t="shared" ca="1" si="72"/>
        <v>1421.2765406745989</v>
      </c>
      <c r="V221" s="4">
        <f t="shared" ca="1" si="73"/>
        <v>3.0451176019507083E-4</v>
      </c>
      <c r="W221" s="13">
        <f t="shared" ca="1" si="74"/>
        <v>10926.859909781251</v>
      </c>
      <c r="X221" s="4">
        <f t="shared" ca="1" si="75"/>
        <v>2.3411048091690409E-3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1.5651999999999999E-2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2.8855527901200095E-9</v>
      </c>
      <c r="L222" s="13">
        <f t="shared" ca="1" si="63"/>
        <v>134</v>
      </c>
      <c r="M222" s="7">
        <f t="shared" ca="1" si="64"/>
        <v>866</v>
      </c>
      <c r="N222" s="44">
        <f t="shared" ca="1" si="65"/>
        <v>10</v>
      </c>
      <c r="O222" s="94">
        <f t="shared" ca="1" si="66"/>
        <v>2.855590707781452</v>
      </c>
      <c r="P222" s="94">
        <f t="shared" ca="1" si="67"/>
        <v>26.328411560792873</v>
      </c>
      <c r="Q222" s="94">
        <f t="shared" ca="1" si="68"/>
        <v>26.080912058901578</v>
      </c>
      <c r="R222" s="94">
        <f t="shared" ca="1" si="69"/>
        <v>2.6204661809847223</v>
      </c>
      <c r="S222" s="94">
        <f t="shared" ca="1" si="70"/>
        <v>2.855590707781452</v>
      </c>
      <c r="T222" s="4">
        <f t="shared" ca="1" si="71"/>
        <v>8.2399577342795419E-9</v>
      </c>
      <c r="U222" s="46">
        <f t="shared" ca="1" si="72"/>
        <v>1502.276501057248</v>
      </c>
      <c r="V222" s="4">
        <f t="shared" ca="1" si="73"/>
        <v>4.3348981491574674E-6</v>
      </c>
      <c r="W222" s="13">
        <f t="shared" ca="1" si="74"/>
        <v>8741.487927825001</v>
      </c>
      <c r="X222" s="4">
        <f t="shared" ca="1" si="75"/>
        <v>2.522402487993581E-5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1.5651999999999999E-2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2.18602484100001E-11</v>
      </c>
      <c r="L223" s="13">
        <f t="shared" ca="1" si="63"/>
        <v>117</v>
      </c>
      <c r="M223" s="7">
        <f t="shared" ca="1" si="64"/>
        <v>883</v>
      </c>
      <c r="N223" s="44">
        <f t="shared" ca="1" si="65"/>
        <v>10</v>
      </c>
      <c r="O223" s="94">
        <f t="shared" ca="1" si="66"/>
        <v>2.855590707781452</v>
      </c>
      <c r="P223" s="94">
        <f t="shared" ca="1" si="67"/>
        <v>28.555907077814521</v>
      </c>
      <c r="Q223" s="94">
        <f t="shared" ca="1" si="68"/>
        <v>28.060908074031932</v>
      </c>
      <c r="R223" s="94">
        <f t="shared" ca="1" si="69"/>
        <v>2.8308407575923225</v>
      </c>
      <c r="S223" s="94">
        <f t="shared" ca="1" si="70"/>
        <v>2.855590707781452</v>
      </c>
      <c r="T223" s="4">
        <f t="shared" ca="1" si="71"/>
        <v>6.2423922229390553E-11</v>
      </c>
      <c r="U223" s="46">
        <f t="shared" ca="1" si="72"/>
        <v>1485.276501057248</v>
      </c>
      <c r="V223" s="4">
        <f t="shared" ca="1" si="73"/>
        <v>3.2468513270647215E-8</v>
      </c>
      <c r="W223" s="13">
        <f t="shared" ca="1" si="74"/>
        <v>6556.1159458687507</v>
      </c>
      <c r="X223" s="4">
        <f t="shared" ca="1" si="75"/>
        <v>1.4331832318145367E-7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1.5651999999999999E-2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8.8324236000000483E-14</v>
      </c>
      <c r="L224" s="13">
        <f t="shared" ca="1" si="63"/>
        <v>100</v>
      </c>
      <c r="M224" s="7">
        <f t="shared" ca="1" si="64"/>
        <v>900</v>
      </c>
      <c r="N224" s="44">
        <f t="shared" ca="1" si="65"/>
        <v>10</v>
      </c>
      <c r="O224" s="94">
        <f t="shared" ca="1" si="66"/>
        <v>2.855590707781452</v>
      </c>
      <c r="P224" s="94">
        <f t="shared" ca="1" si="67"/>
        <v>28.555907077814521</v>
      </c>
      <c r="Q224" s="94">
        <f t="shared" ca="1" si="68"/>
        <v>28.555907077814521</v>
      </c>
      <c r="R224" s="94">
        <f t="shared" ca="1" si="69"/>
        <v>2.855590707781452</v>
      </c>
      <c r="S224" s="94">
        <f t="shared" ca="1" si="70"/>
        <v>2.855590707781452</v>
      </c>
      <c r="T224" s="4">
        <f t="shared" ca="1" si="71"/>
        <v>2.5221786759349739E-13</v>
      </c>
      <c r="U224" s="46">
        <f t="shared" ca="1" si="72"/>
        <v>1468.276501057248</v>
      </c>
      <c r="V224" s="4">
        <f t="shared" ca="1" si="73"/>
        <v>1.2968440019263534E-10</v>
      </c>
      <c r="W224" s="13">
        <f t="shared" ca="1" si="74"/>
        <v>4370.7439639125005</v>
      </c>
      <c r="X224" s="4">
        <f t="shared" ca="1" si="75"/>
        <v>3.8604262136418526E-10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1.5651999999999999E-2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1.4869400000000094E-16</v>
      </c>
      <c r="L225" s="13">
        <f t="shared" ca="1" si="63"/>
        <v>100</v>
      </c>
      <c r="M225" s="7">
        <f t="shared" ca="1" si="64"/>
        <v>900</v>
      </c>
      <c r="N225" s="44">
        <f t="shared" ca="1" si="65"/>
        <v>10</v>
      </c>
      <c r="O225" s="94">
        <f t="shared" ca="1" si="66"/>
        <v>2.855590707781452</v>
      </c>
      <c r="P225" s="94">
        <f t="shared" ca="1" si="67"/>
        <v>28.555907077814521</v>
      </c>
      <c r="Q225" s="94">
        <f t="shared" ca="1" si="68"/>
        <v>28.555907077814521</v>
      </c>
      <c r="R225" s="94">
        <f t="shared" ca="1" si="69"/>
        <v>2.855590707781452</v>
      </c>
      <c r="S225" s="94">
        <f t="shared" ca="1" si="70"/>
        <v>2.855590707781452</v>
      </c>
      <c r="T225" s="4">
        <f t="shared" ca="1" si="71"/>
        <v>4.246092047028579E-16</v>
      </c>
      <c r="U225" s="46">
        <f t="shared" ca="1" si="72"/>
        <v>1468.276501057248</v>
      </c>
      <c r="V225" s="4">
        <f t="shared" ca="1" si="73"/>
        <v>2.183239060482078E-13</v>
      </c>
      <c r="W225" s="13">
        <f t="shared" ca="1" si="74"/>
        <v>2185.3719819562502</v>
      </c>
      <c r="X225" s="4">
        <f t="shared" ca="1" si="75"/>
        <v>3.2495170148500474E-13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1.5651999999999999E-2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202</v>
      </c>
      <c r="M226" s="7">
        <f t="shared" ca="1" si="64"/>
        <v>798</v>
      </c>
      <c r="N226" s="44">
        <f t="shared" ca="1" si="65"/>
        <v>9</v>
      </c>
      <c r="O226" s="94">
        <f t="shared" ca="1" si="66"/>
        <v>2.6080912058901573</v>
      </c>
      <c r="P226" s="94">
        <f t="shared" ca="1" si="67"/>
        <v>26.080912058901578</v>
      </c>
      <c r="Q226" s="94">
        <f t="shared" ca="1" si="68"/>
        <v>26.080912058901578</v>
      </c>
      <c r="R226" s="94">
        <f t="shared" ca="1" si="69"/>
        <v>2.6080912058901577</v>
      </c>
      <c r="S226" s="94">
        <f t="shared" ca="1" si="70"/>
        <v>2.6080912058901573</v>
      </c>
      <c r="T226" s="4">
        <f t="shared" ca="1" si="71"/>
        <v>0</v>
      </c>
      <c r="U226" s="46">
        <f t="shared" ca="1" si="72"/>
        <v>1472.2765406745989</v>
      </c>
      <c r="V226" s="4">
        <f t="shared" ca="1" si="73"/>
        <v>0</v>
      </c>
      <c r="W226" s="13">
        <f t="shared" ca="1" si="74"/>
        <v>17453.800451508654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1.5651999999999999E-2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7.2943434127201038E-4</v>
      </c>
      <c r="L227" s="13">
        <f t="shared" ca="1" si="63"/>
        <v>185</v>
      </c>
      <c r="M227" s="7">
        <f t="shared" ca="1" si="64"/>
        <v>815</v>
      </c>
      <c r="N227" s="44">
        <f t="shared" ca="1" si="65"/>
        <v>9</v>
      </c>
      <c r="O227" s="94">
        <f t="shared" ca="1" si="66"/>
        <v>2.6080912058901573</v>
      </c>
      <c r="P227" s="94">
        <f t="shared" ca="1" si="67"/>
        <v>26.080912058901578</v>
      </c>
      <c r="Q227" s="94">
        <f t="shared" ca="1" si="68"/>
        <v>26.080912058901578</v>
      </c>
      <c r="R227" s="94">
        <f t="shared" ca="1" si="69"/>
        <v>2.6080912058901577</v>
      </c>
      <c r="S227" s="94">
        <f t="shared" ca="1" si="70"/>
        <v>2.6080912058901573</v>
      </c>
      <c r="T227" s="4">
        <f t="shared" ca="1" si="71"/>
        <v>1.90243129074581E-3</v>
      </c>
      <c r="U227" s="46">
        <f t="shared" ca="1" si="72"/>
        <v>1455.2765406745989</v>
      </c>
      <c r="V227" s="4">
        <f t="shared" ca="1" si="73"/>
        <v>1.061528684815586</v>
      </c>
      <c r="W227" s="13">
        <f t="shared" ca="1" si="74"/>
        <v>15268.428469552404</v>
      </c>
      <c r="X227" s="4">
        <f t="shared" ca="1" si="75"/>
        <v>11.137316062946768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1.5651999999999999E-2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4.4208141895273384E-5</v>
      </c>
      <c r="L228" s="13">
        <f t="shared" ca="1" si="63"/>
        <v>168</v>
      </c>
      <c r="M228" s="7">
        <f t="shared" ca="1" si="64"/>
        <v>832</v>
      </c>
      <c r="N228" s="44">
        <f t="shared" ca="1" si="65"/>
        <v>9</v>
      </c>
      <c r="O228" s="94">
        <f t="shared" ca="1" si="66"/>
        <v>2.6080912058901573</v>
      </c>
      <c r="P228" s="94">
        <f t="shared" ca="1" si="67"/>
        <v>26.080912058901578</v>
      </c>
      <c r="Q228" s="94">
        <f t="shared" ca="1" si="68"/>
        <v>26.080912058901578</v>
      </c>
      <c r="R228" s="94">
        <f t="shared" ca="1" si="69"/>
        <v>2.6080912058901577</v>
      </c>
      <c r="S228" s="94">
        <f t="shared" ca="1" si="70"/>
        <v>2.6080912058901573</v>
      </c>
      <c r="T228" s="4">
        <f t="shared" ca="1" si="71"/>
        <v>1.1529886610580675E-4</v>
      </c>
      <c r="U228" s="46">
        <f t="shared" ca="1" si="72"/>
        <v>1438.2765406745989</v>
      </c>
      <c r="V228" s="4">
        <f t="shared" ca="1" si="73"/>
        <v>6.3583533394785605E-2</v>
      </c>
      <c r="W228" s="13">
        <f t="shared" ca="1" si="74"/>
        <v>13083.056487596155</v>
      </c>
      <c r="X228" s="4">
        <f t="shared" ca="1" si="75"/>
        <v>0.57837761762752782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1.5651999999999999E-2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1.1163672195776121E-6</v>
      </c>
      <c r="L229" s="13">
        <f t="shared" ca="1" si="63"/>
        <v>151</v>
      </c>
      <c r="M229" s="7">
        <f t="shared" ca="1" si="64"/>
        <v>849</v>
      </c>
      <c r="N229" s="44">
        <f t="shared" ca="1" si="65"/>
        <v>9</v>
      </c>
      <c r="O229" s="94">
        <f t="shared" ca="1" si="66"/>
        <v>2.6080912058901573</v>
      </c>
      <c r="P229" s="94">
        <f t="shared" ca="1" si="67"/>
        <v>26.080912058901578</v>
      </c>
      <c r="Q229" s="94">
        <f t="shared" ca="1" si="68"/>
        <v>26.080912058901578</v>
      </c>
      <c r="R229" s="94">
        <f t="shared" ca="1" si="69"/>
        <v>2.6080912058901577</v>
      </c>
      <c r="S229" s="94">
        <f t="shared" ca="1" si="70"/>
        <v>2.6080912058901573</v>
      </c>
      <c r="T229" s="4">
        <f t="shared" ca="1" si="71"/>
        <v>2.9115875279244166E-6</v>
      </c>
      <c r="U229" s="46">
        <f t="shared" ca="1" si="72"/>
        <v>1421.2765406745989</v>
      </c>
      <c r="V229" s="4">
        <f t="shared" ca="1" si="73"/>
        <v>1.5866665399637888E-3</v>
      </c>
      <c r="W229" s="13">
        <f t="shared" ca="1" si="74"/>
        <v>10897.684505639905</v>
      </c>
      <c r="X229" s="4">
        <f t="shared" ca="1" si="75"/>
        <v>1.2165817751395245E-2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1.5651999999999999E-2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1.5035248748520036E-8</v>
      </c>
      <c r="L230" s="13">
        <f t="shared" ca="1" si="63"/>
        <v>134</v>
      </c>
      <c r="M230" s="7">
        <f t="shared" ca="1" si="64"/>
        <v>866</v>
      </c>
      <c r="N230" s="44">
        <f t="shared" ca="1" si="65"/>
        <v>10</v>
      </c>
      <c r="O230" s="94">
        <f t="shared" ca="1" si="66"/>
        <v>2.855590707781452</v>
      </c>
      <c r="P230" s="94">
        <f t="shared" ca="1" si="67"/>
        <v>26.328411560792873</v>
      </c>
      <c r="Q230" s="94">
        <f t="shared" ca="1" si="68"/>
        <v>26.080912058901578</v>
      </c>
      <c r="R230" s="94">
        <f t="shared" ca="1" si="69"/>
        <v>2.6204661809847223</v>
      </c>
      <c r="S230" s="94">
        <f t="shared" ca="1" si="70"/>
        <v>2.855590707781452</v>
      </c>
      <c r="T230" s="4">
        <f t="shared" ca="1" si="71"/>
        <v>4.293451661545652E-8</v>
      </c>
      <c r="U230" s="46">
        <f t="shared" ca="1" si="72"/>
        <v>1502.276501057248</v>
      </c>
      <c r="V230" s="4">
        <f t="shared" ca="1" si="73"/>
        <v>2.2587100882452046E-5</v>
      </c>
      <c r="W230" s="13">
        <f t="shared" ca="1" si="74"/>
        <v>8712.3125236836531</v>
      </c>
      <c r="X230" s="4">
        <f t="shared" ca="1" si="75"/>
        <v>1.3099178596843008E-4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1.5651999999999999E-2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1.1390339961000043E-10</v>
      </c>
      <c r="L231" s="13">
        <f t="shared" ca="1" si="63"/>
        <v>117</v>
      </c>
      <c r="M231" s="7">
        <f t="shared" ca="1" si="64"/>
        <v>883</v>
      </c>
      <c r="N231" s="44">
        <f t="shared" ca="1" si="65"/>
        <v>10</v>
      </c>
      <c r="O231" s="94">
        <f t="shared" ca="1" si="66"/>
        <v>2.855590707781452</v>
      </c>
      <c r="P231" s="94">
        <f t="shared" ca="1" si="67"/>
        <v>28.555907077814521</v>
      </c>
      <c r="Q231" s="94">
        <f t="shared" ca="1" si="68"/>
        <v>28.060908074031932</v>
      </c>
      <c r="R231" s="94">
        <f t="shared" ca="1" si="69"/>
        <v>2.8308407575923225</v>
      </c>
      <c r="S231" s="94">
        <f t="shared" ca="1" si="70"/>
        <v>2.855590707781452</v>
      </c>
      <c r="T231" s="4">
        <f t="shared" ca="1" si="71"/>
        <v>3.2526148951103471E-10</v>
      </c>
      <c r="U231" s="46">
        <f t="shared" ca="1" si="72"/>
        <v>1485.276501057248</v>
      </c>
      <c r="V231" s="4">
        <f t="shared" ca="1" si="73"/>
        <v>1.6917804283126694E-7</v>
      </c>
      <c r="W231" s="13">
        <f t="shared" ca="1" si="74"/>
        <v>6526.9405417274047</v>
      </c>
      <c r="X231" s="4">
        <f t="shared" ca="1" si="75"/>
        <v>7.4344071675508926E-7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1.5651999999999999E-2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4.6021575600000203E-13</v>
      </c>
      <c r="L232" s="13">
        <f t="shared" ca="1" si="63"/>
        <v>100</v>
      </c>
      <c r="M232" s="7">
        <f t="shared" ca="1" si="64"/>
        <v>900</v>
      </c>
      <c r="N232" s="44">
        <f t="shared" ca="1" si="65"/>
        <v>10</v>
      </c>
      <c r="O232" s="94">
        <f t="shared" ca="1" si="66"/>
        <v>2.855590707781452</v>
      </c>
      <c r="P232" s="94">
        <f t="shared" ca="1" si="67"/>
        <v>28.555907077814521</v>
      </c>
      <c r="Q232" s="94">
        <f t="shared" ca="1" si="68"/>
        <v>28.555907077814521</v>
      </c>
      <c r="R232" s="94">
        <f t="shared" ca="1" si="69"/>
        <v>2.855590707781452</v>
      </c>
      <c r="S232" s="94">
        <f t="shared" ca="1" si="70"/>
        <v>2.855590707781452</v>
      </c>
      <c r="T232" s="4">
        <f t="shared" ca="1" si="71"/>
        <v>1.3141878364082218E-12</v>
      </c>
      <c r="U232" s="46">
        <f t="shared" ca="1" si="72"/>
        <v>1468.276501057248</v>
      </c>
      <c r="V232" s="4">
        <f t="shared" ca="1" si="73"/>
        <v>6.7572397995109912E-10</v>
      </c>
      <c r="W232" s="13">
        <f t="shared" ca="1" si="74"/>
        <v>4341.5685597711545</v>
      </c>
      <c r="X232" s="4">
        <f t="shared" ca="1" si="75"/>
        <v>1.998058256960922E-9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1.5651999999999999E-2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7.7477400000000418E-16</v>
      </c>
      <c r="L233" s="13">
        <f t="shared" ca="1" si="63"/>
        <v>100</v>
      </c>
      <c r="M233" s="7">
        <f t="shared" ca="1" si="64"/>
        <v>900</v>
      </c>
      <c r="N233" s="44">
        <f t="shared" ca="1" si="65"/>
        <v>10</v>
      </c>
      <c r="O233" s="94">
        <f t="shared" ca="1" si="66"/>
        <v>2.855590707781452</v>
      </c>
      <c r="P233" s="94">
        <f t="shared" ca="1" si="67"/>
        <v>28.555907077814521</v>
      </c>
      <c r="Q233" s="94">
        <f t="shared" ca="1" si="68"/>
        <v>28.555907077814521</v>
      </c>
      <c r="R233" s="94">
        <f t="shared" ca="1" si="69"/>
        <v>2.855590707781452</v>
      </c>
      <c r="S233" s="94">
        <f t="shared" ca="1" si="70"/>
        <v>2.855590707781452</v>
      </c>
      <c r="T233" s="4">
        <f t="shared" ca="1" si="71"/>
        <v>2.2124374350306786E-15</v>
      </c>
      <c r="U233" s="46">
        <f t="shared" ca="1" si="72"/>
        <v>1468.276501057248</v>
      </c>
      <c r="V233" s="4">
        <f t="shared" ca="1" si="73"/>
        <v>1.1375824578301344E-12</v>
      </c>
      <c r="W233" s="13">
        <f t="shared" ca="1" si="74"/>
        <v>2156.1965778149038</v>
      </c>
      <c r="X233" s="4">
        <f t="shared" ca="1" si="75"/>
        <v>1.6705650473799733E-12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1.5651999999999999E-2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119</v>
      </c>
      <c r="M234" s="7">
        <f t="shared" ca="1" si="64"/>
        <v>881</v>
      </c>
      <c r="N234" s="44">
        <f t="shared" ca="1" si="65"/>
        <v>10</v>
      </c>
      <c r="O234" s="94">
        <f t="shared" ca="1" si="66"/>
        <v>2.855590707781452</v>
      </c>
      <c r="P234" s="94">
        <f t="shared" ca="1" si="67"/>
        <v>28.555907077814521</v>
      </c>
      <c r="Q234" s="94">
        <f t="shared" ca="1" si="68"/>
        <v>27.565909070249344</v>
      </c>
      <c r="R234" s="94">
        <f t="shared" ca="1" si="69"/>
        <v>2.8060908074031934</v>
      </c>
      <c r="S234" s="94">
        <f t="shared" ca="1" si="70"/>
        <v>2.855590707781452</v>
      </c>
      <c r="T234" s="4">
        <f t="shared" ca="1" si="71"/>
        <v>0</v>
      </c>
      <c r="U234" s="46">
        <f t="shared" ca="1" si="72"/>
        <v>1487.276501057248</v>
      </c>
      <c r="V234" s="4">
        <f t="shared" ca="1" si="73"/>
        <v>0</v>
      </c>
      <c r="W234" s="13">
        <f t="shared" ca="1" si="74"/>
        <v>15297.60387369375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1.5651999999999999E-2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7.3680236492122319E-6</v>
      </c>
      <c r="L235" s="13">
        <f t="shared" ca="1" si="63"/>
        <v>102</v>
      </c>
      <c r="M235" s="7">
        <f t="shared" ca="1" si="64"/>
        <v>898</v>
      </c>
      <c r="N235" s="44">
        <f t="shared" ca="1" si="65"/>
        <v>10</v>
      </c>
      <c r="O235" s="94">
        <f t="shared" ca="1" si="66"/>
        <v>2.855590707781452</v>
      </c>
      <c r="P235" s="94">
        <f t="shared" ca="1" si="67"/>
        <v>28.555907077814521</v>
      </c>
      <c r="Q235" s="94">
        <f t="shared" ca="1" si="68"/>
        <v>28.555907077814521</v>
      </c>
      <c r="R235" s="94">
        <f t="shared" ca="1" si="69"/>
        <v>2.855590707781452</v>
      </c>
      <c r="S235" s="94">
        <f t="shared" ca="1" si="70"/>
        <v>2.855590707781452</v>
      </c>
      <c r="T235" s="4">
        <f t="shared" ca="1" si="71"/>
        <v>2.1040059867404435E-5</v>
      </c>
      <c r="U235" s="46">
        <f t="shared" ca="1" si="72"/>
        <v>1470.276501057248</v>
      </c>
      <c r="V235" s="4">
        <f t="shared" ca="1" si="73"/>
        <v>1.0833032030670816E-2</v>
      </c>
      <c r="W235" s="13">
        <f t="shared" ca="1" si="74"/>
        <v>13112.2318917375</v>
      </c>
      <c r="X235" s="4">
        <f t="shared" ca="1" si="75"/>
        <v>9.6611234672276738E-2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1.5651999999999999E-2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4.4654688783104469E-7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10</v>
      </c>
      <c r="O236" s="94">
        <f t="shared" ca="1" si="66"/>
        <v>2.855590707781452</v>
      </c>
      <c r="P236" s="94">
        <f t="shared" ca="1" si="67"/>
        <v>28.555907077814521</v>
      </c>
      <c r="Q236" s="94">
        <f t="shared" ca="1" si="68"/>
        <v>28.555907077814521</v>
      </c>
      <c r="R236" s="94">
        <f t="shared" ca="1" si="69"/>
        <v>2.855590707781452</v>
      </c>
      <c r="S236" s="94">
        <f t="shared" ca="1" si="70"/>
        <v>2.855590707781452</v>
      </c>
      <c r="T236" s="4">
        <f t="shared" ca="1" si="71"/>
        <v>1.2751551434790576E-6</v>
      </c>
      <c r="U236" s="46">
        <f t="shared" ca="1" si="72"/>
        <v>1468.276501057248</v>
      </c>
      <c r="V236" s="4">
        <f t="shared" ca="1" si="73"/>
        <v>6.5565430202256969E-4</v>
      </c>
      <c r="W236" s="13">
        <f t="shared" ca="1" si="74"/>
        <v>10926.859909781251</v>
      </c>
      <c r="X236" s="4">
        <f t="shared" ca="1" si="75"/>
        <v>4.8793552864786274E-3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1.5651999999999999E-2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1.1276436561390029E-8</v>
      </c>
      <c r="L237" s="13">
        <f t="shared" ca="1" si="63"/>
        <v>100</v>
      </c>
      <c r="M237" s="7">
        <f t="shared" ca="1" si="64"/>
        <v>900</v>
      </c>
      <c r="N237" s="44">
        <f t="shared" ca="1" si="65"/>
        <v>10</v>
      </c>
      <c r="O237" s="94">
        <f t="shared" ca="1" si="66"/>
        <v>2.855590707781452</v>
      </c>
      <c r="P237" s="94">
        <f t="shared" ca="1" si="67"/>
        <v>28.555907077814521</v>
      </c>
      <c r="Q237" s="94">
        <f t="shared" ca="1" si="68"/>
        <v>28.555907077814521</v>
      </c>
      <c r="R237" s="94">
        <f t="shared" ca="1" si="69"/>
        <v>2.855590707781452</v>
      </c>
      <c r="S237" s="94">
        <f t="shared" ca="1" si="70"/>
        <v>2.855590707781452</v>
      </c>
      <c r="T237" s="4">
        <f t="shared" ca="1" si="71"/>
        <v>3.2200887461592397E-8</v>
      </c>
      <c r="U237" s="46">
        <f t="shared" ca="1" si="72"/>
        <v>1468.276501057248</v>
      </c>
      <c r="V237" s="4">
        <f t="shared" ca="1" si="73"/>
        <v>1.6556926818751776E-5</v>
      </c>
      <c r="W237" s="13">
        <f t="shared" ca="1" si="74"/>
        <v>8741.487927825001</v>
      </c>
      <c r="X237" s="4">
        <f t="shared" ca="1" si="75"/>
        <v>9.8572834070275402E-5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1.5651999999999999E-2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1.5187119948000052E-10</v>
      </c>
      <c r="L238" s="13">
        <f t="shared" ca="1" si="63"/>
        <v>100</v>
      </c>
      <c r="M238" s="7">
        <f t="shared" ca="1" si="64"/>
        <v>900</v>
      </c>
      <c r="N238" s="44">
        <f t="shared" ca="1" si="65"/>
        <v>10</v>
      </c>
      <c r="O238" s="94">
        <f t="shared" ca="1" si="66"/>
        <v>2.855590707781452</v>
      </c>
      <c r="P238" s="94">
        <f t="shared" ca="1" si="67"/>
        <v>28.555907077814521</v>
      </c>
      <c r="Q238" s="94">
        <f t="shared" ca="1" si="68"/>
        <v>28.555907077814521</v>
      </c>
      <c r="R238" s="94">
        <f t="shared" ca="1" si="69"/>
        <v>2.855590707781452</v>
      </c>
      <c r="S238" s="94">
        <f t="shared" ca="1" si="70"/>
        <v>2.855590707781452</v>
      </c>
      <c r="T238" s="4">
        <f t="shared" ca="1" si="71"/>
        <v>4.3368198601471274E-10</v>
      </c>
      <c r="U238" s="46">
        <f t="shared" ca="1" si="72"/>
        <v>1468.276501057248</v>
      </c>
      <c r="V238" s="4">
        <f t="shared" ca="1" si="73"/>
        <v>2.2298891338386251E-7</v>
      </c>
      <c r="W238" s="13">
        <f t="shared" ca="1" si="74"/>
        <v>6556.1159458687498</v>
      </c>
      <c r="X238" s="4">
        <f t="shared" ca="1" si="75"/>
        <v>9.9568519262904512E-7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1.5651999999999999E-2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1.1505393900000053E-12</v>
      </c>
      <c r="L239" s="13">
        <f t="shared" ca="1" si="63"/>
        <v>100</v>
      </c>
      <c r="M239" s="7">
        <f t="shared" ca="1" si="64"/>
        <v>900</v>
      </c>
      <c r="N239" s="44">
        <f t="shared" ca="1" si="65"/>
        <v>10</v>
      </c>
      <c r="O239" s="94">
        <f t="shared" ca="1" si="66"/>
        <v>2.855590707781452</v>
      </c>
      <c r="P239" s="94">
        <f t="shared" ca="1" si="67"/>
        <v>28.555907077814521</v>
      </c>
      <c r="Q239" s="94">
        <f t="shared" ca="1" si="68"/>
        <v>28.555907077814521</v>
      </c>
      <c r="R239" s="94">
        <f t="shared" ca="1" si="69"/>
        <v>2.855590707781452</v>
      </c>
      <c r="S239" s="94">
        <f t="shared" ca="1" si="70"/>
        <v>2.855590707781452</v>
      </c>
      <c r="T239" s="4">
        <f t="shared" ca="1" si="71"/>
        <v>3.2854695910205549E-12</v>
      </c>
      <c r="U239" s="46">
        <f t="shared" ca="1" si="72"/>
        <v>1468.276501057248</v>
      </c>
      <c r="V239" s="4">
        <f t="shared" ca="1" si="73"/>
        <v>1.6893099498777481E-9</v>
      </c>
      <c r="W239" s="13">
        <f t="shared" ca="1" si="74"/>
        <v>4370.7439639125005</v>
      </c>
      <c r="X239" s="4">
        <f t="shared" ca="1" si="75"/>
        <v>5.0287130940860932E-9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1.5651999999999999E-2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4.6486440000000251E-15</v>
      </c>
      <c r="L240" s="13">
        <f t="shared" ca="1" si="63"/>
        <v>100</v>
      </c>
      <c r="M240" s="7">
        <f t="shared" ca="1" si="64"/>
        <v>900</v>
      </c>
      <c r="N240" s="44">
        <f t="shared" ca="1" si="65"/>
        <v>10</v>
      </c>
      <c r="O240" s="94">
        <f t="shared" ca="1" si="66"/>
        <v>2.855590707781452</v>
      </c>
      <c r="P240" s="94">
        <f t="shared" ca="1" si="67"/>
        <v>28.555907077814521</v>
      </c>
      <c r="Q240" s="94">
        <f t="shared" ca="1" si="68"/>
        <v>28.555907077814521</v>
      </c>
      <c r="R240" s="94">
        <f t="shared" ca="1" si="69"/>
        <v>2.855590707781452</v>
      </c>
      <c r="S240" s="94">
        <f t="shared" ca="1" si="70"/>
        <v>2.855590707781452</v>
      </c>
      <c r="T240" s="4">
        <f t="shared" ca="1" si="71"/>
        <v>1.3274624610184072E-14</v>
      </c>
      <c r="U240" s="46">
        <f t="shared" ca="1" si="72"/>
        <v>1468.276501057248</v>
      </c>
      <c r="V240" s="4">
        <f t="shared" ca="1" si="73"/>
        <v>6.8254947469808063E-12</v>
      </c>
      <c r="W240" s="13">
        <f t="shared" ca="1" si="74"/>
        <v>2185.3719819562502</v>
      </c>
      <c r="X240" s="4">
        <f t="shared" ca="1" si="75"/>
        <v>1.0159016351689086E-11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1.5651999999999999E-2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7.8260000000000491E-18</v>
      </c>
      <c r="L241" s="13">
        <f t="shared" ca="1" si="63"/>
        <v>100</v>
      </c>
      <c r="M241" s="7">
        <f t="shared" ca="1" si="64"/>
        <v>900</v>
      </c>
      <c r="N241" s="44">
        <f t="shared" ca="1" si="65"/>
        <v>10</v>
      </c>
      <c r="O241" s="94">
        <f t="shared" ca="1" si="66"/>
        <v>2.855590707781452</v>
      </c>
      <c r="P241" s="94">
        <f t="shared" ca="1" si="67"/>
        <v>28.555907077814521</v>
      </c>
      <c r="Q241" s="94">
        <f t="shared" ca="1" si="68"/>
        <v>28.555907077814521</v>
      </c>
      <c r="R241" s="94">
        <f t="shared" ca="1" si="69"/>
        <v>2.855590707781452</v>
      </c>
      <c r="S241" s="94">
        <f t="shared" ca="1" si="70"/>
        <v>2.855590707781452</v>
      </c>
      <c r="T241" s="4">
        <f t="shared" ca="1" si="71"/>
        <v>2.2347852879097783E-17</v>
      </c>
      <c r="U241" s="46">
        <f t="shared" ca="1" si="72"/>
        <v>1468.276501057248</v>
      </c>
      <c r="V241" s="4">
        <f t="shared" ca="1" si="73"/>
        <v>1.1490731897274095E-14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285</v>
      </c>
      <c r="M242" s="7">
        <f t="shared" ca="1" si="64"/>
        <v>715</v>
      </c>
      <c r="N242" s="44">
        <f t="shared" ca="1" si="65"/>
        <v>8</v>
      </c>
      <c r="O242" s="94">
        <f t="shared" ca="1" si="66"/>
        <v>2.3721134347108093</v>
      </c>
      <c r="P242" s="94">
        <f t="shared" ca="1" si="67"/>
        <v>23.721134347108087</v>
      </c>
      <c r="Q242" s="94">
        <f t="shared" ca="1" si="68"/>
        <v>23.721134347108087</v>
      </c>
      <c r="R242" s="94">
        <f t="shared" ca="1" si="69"/>
        <v>2.3721134347108088</v>
      </c>
      <c r="S242" s="94">
        <f t="shared" ca="1" si="70"/>
        <v>2.3721134347108093</v>
      </c>
      <c r="T242" s="4">
        <f t="shared" ca="1" si="71"/>
        <v>0</v>
      </c>
      <c r="U242" s="46">
        <f t="shared" ca="1" si="72"/>
        <v>1461.8387274667198</v>
      </c>
      <c r="V242" s="4">
        <f t="shared" ca="1" si="73"/>
        <v>0</v>
      </c>
      <c r="W242" s="13">
        <f t="shared" ca="1" si="74"/>
        <v>19639.172433464904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268</v>
      </c>
      <c r="M243" s="7">
        <f t="shared" ca="1" si="64"/>
        <v>732</v>
      </c>
      <c r="N243" s="44">
        <f t="shared" ca="1" si="65"/>
        <v>8</v>
      </c>
      <c r="O243" s="94">
        <f t="shared" ca="1" si="66"/>
        <v>2.3721134347108093</v>
      </c>
      <c r="P243" s="94">
        <f t="shared" ca="1" si="67"/>
        <v>23.721134347108087</v>
      </c>
      <c r="Q243" s="94">
        <f t="shared" ca="1" si="68"/>
        <v>23.721134347108087</v>
      </c>
      <c r="R243" s="94">
        <f t="shared" ca="1" si="69"/>
        <v>2.3721134347108088</v>
      </c>
      <c r="S243" s="94">
        <f t="shared" ca="1" si="70"/>
        <v>2.3721134347108093</v>
      </c>
      <c r="T243" s="4">
        <f t="shared" ca="1" si="71"/>
        <v>0</v>
      </c>
      <c r="U243" s="46">
        <f t="shared" ca="1" si="72"/>
        <v>1444.8387274667198</v>
      </c>
      <c r="V243" s="4">
        <f t="shared" ca="1" si="73"/>
        <v>0</v>
      </c>
      <c r="W243" s="13">
        <f t="shared" ca="1" si="74"/>
        <v>17453.800451508654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251</v>
      </c>
      <c r="M244" s="7">
        <f t="shared" ca="1" si="64"/>
        <v>749</v>
      </c>
      <c r="N244" s="44">
        <f t="shared" ca="1" si="65"/>
        <v>8</v>
      </c>
      <c r="O244" s="94">
        <f t="shared" ca="1" si="66"/>
        <v>2.3721134347108093</v>
      </c>
      <c r="P244" s="94">
        <f t="shared" ca="1" si="67"/>
        <v>23.721134347108087</v>
      </c>
      <c r="Q244" s="94">
        <f t="shared" ca="1" si="68"/>
        <v>23.721134347108087</v>
      </c>
      <c r="R244" s="94">
        <f t="shared" ca="1" si="69"/>
        <v>2.3721134347108088</v>
      </c>
      <c r="S244" s="94">
        <f t="shared" ca="1" si="70"/>
        <v>2.3721134347108093</v>
      </c>
      <c r="T244" s="4">
        <f t="shared" ca="1" si="71"/>
        <v>0</v>
      </c>
      <c r="U244" s="46">
        <f t="shared" ca="1" si="72"/>
        <v>1427.8387274667198</v>
      </c>
      <c r="V244" s="4">
        <f t="shared" ca="1" si="73"/>
        <v>0</v>
      </c>
      <c r="W244" s="13">
        <f t="shared" ca="1" si="74"/>
        <v>15268.428469552406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234</v>
      </c>
      <c r="M245" s="7">
        <f t="shared" ca="1" si="64"/>
        <v>766</v>
      </c>
      <c r="N245" s="44">
        <f t="shared" ca="1" si="65"/>
        <v>8</v>
      </c>
      <c r="O245" s="94">
        <f t="shared" ca="1" si="66"/>
        <v>2.3721134347108093</v>
      </c>
      <c r="P245" s="94">
        <f t="shared" ca="1" si="67"/>
        <v>23.721134347108087</v>
      </c>
      <c r="Q245" s="94">
        <f t="shared" ca="1" si="68"/>
        <v>23.721134347108087</v>
      </c>
      <c r="R245" s="94">
        <f t="shared" ca="1" si="69"/>
        <v>2.3721134347108088</v>
      </c>
      <c r="S245" s="94">
        <f t="shared" ca="1" si="70"/>
        <v>2.3721134347108093</v>
      </c>
      <c r="T245" s="4">
        <f t="shared" ca="1" si="71"/>
        <v>0</v>
      </c>
      <c r="U245" s="46">
        <f t="shared" ca="1" si="72"/>
        <v>1410.8387274667198</v>
      </c>
      <c r="V245" s="4">
        <f t="shared" ca="1" si="73"/>
        <v>0</v>
      </c>
      <c r="W245" s="13">
        <f t="shared" ca="1" si="74"/>
        <v>13083.056487596155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217</v>
      </c>
      <c r="M246" s="7">
        <f t="shared" ca="1" si="64"/>
        <v>783</v>
      </c>
      <c r="N246" s="44">
        <f t="shared" ca="1" si="65"/>
        <v>9</v>
      </c>
      <c r="O246" s="94">
        <f t="shared" ca="1" si="66"/>
        <v>2.6080912058901573</v>
      </c>
      <c r="P246" s="94">
        <f t="shared" ca="1" si="67"/>
        <v>26.080912058901578</v>
      </c>
      <c r="Q246" s="94">
        <f t="shared" ca="1" si="68"/>
        <v>24.665045431825479</v>
      </c>
      <c r="R246" s="94">
        <f t="shared" ca="1" si="69"/>
        <v>2.5372978745363528</v>
      </c>
      <c r="S246" s="94">
        <f t="shared" ca="1" si="70"/>
        <v>2.6080912058901573</v>
      </c>
      <c r="T246" s="4">
        <f t="shared" ca="1" si="71"/>
        <v>0</v>
      </c>
      <c r="U246" s="46">
        <f t="shared" ca="1" si="72"/>
        <v>1487.2765406745989</v>
      </c>
      <c r="V246" s="4">
        <f t="shared" ca="1" si="73"/>
        <v>0</v>
      </c>
      <c r="W246" s="13">
        <f t="shared" ca="1" si="74"/>
        <v>10897.684505639903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200</v>
      </c>
      <c r="M247" s="7">
        <f t="shared" ca="1" si="64"/>
        <v>800</v>
      </c>
      <c r="N247" s="44">
        <f t="shared" ca="1" si="65"/>
        <v>9</v>
      </c>
      <c r="O247" s="94">
        <f t="shared" ca="1" si="66"/>
        <v>2.6080912058901573</v>
      </c>
      <c r="P247" s="94">
        <f t="shared" ca="1" si="67"/>
        <v>26.080912058901578</v>
      </c>
      <c r="Q247" s="94">
        <f t="shared" ca="1" si="68"/>
        <v>26.080912058901578</v>
      </c>
      <c r="R247" s="94">
        <f t="shared" ca="1" si="69"/>
        <v>2.6080912058901577</v>
      </c>
      <c r="S247" s="94">
        <f t="shared" ca="1" si="70"/>
        <v>2.6080912058901573</v>
      </c>
      <c r="T247" s="4">
        <f t="shared" ca="1" si="71"/>
        <v>0</v>
      </c>
      <c r="U247" s="46">
        <f t="shared" ca="1" si="72"/>
        <v>1470.2765406745989</v>
      </c>
      <c r="V247" s="4">
        <f t="shared" ca="1" si="73"/>
        <v>0</v>
      </c>
      <c r="W247" s="13">
        <f t="shared" ca="1" si="74"/>
        <v>8712.3125236836549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183</v>
      </c>
      <c r="M248" s="7">
        <f t="shared" ca="1" si="64"/>
        <v>817</v>
      </c>
      <c r="N248" s="44">
        <f t="shared" ca="1" si="65"/>
        <v>9</v>
      </c>
      <c r="O248" s="94">
        <f t="shared" ca="1" si="66"/>
        <v>2.6080912058901573</v>
      </c>
      <c r="P248" s="94">
        <f t="shared" ca="1" si="67"/>
        <v>26.080912058901578</v>
      </c>
      <c r="Q248" s="94">
        <f t="shared" ca="1" si="68"/>
        <v>26.080912058901578</v>
      </c>
      <c r="R248" s="94">
        <f t="shared" ca="1" si="69"/>
        <v>2.6080912058901577</v>
      </c>
      <c r="S248" s="94">
        <f t="shared" ca="1" si="70"/>
        <v>2.6080912058901573</v>
      </c>
      <c r="T248" s="4">
        <f t="shared" ca="1" si="71"/>
        <v>0</v>
      </c>
      <c r="U248" s="46">
        <f t="shared" ca="1" si="72"/>
        <v>1453.2765406745989</v>
      </c>
      <c r="V248" s="4">
        <f t="shared" ca="1" si="73"/>
        <v>0</v>
      </c>
      <c r="W248" s="13">
        <f t="shared" ca="1" si="74"/>
        <v>6526.9405417274047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166</v>
      </c>
      <c r="M249" s="7">
        <f t="shared" ca="1" si="64"/>
        <v>834</v>
      </c>
      <c r="N249" s="44">
        <f t="shared" ca="1" si="65"/>
        <v>9</v>
      </c>
      <c r="O249" s="94">
        <f t="shared" ca="1" si="66"/>
        <v>2.6080912058901573</v>
      </c>
      <c r="P249" s="94">
        <f t="shared" ca="1" si="67"/>
        <v>26.080912058901578</v>
      </c>
      <c r="Q249" s="94">
        <f t="shared" ca="1" si="68"/>
        <v>26.080912058901578</v>
      </c>
      <c r="R249" s="94">
        <f t="shared" ca="1" si="69"/>
        <v>2.6080912058901577</v>
      </c>
      <c r="S249" s="94">
        <f t="shared" ca="1" si="70"/>
        <v>2.6080912058901573</v>
      </c>
      <c r="T249" s="4">
        <f t="shared" ca="1" si="71"/>
        <v>0</v>
      </c>
      <c r="U249" s="46">
        <f t="shared" ca="1" si="72"/>
        <v>1436.2765406745989</v>
      </c>
      <c r="V249" s="4">
        <f t="shared" ca="1" si="73"/>
        <v>0</v>
      </c>
      <c r="W249" s="13">
        <f t="shared" ca="1" si="74"/>
        <v>4341.5685597711545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202</v>
      </c>
      <c r="M250" s="7">
        <f t="shared" ca="1" si="64"/>
        <v>798</v>
      </c>
      <c r="N250" s="44">
        <f t="shared" ca="1" si="65"/>
        <v>9</v>
      </c>
      <c r="O250" s="94">
        <f t="shared" ca="1" si="66"/>
        <v>2.6080912058901573</v>
      </c>
      <c r="P250" s="94">
        <f t="shared" ca="1" si="67"/>
        <v>26.080912058901578</v>
      </c>
      <c r="Q250" s="94">
        <f t="shared" ca="1" si="68"/>
        <v>26.080912058901578</v>
      </c>
      <c r="R250" s="94">
        <f t="shared" ca="1" si="69"/>
        <v>2.6080912058901577</v>
      </c>
      <c r="S250" s="94">
        <f t="shared" ca="1" si="70"/>
        <v>2.6080912058901573</v>
      </c>
      <c r="T250" s="4">
        <f t="shared" ca="1" si="71"/>
        <v>0</v>
      </c>
      <c r="U250" s="46">
        <f t="shared" ca="1" si="72"/>
        <v>1472.2765406745989</v>
      </c>
      <c r="V250" s="4">
        <f t="shared" ca="1" si="73"/>
        <v>0</v>
      </c>
      <c r="W250" s="13">
        <f t="shared" ca="1" si="74"/>
        <v>17482.975855650002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185</v>
      </c>
      <c r="M251" s="7">
        <f t="shared" ca="1" si="64"/>
        <v>815</v>
      </c>
      <c r="N251" s="44">
        <f t="shared" ca="1" si="65"/>
        <v>9</v>
      </c>
      <c r="O251" s="94">
        <f t="shared" ca="1" si="66"/>
        <v>2.6080912058901573</v>
      </c>
      <c r="P251" s="94">
        <f t="shared" ca="1" si="67"/>
        <v>26.080912058901578</v>
      </c>
      <c r="Q251" s="94">
        <f t="shared" ca="1" si="68"/>
        <v>26.080912058901578</v>
      </c>
      <c r="R251" s="94">
        <f t="shared" ca="1" si="69"/>
        <v>2.6080912058901577</v>
      </c>
      <c r="S251" s="94">
        <f t="shared" ca="1" si="70"/>
        <v>2.6080912058901573</v>
      </c>
      <c r="T251" s="4">
        <f t="shared" ca="1" si="71"/>
        <v>0</v>
      </c>
      <c r="U251" s="46">
        <f t="shared" ca="1" si="72"/>
        <v>1455.2765406745989</v>
      </c>
      <c r="V251" s="4">
        <f t="shared" ca="1" si="73"/>
        <v>0</v>
      </c>
      <c r="W251" s="13">
        <f t="shared" ca="1" si="74"/>
        <v>15297.60387369375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168</v>
      </c>
      <c r="M252" s="7">
        <f t="shared" ca="1" si="64"/>
        <v>832</v>
      </c>
      <c r="N252" s="44">
        <f t="shared" ca="1" si="65"/>
        <v>9</v>
      </c>
      <c r="O252" s="94">
        <f t="shared" ca="1" si="66"/>
        <v>2.6080912058901573</v>
      </c>
      <c r="P252" s="94">
        <f t="shared" ca="1" si="67"/>
        <v>26.080912058901578</v>
      </c>
      <c r="Q252" s="94">
        <f t="shared" ca="1" si="68"/>
        <v>26.080912058901578</v>
      </c>
      <c r="R252" s="94">
        <f t="shared" ca="1" si="69"/>
        <v>2.6080912058901577</v>
      </c>
      <c r="S252" s="94">
        <f t="shared" ca="1" si="70"/>
        <v>2.6080912058901573</v>
      </c>
      <c r="T252" s="4">
        <f t="shared" ca="1" si="71"/>
        <v>0</v>
      </c>
      <c r="U252" s="46">
        <f t="shared" ca="1" si="72"/>
        <v>1438.2765406745989</v>
      </c>
      <c r="V252" s="4">
        <f t="shared" ca="1" si="73"/>
        <v>0</v>
      </c>
      <c r="W252" s="13">
        <f t="shared" ca="1" si="74"/>
        <v>13112.231891737501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151</v>
      </c>
      <c r="M253" s="7">
        <f t="shared" ca="1" si="64"/>
        <v>849</v>
      </c>
      <c r="N253" s="44">
        <f t="shared" ca="1" si="65"/>
        <v>9</v>
      </c>
      <c r="O253" s="94">
        <f t="shared" ca="1" si="66"/>
        <v>2.6080912058901573</v>
      </c>
      <c r="P253" s="94">
        <f t="shared" ca="1" si="67"/>
        <v>26.080912058901578</v>
      </c>
      <c r="Q253" s="94">
        <f t="shared" ca="1" si="68"/>
        <v>26.080912058901578</v>
      </c>
      <c r="R253" s="94">
        <f t="shared" ca="1" si="69"/>
        <v>2.6080912058901577</v>
      </c>
      <c r="S253" s="94">
        <f t="shared" ca="1" si="70"/>
        <v>2.6080912058901573</v>
      </c>
      <c r="T253" s="4">
        <f t="shared" ca="1" si="71"/>
        <v>0</v>
      </c>
      <c r="U253" s="46">
        <f t="shared" ca="1" si="72"/>
        <v>1421.2765406745989</v>
      </c>
      <c r="V253" s="4">
        <f t="shared" ca="1" si="73"/>
        <v>0</v>
      </c>
      <c r="W253" s="13">
        <f t="shared" ca="1" si="74"/>
        <v>10926.859909781251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134</v>
      </c>
      <c r="M254" s="7">
        <f t="shared" ca="1" si="64"/>
        <v>866</v>
      </c>
      <c r="N254" s="44">
        <f t="shared" ca="1" si="65"/>
        <v>10</v>
      </c>
      <c r="O254" s="94">
        <f t="shared" ca="1" si="66"/>
        <v>2.855590707781452</v>
      </c>
      <c r="P254" s="94">
        <f t="shared" ca="1" si="67"/>
        <v>26.328411560792873</v>
      </c>
      <c r="Q254" s="94">
        <f t="shared" ca="1" si="68"/>
        <v>26.080912058901578</v>
      </c>
      <c r="R254" s="94">
        <f t="shared" ca="1" si="69"/>
        <v>2.6204661809847223</v>
      </c>
      <c r="S254" s="94">
        <f t="shared" ca="1" si="70"/>
        <v>2.855590707781452</v>
      </c>
      <c r="T254" s="4">
        <f t="shared" ca="1" si="71"/>
        <v>0</v>
      </c>
      <c r="U254" s="46">
        <f t="shared" ca="1" si="72"/>
        <v>1502.276501057248</v>
      </c>
      <c r="V254" s="4">
        <f t="shared" ca="1" si="73"/>
        <v>0</v>
      </c>
      <c r="W254" s="13">
        <f t="shared" ca="1" si="74"/>
        <v>8741.487927825001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117</v>
      </c>
      <c r="M255" s="7">
        <f t="shared" ca="1" si="64"/>
        <v>883</v>
      </c>
      <c r="N255" s="44">
        <f t="shared" ca="1" si="65"/>
        <v>10</v>
      </c>
      <c r="O255" s="94">
        <f t="shared" ca="1" si="66"/>
        <v>2.855590707781452</v>
      </c>
      <c r="P255" s="94">
        <f t="shared" ca="1" si="67"/>
        <v>28.555907077814521</v>
      </c>
      <c r="Q255" s="94">
        <f t="shared" ca="1" si="68"/>
        <v>28.060908074031932</v>
      </c>
      <c r="R255" s="94">
        <f t="shared" ca="1" si="69"/>
        <v>2.8308407575923225</v>
      </c>
      <c r="S255" s="94">
        <f t="shared" ca="1" si="70"/>
        <v>2.855590707781452</v>
      </c>
      <c r="T255" s="4">
        <f t="shared" ca="1" si="71"/>
        <v>0</v>
      </c>
      <c r="U255" s="46">
        <f t="shared" ca="1" si="72"/>
        <v>1485.276501057248</v>
      </c>
      <c r="V255" s="4">
        <f t="shared" ca="1" si="73"/>
        <v>0</v>
      </c>
      <c r="W255" s="13">
        <f t="shared" ca="1" si="74"/>
        <v>6556.1159458687507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100</v>
      </c>
      <c r="M256" s="7">
        <f t="shared" ca="1" si="64"/>
        <v>900</v>
      </c>
      <c r="N256" s="44">
        <f t="shared" ca="1" si="65"/>
        <v>10</v>
      </c>
      <c r="O256" s="94">
        <f t="shared" ca="1" si="66"/>
        <v>2.855590707781452</v>
      </c>
      <c r="P256" s="94">
        <f t="shared" ca="1" si="67"/>
        <v>28.555907077814521</v>
      </c>
      <c r="Q256" s="94">
        <f t="shared" ca="1" si="68"/>
        <v>28.555907077814521</v>
      </c>
      <c r="R256" s="94">
        <f t="shared" ca="1" si="69"/>
        <v>2.855590707781452</v>
      </c>
      <c r="S256" s="94">
        <f t="shared" ca="1" si="70"/>
        <v>2.855590707781452</v>
      </c>
      <c r="T256" s="4">
        <f t="shared" ca="1" si="71"/>
        <v>0</v>
      </c>
      <c r="U256" s="46">
        <f t="shared" ca="1" si="72"/>
        <v>1468.276501057248</v>
      </c>
      <c r="V256" s="4">
        <f t="shared" ca="1" si="73"/>
        <v>0</v>
      </c>
      <c r="W256" s="13">
        <f t="shared" ca="1" si="74"/>
        <v>4370.7439639125005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100</v>
      </c>
      <c r="M257" s="7">
        <f t="shared" ca="1" si="64"/>
        <v>900</v>
      </c>
      <c r="N257" s="44">
        <f t="shared" ca="1" si="65"/>
        <v>10</v>
      </c>
      <c r="O257" s="94">
        <f t="shared" ca="1" si="66"/>
        <v>2.855590707781452</v>
      </c>
      <c r="P257" s="94">
        <f t="shared" ca="1" si="67"/>
        <v>28.555907077814521</v>
      </c>
      <c r="Q257" s="94">
        <f t="shared" ca="1" si="68"/>
        <v>28.555907077814521</v>
      </c>
      <c r="R257" s="94">
        <f t="shared" ca="1" si="69"/>
        <v>2.855590707781452</v>
      </c>
      <c r="S257" s="94">
        <f t="shared" ca="1" si="70"/>
        <v>2.855590707781452</v>
      </c>
      <c r="T257" s="4">
        <f t="shared" ca="1" si="71"/>
        <v>0</v>
      </c>
      <c r="U257" s="46">
        <f t="shared" ca="1" si="72"/>
        <v>1468.276501057248</v>
      </c>
      <c r="V257" s="4">
        <f t="shared" ca="1" si="73"/>
        <v>0</v>
      </c>
      <c r="W257" s="13">
        <f t="shared" ca="1" si="74"/>
        <v>2185.3719819562502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202</v>
      </c>
      <c r="M258" s="7">
        <f t="shared" ca="1" si="64"/>
        <v>798</v>
      </c>
      <c r="N258" s="44">
        <f t="shared" ca="1" si="65"/>
        <v>9</v>
      </c>
      <c r="O258" s="94">
        <f t="shared" ca="1" si="66"/>
        <v>2.6080912058901573</v>
      </c>
      <c r="P258" s="94">
        <f t="shared" ca="1" si="67"/>
        <v>26.080912058901578</v>
      </c>
      <c r="Q258" s="94">
        <f t="shared" ca="1" si="68"/>
        <v>26.080912058901578</v>
      </c>
      <c r="R258" s="94">
        <f t="shared" ca="1" si="69"/>
        <v>2.6080912058901577</v>
      </c>
      <c r="S258" s="94">
        <f t="shared" ca="1" si="70"/>
        <v>2.6080912058901573</v>
      </c>
      <c r="T258" s="4">
        <f t="shared" ca="1" si="71"/>
        <v>0</v>
      </c>
      <c r="U258" s="46">
        <f t="shared" ca="1" si="72"/>
        <v>1472.2765406745989</v>
      </c>
      <c r="V258" s="4">
        <f t="shared" ca="1" si="73"/>
        <v>0</v>
      </c>
      <c r="W258" s="13">
        <f t="shared" ca="1" si="74"/>
        <v>17453.800451508654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185</v>
      </c>
      <c r="M259" s="7">
        <f t="shared" ca="1" si="64"/>
        <v>815</v>
      </c>
      <c r="N259" s="44">
        <f t="shared" ca="1" si="65"/>
        <v>9</v>
      </c>
      <c r="O259" s="94">
        <f t="shared" ca="1" si="66"/>
        <v>2.6080912058901573</v>
      </c>
      <c r="P259" s="94">
        <f t="shared" ca="1" si="67"/>
        <v>26.080912058901578</v>
      </c>
      <c r="Q259" s="94">
        <f t="shared" ca="1" si="68"/>
        <v>26.080912058901578</v>
      </c>
      <c r="R259" s="94">
        <f t="shared" ca="1" si="69"/>
        <v>2.6080912058901577</v>
      </c>
      <c r="S259" s="94">
        <f t="shared" ca="1" si="70"/>
        <v>2.6080912058901573</v>
      </c>
      <c r="T259" s="4">
        <f t="shared" ca="1" si="71"/>
        <v>0</v>
      </c>
      <c r="U259" s="46">
        <f t="shared" ca="1" si="72"/>
        <v>1455.2765406745989</v>
      </c>
      <c r="V259" s="4">
        <f t="shared" ca="1" si="73"/>
        <v>0</v>
      </c>
      <c r="W259" s="13">
        <f t="shared" ca="1" si="74"/>
        <v>15268.428469552404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168</v>
      </c>
      <c r="M260" s="7">
        <f t="shared" ca="1" si="64"/>
        <v>832</v>
      </c>
      <c r="N260" s="44">
        <f t="shared" ca="1" si="65"/>
        <v>9</v>
      </c>
      <c r="O260" s="94">
        <f t="shared" ca="1" si="66"/>
        <v>2.6080912058901573</v>
      </c>
      <c r="P260" s="94">
        <f t="shared" ca="1" si="67"/>
        <v>26.080912058901578</v>
      </c>
      <c r="Q260" s="94">
        <f t="shared" ca="1" si="68"/>
        <v>26.080912058901578</v>
      </c>
      <c r="R260" s="94">
        <f t="shared" ca="1" si="69"/>
        <v>2.6080912058901577</v>
      </c>
      <c r="S260" s="94">
        <f t="shared" ca="1" si="70"/>
        <v>2.6080912058901573</v>
      </c>
      <c r="T260" s="4">
        <f t="shared" ca="1" si="71"/>
        <v>0</v>
      </c>
      <c r="U260" s="46">
        <f t="shared" ca="1" si="72"/>
        <v>1438.2765406745989</v>
      </c>
      <c r="V260" s="4">
        <f t="shared" ca="1" si="73"/>
        <v>0</v>
      </c>
      <c r="W260" s="13">
        <f t="shared" ca="1" si="74"/>
        <v>13083.056487596155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151</v>
      </c>
      <c r="M261" s="7">
        <f t="shared" ca="1" si="64"/>
        <v>849</v>
      </c>
      <c r="N261" s="44">
        <f t="shared" ca="1" si="65"/>
        <v>9</v>
      </c>
      <c r="O261" s="94">
        <f t="shared" ca="1" si="66"/>
        <v>2.6080912058901573</v>
      </c>
      <c r="P261" s="94">
        <f t="shared" ca="1" si="67"/>
        <v>26.080912058901578</v>
      </c>
      <c r="Q261" s="94">
        <f t="shared" ca="1" si="68"/>
        <v>26.080912058901578</v>
      </c>
      <c r="R261" s="94">
        <f t="shared" ca="1" si="69"/>
        <v>2.6080912058901577</v>
      </c>
      <c r="S261" s="94">
        <f t="shared" ca="1" si="70"/>
        <v>2.6080912058901573</v>
      </c>
      <c r="T261" s="4">
        <f t="shared" ca="1" si="71"/>
        <v>0</v>
      </c>
      <c r="U261" s="46">
        <f t="shared" ca="1" si="72"/>
        <v>1421.2765406745989</v>
      </c>
      <c r="V261" s="4">
        <f t="shared" ca="1" si="73"/>
        <v>0</v>
      </c>
      <c r="W261" s="13">
        <f t="shared" ca="1" si="74"/>
        <v>10897.684505639905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134</v>
      </c>
      <c r="M262" s="7">
        <f t="shared" ca="1" si="64"/>
        <v>866</v>
      </c>
      <c r="N262" s="44">
        <f t="shared" ca="1" si="65"/>
        <v>10</v>
      </c>
      <c r="O262" s="94">
        <f t="shared" ca="1" si="66"/>
        <v>2.855590707781452</v>
      </c>
      <c r="P262" s="94">
        <f t="shared" ca="1" si="67"/>
        <v>26.328411560792873</v>
      </c>
      <c r="Q262" s="94">
        <f t="shared" ca="1" si="68"/>
        <v>26.080912058901578</v>
      </c>
      <c r="R262" s="94">
        <f t="shared" ca="1" si="69"/>
        <v>2.6204661809847223</v>
      </c>
      <c r="S262" s="94">
        <f t="shared" ca="1" si="70"/>
        <v>2.855590707781452</v>
      </c>
      <c r="T262" s="4">
        <f t="shared" ca="1" si="71"/>
        <v>0</v>
      </c>
      <c r="U262" s="46">
        <f t="shared" ca="1" si="72"/>
        <v>1502.276501057248</v>
      </c>
      <c r="V262" s="4">
        <f t="shared" ca="1" si="73"/>
        <v>0</v>
      </c>
      <c r="W262" s="13">
        <f t="shared" ca="1" si="74"/>
        <v>8712.3125236836531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117</v>
      </c>
      <c r="M263" s="7">
        <f t="shared" ca="1" si="64"/>
        <v>883</v>
      </c>
      <c r="N263" s="44">
        <f t="shared" ca="1" si="65"/>
        <v>10</v>
      </c>
      <c r="O263" s="94">
        <f t="shared" ca="1" si="66"/>
        <v>2.855590707781452</v>
      </c>
      <c r="P263" s="94">
        <f t="shared" ca="1" si="67"/>
        <v>28.555907077814521</v>
      </c>
      <c r="Q263" s="94">
        <f t="shared" ca="1" si="68"/>
        <v>28.060908074031932</v>
      </c>
      <c r="R263" s="94">
        <f t="shared" ca="1" si="69"/>
        <v>2.8308407575923225</v>
      </c>
      <c r="S263" s="94">
        <f t="shared" ca="1" si="70"/>
        <v>2.855590707781452</v>
      </c>
      <c r="T263" s="4">
        <f t="shared" ca="1" si="71"/>
        <v>0</v>
      </c>
      <c r="U263" s="46">
        <f t="shared" ca="1" si="72"/>
        <v>1485.276501057248</v>
      </c>
      <c r="V263" s="4">
        <f t="shared" ca="1" si="73"/>
        <v>0</v>
      </c>
      <c r="W263" s="13">
        <f t="shared" ca="1" si="74"/>
        <v>6526.9405417274047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100</v>
      </c>
      <c r="M264" s="7">
        <f t="shared" ca="1" si="64"/>
        <v>900</v>
      </c>
      <c r="N264" s="44">
        <f t="shared" ca="1" si="65"/>
        <v>10</v>
      </c>
      <c r="O264" s="94">
        <f t="shared" ca="1" si="66"/>
        <v>2.855590707781452</v>
      </c>
      <c r="P264" s="94">
        <f t="shared" ca="1" si="67"/>
        <v>28.555907077814521</v>
      </c>
      <c r="Q264" s="94">
        <f t="shared" ca="1" si="68"/>
        <v>28.555907077814521</v>
      </c>
      <c r="R264" s="94">
        <f t="shared" ca="1" si="69"/>
        <v>2.855590707781452</v>
      </c>
      <c r="S264" s="94">
        <f t="shared" ca="1" si="70"/>
        <v>2.855590707781452</v>
      </c>
      <c r="T264" s="4">
        <f t="shared" ca="1" si="71"/>
        <v>0</v>
      </c>
      <c r="U264" s="46">
        <f t="shared" ca="1" si="72"/>
        <v>1468.276501057248</v>
      </c>
      <c r="V264" s="4">
        <f t="shared" ca="1" si="73"/>
        <v>0</v>
      </c>
      <c r="W264" s="13">
        <f t="shared" ca="1" si="74"/>
        <v>4341.5685597711545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100</v>
      </c>
      <c r="M265" s="7">
        <f t="shared" ca="1" si="64"/>
        <v>900</v>
      </c>
      <c r="N265" s="44">
        <f t="shared" ca="1" si="65"/>
        <v>10</v>
      </c>
      <c r="O265" s="94">
        <f t="shared" ca="1" si="66"/>
        <v>2.855590707781452</v>
      </c>
      <c r="P265" s="94">
        <f t="shared" ca="1" si="67"/>
        <v>28.555907077814521</v>
      </c>
      <c r="Q265" s="94">
        <f t="shared" ca="1" si="68"/>
        <v>28.555907077814521</v>
      </c>
      <c r="R265" s="94">
        <f t="shared" ca="1" si="69"/>
        <v>2.855590707781452</v>
      </c>
      <c r="S265" s="94">
        <f t="shared" ca="1" si="70"/>
        <v>2.855590707781452</v>
      </c>
      <c r="T265" s="4">
        <f t="shared" ca="1" si="71"/>
        <v>0</v>
      </c>
      <c r="U265" s="46">
        <f t="shared" ca="1" si="72"/>
        <v>1468.276501057248</v>
      </c>
      <c r="V265" s="4">
        <f t="shared" ca="1" si="73"/>
        <v>0</v>
      </c>
      <c r="W265" s="13">
        <f t="shared" ca="1" si="74"/>
        <v>2156.1965778149038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119</v>
      </c>
      <c r="M266" s="7">
        <f t="shared" ca="1" si="64"/>
        <v>881</v>
      </c>
      <c r="N266" s="44">
        <f t="shared" ca="1" si="65"/>
        <v>10</v>
      </c>
      <c r="O266" s="94">
        <f t="shared" ca="1" si="66"/>
        <v>2.855590707781452</v>
      </c>
      <c r="P266" s="94">
        <f t="shared" ca="1" si="67"/>
        <v>28.555907077814521</v>
      </c>
      <c r="Q266" s="94">
        <f t="shared" ca="1" si="68"/>
        <v>27.565909070249344</v>
      </c>
      <c r="R266" s="94">
        <f t="shared" ca="1" si="69"/>
        <v>2.8060908074031934</v>
      </c>
      <c r="S266" s="94">
        <f t="shared" ca="1" si="70"/>
        <v>2.855590707781452</v>
      </c>
      <c r="T266" s="4">
        <f t="shared" ca="1" si="71"/>
        <v>0</v>
      </c>
      <c r="U266" s="46">
        <f t="shared" ca="1" si="72"/>
        <v>1487.276501057248</v>
      </c>
      <c r="V266" s="4">
        <f t="shared" ca="1" si="73"/>
        <v>0</v>
      </c>
      <c r="W266" s="13">
        <f t="shared" ca="1" si="74"/>
        <v>15297.60387369375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102</v>
      </c>
      <c r="M267" s="7">
        <f t="shared" ca="1" si="64"/>
        <v>898</v>
      </c>
      <c r="N267" s="44">
        <f t="shared" ca="1" si="65"/>
        <v>10</v>
      </c>
      <c r="O267" s="94">
        <f t="shared" ca="1" si="66"/>
        <v>2.855590707781452</v>
      </c>
      <c r="P267" s="94">
        <f t="shared" ca="1" si="67"/>
        <v>28.555907077814521</v>
      </c>
      <c r="Q267" s="94">
        <f t="shared" ca="1" si="68"/>
        <v>28.555907077814521</v>
      </c>
      <c r="R267" s="94">
        <f t="shared" ca="1" si="69"/>
        <v>2.855590707781452</v>
      </c>
      <c r="S267" s="94">
        <f t="shared" ca="1" si="70"/>
        <v>2.855590707781452</v>
      </c>
      <c r="T267" s="4">
        <f t="shared" ca="1" si="71"/>
        <v>0</v>
      </c>
      <c r="U267" s="46">
        <f t="shared" ca="1" si="72"/>
        <v>1470.276501057248</v>
      </c>
      <c r="V267" s="4">
        <f t="shared" ca="1" si="73"/>
        <v>0</v>
      </c>
      <c r="W267" s="13">
        <f t="shared" ca="1" si="74"/>
        <v>13112.2318917375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10</v>
      </c>
      <c r="O268" s="94">
        <f t="shared" ca="1" si="66"/>
        <v>2.855590707781452</v>
      </c>
      <c r="P268" s="94">
        <f t="shared" ca="1" si="67"/>
        <v>28.555907077814521</v>
      </c>
      <c r="Q268" s="94">
        <f t="shared" ca="1" si="68"/>
        <v>28.555907077814521</v>
      </c>
      <c r="R268" s="94">
        <f t="shared" ca="1" si="69"/>
        <v>2.855590707781452</v>
      </c>
      <c r="S268" s="94">
        <f t="shared" ca="1" si="70"/>
        <v>2.855590707781452</v>
      </c>
      <c r="T268" s="4">
        <f t="shared" ca="1" si="71"/>
        <v>0</v>
      </c>
      <c r="U268" s="46">
        <f t="shared" ca="1" si="72"/>
        <v>1468.276501057248</v>
      </c>
      <c r="V268" s="4">
        <f t="shared" ca="1" si="73"/>
        <v>0</v>
      </c>
      <c r="W268" s="13">
        <f t="shared" ca="1" si="74"/>
        <v>10926.859909781251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100</v>
      </c>
      <c r="M269" s="7">
        <f t="shared" ca="1" si="64"/>
        <v>900</v>
      </c>
      <c r="N269" s="44">
        <f t="shared" ca="1" si="65"/>
        <v>10</v>
      </c>
      <c r="O269" s="94">
        <f t="shared" ca="1" si="66"/>
        <v>2.855590707781452</v>
      </c>
      <c r="P269" s="94">
        <f t="shared" ca="1" si="67"/>
        <v>28.555907077814521</v>
      </c>
      <c r="Q269" s="94">
        <f t="shared" ca="1" si="68"/>
        <v>28.555907077814521</v>
      </c>
      <c r="R269" s="94">
        <f t="shared" ca="1" si="69"/>
        <v>2.855590707781452</v>
      </c>
      <c r="S269" s="94">
        <f t="shared" ca="1" si="70"/>
        <v>2.855590707781452</v>
      </c>
      <c r="T269" s="4">
        <f t="shared" ca="1" si="71"/>
        <v>0</v>
      </c>
      <c r="U269" s="46">
        <f t="shared" ca="1" si="72"/>
        <v>1468.276501057248</v>
      </c>
      <c r="V269" s="4">
        <f t="shared" ca="1" si="73"/>
        <v>0</v>
      </c>
      <c r="W269" s="13">
        <f t="shared" ca="1" si="74"/>
        <v>8741.487927825001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100</v>
      </c>
      <c r="M270" s="7">
        <f t="shared" ca="1" si="64"/>
        <v>900</v>
      </c>
      <c r="N270" s="44">
        <f t="shared" ca="1" si="65"/>
        <v>10</v>
      </c>
      <c r="O270" s="94">
        <f t="shared" ca="1" si="66"/>
        <v>2.855590707781452</v>
      </c>
      <c r="P270" s="94">
        <f t="shared" ca="1" si="67"/>
        <v>28.555907077814521</v>
      </c>
      <c r="Q270" s="94">
        <f t="shared" ca="1" si="68"/>
        <v>28.555907077814521</v>
      </c>
      <c r="R270" s="94">
        <f t="shared" ca="1" si="69"/>
        <v>2.855590707781452</v>
      </c>
      <c r="S270" s="94">
        <f t="shared" ca="1" si="70"/>
        <v>2.855590707781452</v>
      </c>
      <c r="T270" s="4">
        <f t="shared" ca="1" si="71"/>
        <v>0</v>
      </c>
      <c r="U270" s="46">
        <f t="shared" ca="1" si="72"/>
        <v>1468.276501057248</v>
      </c>
      <c r="V270" s="4">
        <f t="shared" ca="1" si="73"/>
        <v>0</v>
      </c>
      <c r="W270" s="13">
        <f t="shared" ca="1" si="74"/>
        <v>6556.1159458687498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100</v>
      </c>
      <c r="M271" s="7">
        <f t="shared" ca="1" si="64"/>
        <v>900</v>
      </c>
      <c r="N271" s="44">
        <f t="shared" ca="1" si="65"/>
        <v>10</v>
      </c>
      <c r="O271" s="94">
        <f t="shared" ca="1" si="66"/>
        <v>2.855590707781452</v>
      </c>
      <c r="P271" s="94">
        <f t="shared" ca="1" si="67"/>
        <v>28.555907077814521</v>
      </c>
      <c r="Q271" s="94">
        <f t="shared" ca="1" si="68"/>
        <v>28.555907077814521</v>
      </c>
      <c r="R271" s="94">
        <f t="shared" ca="1" si="69"/>
        <v>2.855590707781452</v>
      </c>
      <c r="S271" s="94">
        <f t="shared" ca="1" si="70"/>
        <v>2.855590707781452</v>
      </c>
      <c r="T271" s="4">
        <f t="shared" ca="1" si="71"/>
        <v>0</v>
      </c>
      <c r="U271" s="46">
        <f t="shared" ca="1" si="72"/>
        <v>1468.276501057248</v>
      </c>
      <c r="V271" s="4">
        <f t="shared" ca="1" si="73"/>
        <v>0</v>
      </c>
      <c r="W271" s="13">
        <f t="shared" ca="1" si="74"/>
        <v>4370.7439639125005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100</v>
      </c>
      <c r="M272" s="7">
        <f t="shared" ca="1" si="64"/>
        <v>900</v>
      </c>
      <c r="N272" s="44">
        <f t="shared" ca="1" si="65"/>
        <v>10</v>
      </c>
      <c r="O272" s="94">
        <f t="shared" ca="1" si="66"/>
        <v>2.855590707781452</v>
      </c>
      <c r="P272" s="94">
        <f t="shared" ca="1" si="67"/>
        <v>28.555907077814521</v>
      </c>
      <c r="Q272" s="94">
        <f t="shared" ca="1" si="68"/>
        <v>28.555907077814521</v>
      </c>
      <c r="R272" s="94">
        <f t="shared" ca="1" si="69"/>
        <v>2.855590707781452</v>
      </c>
      <c r="S272" s="94">
        <f t="shared" ca="1" si="70"/>
        <v>2.855590707781452</v>
      </c>
      <c r="T272" s="4">
        <f t="shared" ca="1" si="71"/>
        <v>0</v>
      </c>
      <c r="U272" s="46">
        <f t="shared" ca="1" si="72"/>
        <v>1468.276501057248</v>
      </c>
      <c r="V272" s="4">
        <f t="shared" ca="1" si="73"/>
        <v>0</v>
      </c>
      <c r="W272" s="13">
        <f t="shared" ca="1" si="74"/>
        <v>2185.3719819562502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100</v>
      </c>
      <c r="M273" s="7">
        <f t="shared" ca="1" si="64"/>
        <v>900</v>
      </c>
      <c r="N273" s="44">
        <f t="shared" ca="1" si="65"/>
        <v>10</v>
      </c>
      <c r="O273" s="94">
        <f t="shared" ca="1" si="66"/>
        <v>2.855590707781452</v>
      </c>
      <c r="P273" s="94">
        <f t="shared" ca="1" si="67"/>
        <v>28.555907077814521</v>
      </c>
      <c r="Q273" s="94">
        <f t="shared" ca="1" si="68"/>
        <v>28.555907077814521</v>
      </c>
      <c r="R273" s="94">
        <f t="shared" ca="1" si="69"/>
        <v>2.855590707781452</v>
      </c>
      <c r="S273" s="94">
        <f t="shared" ca="1" si="70"/>
        <v>2.855590707781452</v>
      </c>
      <c r="T273" s="4">
        <f t="shared" ca="1" si="71"/>
        <v>0</v>
      </c>
      <c r="U273" s="46">
        <f t="shared" ca="1" si="72"/>
        <v>1468.276501057248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0.10474799999999998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285</v>
      </c>
      <c r="M274" s="7">
        <f t="shared" ref="M274:M337" ca="1" si="83">MAX(Set1MinTP-(L274+Set1Regain), 0)</f>
        <v>715</v>
      </c>
      <c r="N274" s="44">
        <f t="shared" ref="N274:N337" ca="1" si="84">CEILING(M274/Set1MeleeTP, 1)</f>
        <v>8</v>
      </c>
      <c r="O274" s="94">
        <f t="shared" ref="O274:O337" ca="1" si="85">VLOOKUP(N274,AvgRoundsSet1,2)</f>
        <v>2.3721134347108093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23.721134347108087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23.721134347108087</v>
      </c>
      <c r="R274" s="94">
        <f t="shared" ref="R274:R337" ca="1" si="88">(P274+Q274)/20</f>
        <v>2.3721134347108088</v>
      </c>
      <c r="S274" s="94">
        <f t="shared" ref="S274:S337" ca="1" si="89">R274*Set1ConserveTP + O274*(1-Set1ConserveTP)</f>
        <v>2.3721134347108093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1461.8387274667198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19639.172433464904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0.10474799999999998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9.2750382009433294E-2</v>
      </c>
      <c r="L275" s="13">
        <f t="shared" ca="1" si="82"/>
        <v>268</v>
      </c>
      <c r="M275" s="7">
        <f t="shared" ca="1" si="83"/>
        <v>732</v>
      </c>
      <c r="N275" s="44">
        <f t="shared" ca="1" si="84"/>
        <v>8</v>
      </c>
      <c r="O275" s="94">
        <f t="shared" ca="1" si="85"/>
        <v>2.3721134347108093</v>
      </c>
      <c r="P275" s="94">
        <f t="shared" ca="1" si="86"/>
        <v>23.721134347108087</v>
      </c>
      <c r="Q275" s="94">
        <f t="shared" ca="1" si="87"/>
        <v>23.721134347108087</v>
      </c>
      <c r="R275" s="94">
        <f t="shared" ca="1" si="88"/>
        <v>2.3721134347108088</v>
      </c>
      <c r="S275" s="94">
        <f t="shared" ca="1" si="89"/>
        <v>2.3721134347108093</v>
      </c>
      <c r="T275" s="4">
        <f t="shared" ca="1" si="90"/>
        <v>0.22001442723913647</v>
      </c>
      <c r="U275" s="46">
        <f t="shared" ca="1" si="91"/>
        <v>1444.8387274667198</v>
      </c>
      <c r="V275" s="4">
        <f t="shared" ca="1" si="92"/>
        <v>134.00934391456173</v>
      </c>
      <c r="W275" s="13">
        <f t="shared" ca="1" si="93"/>
        <v>17453.800451508654</v>
      </c>
      <c r="X275" s="4">
        <f t="shared" ca="1" si="94"/>
        <v>1618.8466593938469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0.10474799999999998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5.6212352732989924E-3</v>
      </c>
      <c r="L276" s="13">
        <f t="shared" ca="1" si="82"/>
        <v>251</v>
      </c>
      <c r="M276" s="7">
        <f t="shared" ca="1" si="83"/>
        <v>749</v>
      </c>
      <c r="N276" s="44">
        <f t="shared" ca="1" si="84"/>
        <v>8</v>
      </c>
      <c r="O276" s="94">
        <f t="shared" ca="1" si="85"/>
        <v>2.3721134347108093</v>
      </c>
      <c r="P276" s="94">
        <f t="shared" ca="1" si="86"/>
        <v>23.721134347108087</v>
      </c>
      <c r="Q276" s="94">
        <f t="shared" ca="1" si="87"/>
        <v>23.721134347108087</v>
      </c>
      <c r="R276" s="94">
        <f t="shared" ca="1" si="88"/>
        <v>2.3721134347108088</v>
      </c>
      <c r="S276" s="94">
        <f t="shared" ca="1" si="89"/>
        <v>2.3721134347108093</v>
      </c>
      <c r="T276" s="4">
        <f t="shared" ca="1" si="90"/>
        <v>1.3334207711462827E-2</v>
      </c>
      <c r="U276" s="46">
        <f t="shared" ca="1" si="91"/>
        <v>1427.8387274667198</v>
      </c>
      <c r="V276" s="4">
        <f t="shared" ca="1" si="92"/>
        <v>8.0262174194182716</v>
      </c>
      <c r="W276" s="13">
        <f t="shared" ca="1" si="93"/>
        <v>15268.428469552406</v>
      </c>
      <c r="X276" s="4">
        <f t="shared" ca="1" si="94"/>
        <v>85.827428680890534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0.10474799999999998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1.4195038568936863E-4</v>
      </c>
      <c r="L277" s="13">
        <f t="shared" ca="1" si="82"/>
        <v>234</v>
      </c>
      <c r="M277" s="7">
        <f t="shared" ca="1" si="83"/>
        <v>766</v>
      </c>
      <c r="N277" s="44">
        <f t="shared" ca="1" si="84"/>
        <v>8</v>
      </c>
      <c r="O277" s="94">
        <f t="shared" ca="1" si="85"/>
        <v>2.3721134347108093</v>
      </c>
      <c r="P277" s="94">
        <f t="shared" ca="1" si="86"/>
        <v>23.721134347108087</v>
      </c>
      <c r="Q277" s="94">
        <f t="shared" ca="1" si="87"/>
        <v>23.721134347108087</v>
      </c>
      <c r="R277" s="94">
        <f t="shared" ca="1" si="88"/>
        <v>2.3721134347108088</v>
      </c>
      <c r="S277" s="94">
        <f t="shared" ca="1" si="89"/>
        <v>2.3721134347108093</v>
      </c>
      <c r="T277" s="4">
        <f t="shared" ca="1" si="90"/>
        <v>3.3672241695613235E-4</v>
      </c>
      <c r="U277" s="46">
        <f t="shared" ca="1" si="91"/>
        <v>1410.8387274667198</v>
      </c>
      <c r="V277" s="4">
        <f t="shared" ca="1" si="92"/>
        <v>0.20026910150939892</v>
      </c>
      <c r="W277" s="13">
        <f t="shared" ca="1" si="93"/>
        <v>13083.056487596155</v>
      </c>
      <c r="X277" s="4">
        <f t="shared" ca="1" si="94"/>
        <v>1.8571449144100707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0.10474799999999998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1.9117897062541245E-6</v>
      </c>
      <c r="L278" s="13">
        <f t="shared" ca="1" si="82"/>
        <v>217</v>
      </c>
      <c r="M278" s="7">
        <f t="shared" ca="1" si="83"/>
        <v>783</v>
      </c>
      <c r="N278" s="44">
        <f t="shared" ca="1" si="84"/>
        <v>9</v>
      </c>
      <c r="O278" s="94">
        <f t="shared" ca="1" si="85"/>
        <v>2.6080912058901573</v>
      </c>
      <c r="P278" s="94">
        <f t="shared" ca="1" si="86"/>
        <v>26.080912058901578</v>
      </c>
      <c r="Q278" s="94">
        <f t="shared" ca="1" si="87"/>
        <v>24.665045431825479</v>
      </c>
      <c r="R278" s="94">
        <f t="shared" ca="1" si="88"/>
        <v>2.5372978745363528</v>
      </c>
      <c r="S278" s="94">
        <f t="shared" ca="1" si="89"/>
        <v>2.6080912058901573</v>
      </c>
      <c r="T278" s="4">
        <f t="shared" ca="1" si="90"/>
        <v>4.9861219203927094E-6</v>
      </c>
      <c r="U278" s="46">
        <f t="shared" ca="1" si="91"/>
        <v>1487.2765406745989</v>
      </c>
      <c r="V278" s="4">
        <f t="shared" ca="1" si="92"/>
        <v>2.843359980814942E-3</v>
      </c>
      <c r="W278" s="13">
        <f t="shared" ca="1" si="93"/>
        <v>10897.684505639903</v>
      </c>
      <c r="X278" s="4">
        <f t="shared" ca="1" si="94"/>
        <v>2.0834081059887436E-2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0.10474799999999998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1.4483255350410051E-8</v>
      </c>
      <c r="L279" s="13">
        <f t="shared" ca="1" si="82"/>
        <v>200</v>
      </c>
      <c r="M279" s="7">
        <f t="shared" ca="1" si="83"/>
        <v>800</v>
      </c>
      <c r="N279" s="44">
        <f t="shared" ca="1" si="84"/>
        <v>9</v>
      </c>
      <c r="O279" s="94">
        <f t="shared" ca="1" si="85"/>
        <v>2.6080912058901573</v>
      </c>
      <c r="P279" s="94">
        <f t="shared" ca="1" si="86"/>
        <v>26.080912058901578</v>
      </c>
      <c r="Q279" s="94">
        <f t="shared" ca="1" si="87"/>
        <v>26.080912058901578</v>
      </c>
      <c r="R279" s="94">
        <f t="shared" ca="1" si="88"/>
        <v>2.6080912058901577</v>
      </c>
      <c r="S279" s="94">
        <f t="shared" ca="1" si="89"/>
        <v>2.6080912058901573</v>
      </c>
      <c r="T279" s="4">
        <f t="shared" ca="1" si="90"/>
        <v>3.7773650912066025E-8</v>
      </c>
      <c r="U279" s="46">
        <f t="shared" ca="1" si="91"/>
        <v>1470.2765406745989</v>
      </c>
      <c r="V279" s="4">
        <f t="shared" ca="1" si="92"/>
        <v>2.1294390574307766E-5</v>
      </c>
      <c r="W279" s="13">
        <f t="shared" ca="1" si="93"/>
        <v>8712.3125236836549</v>
      </c>
      <c r="X279" s="4">
        <f t="shared" ca="1" si="94"/>
        <v>1.261826469730858E-4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0.10474799999999998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5.8518203436000256E-11</v>
      </c>
      <c r="L280" s="13">
        <f t="shared" ca="1" si="82"/>
        <v>183</v>
      </c>
      <c r="M280" s="7">
        <f t="shared" ca="1" si="83"/>
        <v>817</v>
      </c>
      <c r="N280" s="44">
        <f t="shared" ca="1" si="84"/>
        <v>9</v>
      </c>
      <c r="O280" s="94">
        <f t="shared" ca="1" si="85"/>
        <v>2.6080912058901573</v>
      </c>
      <c r="P280" s="94">
        <f t="shared" ca="1" si="86"/>
        <v>26.080912058901578</v>
      </c>
      <c r="Q280" s="94">
        <f t="shared" ca="1" si="87"/>
        <v>26.080912058901578</v>
      </c>
      <c r="R280" s="94">
        <f t="shared" ca="1" si="88"/>
        <v>2.6080912058901577</v>
      </c>
      <c r="S280" s="94">
        <f t="shared" ca="1" si="89"/>
        <v>2.6080912058901573</v>
      </c>
      <c r="T280" s="4">
        <f t="shared" ca="1" si="90"/>
        <v>1.5262081176592346E-10</v>
      </c>
      <c r="U280" s="46">
        <f t="shared" ca="1" si="91"/>
        <v>1453.2765406745989</v>
      </c>
      <c r="V280" s="4">
        <f t="shared" ca="1" si="92"/>
        <v>8.504313225596288E-8</v>
      </c>
      <c r="W280" s="13">
        <f t="shared" ca="1" si="93"/>
        <v>6526.9405417274047</v>
      </c>
      <c r="X280" s="4">
        <f t="shared" ca="1" si="94"/>
        <v>3.8194483443548198E-7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0.10474799999999998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9.8515494000000514E-14</v>
      </c>
      <c r="L281" s="13">
        <f t="shared" ca="1" si="82"/>
        <v>166</v>
      </c>
      <c r="M281" s="7">
        <f t="shared" ca="1" si="83"/>
        <v>834</v>
      </c>
      <c r="N281" s="44">
        <f t="shared" ca="1" si="84"/>
        <v>9</v>
      </c>
      <c r="O281" s="94">
        <f t="shared" ca="1" si="85"/>
        <v>2.6080912058901573</v>
      </c>
      <c r="P281" s="94">
        <f t="shared" ca="1" si="86"/>
        <v>26.080912058901578</v>
      </c>
      <c r="Q281" s="94">
        <f t="shared" ca="1" si="87"/>
        <v>26.080912058901578</v>
      </c>
      <c r="R281" s="94">
        <f t="shared" ca="1" si="88"/>
        <v>2.6080912058901577</v>
      </c>
      <c r="S281" s="94">
        <f t="shared" ca="1" si="89"/>
        <v>2.6080912058901573</v>
      </c>
      <c r="T281" s="4">
        <f t="shared" ca="1" si="90"/>
        <v>2.5693739354532588E-13</v>
      </c>
      <c r="U281" s="46">
        <f t="shared" ca="1" si="91"/>
        <v>1436.2765406745989</v>
      </c>
      <c r="V281" s="4">
        <f t="shared" ca="1" si="92"/>
        <v>1.4149549292516994E-10</v>
      </c>
      <c r="W281" s="13">
        <f t="shared" ca="1" si="93"/>
        <v>4341.5685597711545</v>
      </c>
      <c r="X281" s="4">
        <f t="shared" ca="1" si="94"/>
        <v>4.2771177140072603E-10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0.10474799999999998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202</v>
      </c>
      <c r="M282" s="7">
        <f t="shared" ca="1" si="83"/>
        <v>798</v>
      </c>
      <c r="N282" s="44">
        <f t="shared" ca="1" si="84"/>
        <v>9</v>
      </c>
      <c r="O282" s="94">
        <f t="shared" ca="1" si="85"/>
        <v>2.6080912058901573</v>
      </c>
      <c r="P282" s="94">
        <f t="shared" ca="1" si="86"/>
        <v>26.080912058901578</v>
      </c>
      <c r="Q282" s="94">
        <f t="shared" ca="1" si="87"/>
        <v>26.080912058901578</v>
      </c>
      <c r="R282" s="94">
        <f t="shared" ca="1" si="88"/>
        <v>2.6080912058901577</v>
      </c>
      <c r="S282" s="94">
        <f t="shared" ca="1" si="89"/>
        <v>2.6080912058901573</v>
      </c>
      <c r="T282" s="4">
        <f t="shared" ca="1" si="90"/>
        <v>0</v>
      </c>
      <c r="U282" s="46">
        <f t="shared" ca="1" si="91"/>
        <v>1472.2765406745989</v>
      </c>
      <c r="V282" s="4">
        <f t="shared" ca="1" si="92"/>
        <v>0</v>
      </c>
      <c r="W282" s="13">
        <f t="shared" ca="1" si="93"/>
        <v>17482.975855650002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0.10474799999999998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9.3687254554983203E-4</v>
      </c>
      <c r="L283" s="13">
        <f t="shared" ca="1" si="82"/>
        <v>185</v>
      </c>
      <c r="M283" s="7">
        <f t="shared" ca="1" si="83"/>
        <v>815</v>
      </c>
      <c r="N283" s="44">
        <f t="shared" ca="1" si="84"/>
        <v>9</v>
      </c>
      <c r="O283" s="94">
        <f t="shared" ca="1" si="85"/>
        <v>2.6080912058901573</v>
      </c>
      <c r="P283" s="94">
        <f t="shared" ca="1" si="86"/>
        <v>26.080912058901578</v>
      </c>
      <c r="Q283" s="94">
        <f t="shared" ca="1" si="87"/>
        <v>26.080912058901578</v>
      </c>
      <c r="R283" s="94">
        <f t="shared" ca="1" si="88"/>
        <v>2.6080912058901577</v>
      </c>
      <c r="S283" s="94">
        <f t="shared" ca="1" si="89"/>
        <v>2.6080912058901573</v>
      </c>
      <c r="T283" s="4">
        <f t="shared" ca="1" si="90"/>
        <v>2.4434490470884428E-3</v>
      </c>
      <c r="U283" s="46">
        <f t="shared" ca="1" si="91"/>
        <v>1455.2765406745989</v>
      </c>
      <c r="V283" s="4">
        <f t="shared" ca="1" si="92"/>
        <v>1.3634086371407652</v>
      </c>
      <c r="W283" s="13">
        <f t="shared" ca="1" si="93"/>
        <v>15297.60387369375</v>
      </c>
      <c r="X283" s="4">
        <f t="shared" ca="1" si="94"/>
        <v>14.331905081960434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0.10474799999999998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5.6780154275747446E-5</v>
      </c>
      <c r="L284" s="13">
        <f t="shared" ca="1" si="82"/>
        <v>168</v>
      </c>
      <c r="M284" s="7">
        <f t="shared" ca="1" si="83"/>
        <v>832</v>
      </c>
      <c r="N284" s="44">
        <f t="shared" ca="1" si="84"/>
        <v>9</v>
      </c>
      <c r="O284" s="94">
        <f t="shared" ca="1" si="85"/>
        <v>2.6080912058901573</v>
      </c>
      <c r="P284" s="94">
        <f t="shared" ca="1" si="86"/>
        <v>26.080912058901578</v>
      </c>
      <c r="Q284" s="94">
        <f t="shared" ca="1" si="87"/>
        <v>26.080912058901578</v>
      </c>
      <c r="R284" s="94">
        <f t="shared" ca="1" si="88"/>
        <v>2.6080912058901577</v>
      </c>
      <c r="S284" s="94">
        <f t="shared" ca="1" si="89"/>
        <v>2.6080912058901573</v>
      </c>
      <c r="T284" s="4">
        <f t="shared" ca="1" si="90"/>
        <v>1.4808782103566332E-4</v>
      </c>
      <c r="U284" s="46">
        <f t="shared" ca="1" si="91"/>
        <v>1438.2765406745989</v>
      </c>
      <c r="V284" s="4">
        <f t="shared" ca="1" si="92"/>
        <v>8.1665563870692071E-2</v>
      </c>
      <c r="W284" s="13">
        <f t="shared" ca="1" si="93"/>
        <v>13112.231891737501</v>
      </c>
      <c r="X284" s="4">
        <f t="shared" ca="1" si="94"/>
        <v>0.74451454971223108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0.10474799999999998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1.4338422796905937E-6</v>
      </c>
      <c r="L285" s="13">
        <f t="shared" ca="1" si="82"/>
        <v>151</v>
      </c>
      <c r="M285" s="7">
        <f t="shared" ca="1" si="83"/>
        <v>849</v>
      </c>
      <c r="N285" s="44">
        <f t="shared" ca="1" si="84"/>
        <v>9</v>
      </c>
      <c r="O285" s="94">
        <f t="shared" ca="1" si="85"/>
        <v>2.6080912058901573</v>
      </c>
      <c r="P285" s="94">
        <f t="shared" ca="1" si="86"/>
        <v>26.080912058901578</v>
      </c>
      <c r="Q285" s="94">
        <f t="shared" ca="1" si="87"/>
        <v>26.080912058901578</v>
      </c>
      <c r="R285" s="94">
        <f t="shared" ca="1" si="88"/>
        <v>2.6080912058901577</v>
      </c>
      <c r="S285" s="94">
        <f t="shared" ca="1" si="89"/>
        <v>2.6080912058901573</v>
      </c>
      <c r="T285" s="4">
        <f t="shared" ca="1" si="90"/>
        <v>3.7395914402945329E-6</v>
      </c>
      <c r="U285" s="46">
        <f t="shared" ca="1" si="91"/>
        <v>1421.2765406745989</v>
      </c>
      <c r="V285" s="4">
        <f t="shared" ca="1" si="92"/>
        <v>2.0378863951516276E-3</v>
      </c>
      <c r="W285" s="13">
        <f t="shared" ca="1" si="93"/>
        <v>10926.859909781251</v>
      </c>
      <c r="X285" s="4">
        <f t="shared" ca="1" si="94"/>
        <v>1.5667393722900505E-2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0.10474799999999998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1.9311007133880061E-8</v>
      </c>
      <c r="L286" s="13">
        <f t="shared" ca="1" si="82"/>
        <v>134</v>
      </c>
      <c r="M286" s="7">
        <f t="shared" ca="1" si="83"/>
        <v>866</v>
      </c>
      <c r="N286" s="44">
        <f t="shared" ca="1" si="84"/>
        <v>10</v>
      </c>
      <c r="O286" s="94">
        <f t="shared" ca="1" si="85"/>
        <v>2.855590707781452</v>
      </c>
      <c r="P286" s="94">
        <f t="shared" ca="1" si="86"/>
        <v>26.328411560792873</v>
      </c>
      <c r="Q286" s="94">
        <f t="shared" ca="1" si="87"/>
        <v>26.080912058901578</v>
      </c>
      <c r="R286" s="94">
        <f t="shared" ca="1" si="88"/>
        <v>2.6204661809847223</v>
      </c>
      <c r="S286" s="94">
        <f t="shared" ca="1" si="89"/>
        <v>2.855590707781452</v>
      </c>
      <c r="T286" s="4">
        <f t="shared" ca="1" si="90"/>
        <v>5.5144332529409231E-8</v>
      </c>
      <c r="U286" s="46">
        <f t="shared" ca="1" si="91"/>
        <v>1502.276501057248</v>
      </c>
      <c r="V286" s="4">
        <f t="shared" ca="1" si="92"/>
        <v>2.9010472228976892E-5</v>
      </c>
      <c r="W286" s="13">
        <f t="shared" ca="1" si="93"/>
        <v>8741.487927825001</v>
      </c>
      <c r="X286" s="4">
        <f t="shared" ca="1" si="94"/>
        <v>1.6880693573495504E-4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0.10474799999999998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1.4629550859000065E-10</v>
      </c>
      <c r="L287" s="13">
        <f t="shared" ca="1" si="82"/>
        <v>117</v>
      </c>
      <c r="M287" s="7">
        <f t="shared" ca="1" si="83"/>
        <v>883</v>
      </c>
      <c r="N287" s="44">
        <f t="shared" ca="1" si="84"/>
        <v>10</v>
      </c>
      <c r="O287" s="94">
        <f t="shared" ca="1" si="85"/>
        <v>2.855590707781452</v>
      </c>
      <c r="P287" s="94">
        <f t="shared" ca="1" si="86"/>
        <v>28.555907077814521</v>
      </c>
      <c r="Q287" s="94">
        <f t="shared" ca="1" si="87"/>
        <v>28.060908074031932</v>
      </c>
      <c r="R287" s="94">
        <f t="shared" ca="1" si="88"/>
        <v>2.8308407575923225</v>
      </c>
      <c r="S287" s="94">
        <f t="shared" ca="1" si="89"/>
        <v>2.855590707781452</v>
      </c>
      <c r="T287" s="4">
        <f t="shared" ca="1" si="90"/>
        <v>4.1776009491976743E-10</v>
      </c>
      <c r="U287" s="46">
        <f t="shared" ca="1" si="91"/>
        <v>1485.276501057248</v>
      </c>
      <c r="V287" s="4">
        <f t="shared" ca="1" si="92"/>
        <v>2.1728928111894674E-7</v>
      </c>
      <c r="W287" s="13">
        <f t="shared" ca="1" si="93"/>
        <v>6556.1159458687507</v>
      </c>
      <c r="X287" s="4">
        <f t="shared" ca="1" si="94"/>
        <v>9.5913031667588202E-7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0.10474799999999998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5.9109296400000314E-13</v>
      </c>
      <c r="L288" s="13">
        <f t="shared" ca="1" si="82"/>
        <v>100</v>
      </c>
      <c r="M288" s="7">
        <f t="shared" ca="1" si="83"/>
        <v>900</v>
      </c>
      <c r="N288" s="44">
        <f t="shared" ca="1" si="84"/>
        <v>10</v>
      </c>
      <c r="O288" s="94">
        <f t="shared" ca="1" si="85"/>
        <v>2.855590707781452</v>
      </c>
      <c r="P288" s="94">
        <f t="shared" ca="1" si="86"/>
        <v>28.555907077814521</v>
      </c>
      <c r="Q288" s="94">
        <f t="shared" ca="1" si="87"/>
        <v>28.555907077814521</v>
      </c>
      <c r="R288" s="94">
        <f t="shared" ca="1" si="88"/>
        <v>2.855590707781452</v>
      </c>
      <c r="S288" s="94">
        <f t="shared" ca="1" si="89"/>
        <v>2.855590707781452</v>
      </c>
      <c r="T288" s="4">
        <f t="shared" ca="1" si="90"/>
        <v>1.6879195754334052E-12</v>
      </c>
      <c r="U288" s="46">
        <f t="shared" ca="1" si="91"/>
        <v>1468.276501057248</v>
      </c>
      <c r="V288" s="4">
        <f t="shared" ca="1" si="92"/>
        <v>8.6788790898148247E-10</v>
      </c>
      <c r="W288" s="13">
        <f t="shared" ca="1" si="93"/>
        <v>4370.7439639125005</v>
      </c>
      <c r="X288" s="4">
        <f t="shared" ca="1" si="94"/>
        <v>2.5835160045141626E-9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0.10474799999999998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9.9510600000000616E-16</v>
      </c>
      <c r="L289" s="13">
        <f t="shared" ca="1" si="82"/>
        <v>100</v>
      </c>
      <c r="M289" s="7">
        <f t="shared" ca="1" si="83"/>
        <v>900</v>
      </c>
      <c r="N289" s="44">
        <f t="shared" ca="1" si="84"/>
        <v>10</v>
      </c>
      <c r="O289" s="94">
        <f t="shared" ca="1" si="85"/>
        <v>2.855590707781452</v>
      </c>
      <c r="P289" s="94">
        <f t="shared" ca="1" si="86"/>
        <v>28.555907077814521</v>
      </c>
      <c r="Q289" s="94">
        <f t="shared" ca="1" si="87"/>
        <v>28.555907077814521</v>
      </c>
      <c r="R289" s="94">
        <f t="shared" ca="1" si="88"/>
        <v>2.855590707781452</v>
      </c>
      <c r="S289" s="94">
        <f t="shared" ca="1" si="89"/>
        <v>2.855590707781452</v>
      </c>
      <c r="T289" s="4">
        <f t="shared" ca="1" si="90"/>
        <v>2.841615446857587E-15</v>
      </c>
      <c r="U289" s="46">
        <f t="shared" ca="1" si="91"/>
        <v>1468.276501057248</v>
      </c>
      <c r="V289" s="4">
        <f t="shared" ca="1" si="92"/>
        <v>1.4610907558610828E-12</v>
      </c>
      <c r="W289" s="13">
        <f t="shared" ca="1" si="93"/>
        <v>2185.3719819562502</v>
      </c>
      <c r="X289" s="4">
        <f t="shared" ca="1" si="94"/>
        <v>2.17467677147657E-12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0.10474799999999998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202</v>
      </c>
      <c r="M290" s="7">
        <f t="shared" ca="1" si="83"/>
        <v>798</v>
      </c>
      <c r="N290" s="44">
        <f t="shared" ca="1" si="84"/>
        <v>9</v>
      </c>
      <c r="O290" s="94">
        <f t="shared" ca="1" si="85"/>
        <v>2.6080912058901573</v>
      </c>
      <c r="P290" s="94">
        <f t="shared" ca="1" si="86"/>
        <v>26.080912058901578</v>
      </c>
      <c r="Q290" s="94">
        <f t="shared" ca="1" si="87"/>
        <v>26.080912058901578</v>
      </c>
      <c r="R290" s="94">
        <f t="shared" ca="1" si="88"/>
        <v>2.6080912058901577</v>
      </c>
      <c r="S290" s="94">
        <f t="shared" ca="1" si="89"/>
        <v>2.6080912058901573</v>
      </c>
      <c r="T290" s="4">
        <f t="shared" ca="1" si="90"/>
        <v>0</v>
      </c>
      <c r="U290" s="46">
        <f t="shared" ca="1" si="91"/>
        <v>1472.2765406745989</v>
      </c>
      <c r="V290" s="4">
        <f t="shared" ca="1" si="92"/>
        <v>0</v>
      </c>
      <c r="W290" s="13">
        <f t="shared" ca="1" si="93"/>
        <v>17453.800451508654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0.10474799999999998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4.8815990531280683E-3</v>
      </c>
      <c r="L291" s="13">
        <f t="shared" ca="1" si="82"/>
        <v>185</v>
      </c>
      <c r="M291" s="7">
        <f t="shared" ca="1" si="83"/>
        <v>815</v>
      </c>
      <c r="N291" s="44">
        <f t="shared" ca="1" si="84"/>
        <v>9</v>
      </c>
      <c r="O291" s="94">
        <f t="shared" ca="1" si="85"/>
        <v>2.6080912058901573</v>
      </c>
      <c r="P291" s="94">
        <f t="shared" ca="1" si="86"/>
        <v>26.080912058901578</v>
      </c>
      <c r="Q291" s="94">
        <f t="shared" ca="1" si="87"/>
        <v>26.080912058901578</v>
      </c>
      <c r="R291" s="94">
        <f t="shared" ca="1" si="88"/>
        <v>2.6080912058901577</v>
      </c>
      <c r="S291" s="94">
        <f t="shared" ca="1" si="89"/>
        <v>2.6080912058901573</v>
      </c>
      <c r="T291" s="4">
        <f t="shared" ca="1" si="90"/>
        <v>1.2731655561145033E-2</v>
      </c>
      <c r="U291" s="46">
        <f t="shared" ca="1" si="91"/>
        <v>1455.2765406745989</v>
      </c>
      <c r="V291" s="4">
        <f t="shared" ca="1" si="92"/>
        <v>7.1040765829966128</v>
      </c>
      <c r="W291" s="13">
        <f t="shared" ca="1" si="93"/>
        <v>15268.428469552404</v>
      </c>
      <c r="X291" s="4">
        <f t="shared" ca="1" si="94"/>
        <v>74.534345959720653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0.10474799999999998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2.9585448806836802E-4</v>
      </c>
      <c r="L292" s="13">
        <f t="shared" ca="1" si="82"/>
        <v>168</v>
      </c>
      <c r="M292" s="7">
        <f t="shared" ca="1" si="83"/>
        <v>832</v>
      </c>
      <c r="N292" s="44">
        <f t="shared" ca="1" si="84"/>
        <v>9</v>
      </c>
      <c r="O292" s="94">
        <f t="shared" ca="1" si="85"/>
        <v>2.6080912058901573</v>
      </c>
      <c r="P292" s="94">
        <f t="shared" ca="1" si="86"/>
        <v>26.080912058901578</v>
      </c>
      <c r="Q292" s="94">
        <f t="shared" ca="1" si="87"/>
        <v>26.080912058901578</v>
      </c>
      <c r="R292" s="94">
        <f t="shared" ca="1" si="88"/>
        <v>2.6080912058901577</v>
      </c>
      <c r="S292" s="94">
        <f t="shared" ca="1" si="89"/>
        <v>2.6080912058901573</v>
      </c>
      <c r="T292" s="4">
        <f t="shared" ca="1" si="90"/>
        <v>7.7161548855424515E-4</v>
      </c>
      <c r="U292" s="46">
        <f t="shared" ca="1" si="91"/>
        <v>1438.2765406745989</v>
      </c>
      <c r="V292" s="4">
        <f t="shared" ca="1" si="92"/>
        <v>0.42552056964202672</v>
      </c>
      <c r="W292" s="13">
        <f t="shared" ca="1" si="93"/>
        <v>13083.056487596155</v>
      </c>
      <c r="X292" s="4">
        <f t="shared" ca="1" si="94"/>
        <v>3.8706809795073016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0.10474799999999998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7.4710729310194035E-6</v>
      </c>
      <c r="L293" s="13">
        <f t="shared" ca="1" si="82"/>
        <v>151</v>
      </c>
      <c r="M293" s="7">
        <f t="shared" ca="1" si="83"/>
        <v>849</v>
      </c>
      <c r="N293" s="44">
        <f t="shared" ca="1" si="84"/>
        <v>9</v>
      </c>
      <c r="O293" s="94">
        <f t="shared" ca="1" si="85"/>
        <v>2.6080912058901573</v>
      </c>
      <c r="P293" s="94">
        <f t="shared" ca="1" si="86"/>
        <v>26.080912058901578</v>
      </c>
      <c r="Q293" s="94">
        <f t="shared" ca="1" si="87"/>
        <v>26.080912058901578</v>
      </c>
      <c r="R293" s="94">
        <f t="shared" ca="1" si="88"/>
        <v>2.6080912058901577</v>
      </c>
      <c r="S293" s="94">
        <f t="shared" ca="1" si="89"/>
        <v>2.6080912058901573</v>
      </c>
      <c r="T293" s="4">
        <f t="shared" ca="1" si="90"/>
        <v>1.9485239609955708E-5</v>
      </c>
      <c r="U293" s="46">
        <f t="shared" ca="1" si="91"/>
        <v>1421.2765406745989</v>
      </c>
      <c r="V293" s="4">
        <f t="shared" ca="1" si="92"/>
        <v>1.0618460690526894E-2</v>
      </c>
      <c r="W293" s="13">
        <f t="shared" ca="1" si="93"/>
        <v>10897.684505639905</v>
      </c>
      <c r="X293" s="4">
        <f t="shared" ca="1" si="94"/>
        <v>8.1417395720875863E-2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0.10474799999999998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1.0062051085548023E-7</v>
      </c>
      <c r="L294" s="13">
        <f t="shared" ca="1" si="82"/>
        <v>134</v>
      </c>
      <c r="M294" s="7">
        <f t="shared" ca="1" si="83"/>
        <v>866</v>
      </c>
      <c r="N294" s="44">
        <f t="shared" ca="1" si="84"/>
        <v>10</v>
      </c>
      <c r="O294" s="94">
        <f t="shared" ca="1" si="85"/>
        <v>2.855590707781452</v>
      </c>
      <c r="P294" s="94">
        <f t="shared" ca="1" si="86"/>
        <v>26.328411560792873</v>
      </c>
      <c r="Q294" s="94">
        <f t="shared" ca="1" si="87"/>
        <v>26.080912058901578</v>
      </c>
      <c r="R294" s="94">
        <f t="shared" ca="1" si="88"/>
        <v>2.6204661809847223</v>
      </c>
      <c r="S294" s="94">
        <f t="shared" ca="1" si="89"/>
        <v>2.855590707781452</v>
      </c>
      <c r="T294" s="4">
        <f t="shared" ca="1" si="90"/>
        <v>2.8733099581113207E-7</v>
      </c>
      <c r="U294" s="46">
        <f t="shared" ca="1" si="91"/>
        <v>1502.276501057248</v>
      </c>
      <c r="V294" s="4">
        <f t="shared" ca="1" si="92"/>
        <v>1.5115982898256369E-4</v>
      </c>
      <c r="W294" s="13">
        <f t="shared" ca="1" si="93"/>
        <v>8712.3125236836531</v>
      </c>
      <c r="X294" s="4">
        <f t="shared" ca="1" si="94"/>
        <v>8.7663733686564735E-4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0.10474799999999998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7.6227659739000283E-10</v>
      </c>
      <c r="L295" s="13">
        <f t="shared" ca="1" si="82"/>
        <v>117</v>
      </c>
      <c r="M295" s="7">
        <f t="shared" ca="1" si="83"/>
        <v>883</v>
      </c>
      <c r="N295" s="44">
        <f t="shared" ca="1" si="84"/>
        <v>10</v>
      </c>
      <c r="O295" s="94">
        <f t="shared" ca="1" si="85"/>
        <v>2.855590707781452</v>
      </c>
      <c r="P295" s="94">
        <f t="shared" ca="1" si="86"/>
        <v>28.555907077814521</v>
      </c>
      <c r="Q295" s="94">
        <f t="shared" ca="1" si="87"/>
        <v>28.060908074031932</v>
      </c>
      <c r="R295" s="94">
        <f t="shared" ca="1" si="88"/>
        <v>2.8308407575923225</v>
      </c>
      <c r="S295" s="94">
        <f t="shared" ca="1" si="89"/>
        <v>2.855590707781452</v>
      </c>
      <c r="T295" s="4">
        <f t="shared" ca="1" si="90"/>
        <v>2.176749968266155E-9</v>
      </c>
      <c r="U295" s="46">
        <f t="shared" ca="1" si="91"/>
        <v>1485.276501057248</v>
      </c>
      <c r="V295" s="4">
        <f t="shared" ca="1" si="92"/>
        <v>1.132191517409248E-6</v>
      </c>
      <c r="W295" s="13">
        <f t="shared" ca="1" si="93"/>
        <v>6526.9405417274047</v>
      </c>
      <c r="X295" s="4">
        <f t="shared" ca="1" si="94"/>
        <v>4.9753340275148278E-6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0.10474799999999998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3.0799054440000133E-12</v>
      </c>
      <c r="L296" s="13">
        <f t="shared" ca="1" si="82"/>
        <v>100</v>
      </c>
      <c r="M296" s="7">
        <f t="shared" ca="1" si="83"/>
        <v>900</v>
      </c>
      <c r="N296" s="44">
        <f t="shared" ca="1" si="84"/>
        <v>10</v>
      </c>
      <c r="O296" s="94">
        <f t="shared" ca="1" si="85"/>
        <v>2.855590707781452</v>
      </c>
      <c r="P296" s="94">
        <f t="shared" ca="1" si="86"/>
        <v>28.555907077814521</v>
      </c>
      <c r="Q296" s="94">
        <f t="shared" ca="1" si="87"/>
        <v>28.555907077814521</v>
      </c>
      <c r="R296" s="94">
        <f t="shared" ca="1" si="88"/>
        <v>2.855590707781452</v>
      </c>
      <c r="S296" s="94">
        <f t="shared" ca="1" si="89"/>
        <v>2.855590707781452</v>
      </c>
      <c r="T296" s="4">
        <f t="shared" ca="1" si="90"/>
        <v>8.7949493667319447E-12</v>
      </c>
      <c r="U296" s="46">
        <f t="shared" ca="1" si="91"/>
        <v>1468.276501057248</v>
      </c>
      <c r="V296" s="4">
        <f t="shared" ca="1" si="92"/>
        <v>4.5221527889035092E-9</v>
      </c>
      <c r="W296" s="13">
        <f t="shared" ca="1" si="93"/>
        <v>4341.5685597711545</v>
      </c>
      <c r="X296" s="4">
        <f t="shared" ca="1" si="94"/>
        <v>1.3371620642738475E-8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0.10474799999999998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5.1850260000000273E-15</v>
      </c>
      <c r="L297" s="13">
        <f t="shared" ca="1" si="82"/>
        <v>100</v>
      </c>
      <c r="M297" s="7">
        <f t="shared" ca="1" si="83"/>
        <v>900</v>
      </c>
      <c r="N297" s="44">
        <f t="shared" ca="1" si="84"/>
        <v>10</v>
      </c>
      <c r="O297" s="94">
        <f t="shared" ca="1" si="85"/>
        <v>2.855590707781452</v>
      </c>
      <c r="P297" s="94">
        <f t="shared" ca="1" si="86"/>
        <v>28.555907077814521</v>
      </c>
      <c r="Q297" s="94">
        <f t="shared" ca="1" si="87"/>
        <v>28.555907077814521</v>
      </c>
      <c r="R297" s="94">
        <f t="shared" ca="1" si="88"/>
        <v>2.855590707781452</v>
      </c>
      <c r="S297" s="94">
        <f t="shared" ca="1" si="89"/>
        <v>2.855590707781452</v>
      </c>
      <c r="T297" s="4">
        <f t="shared" ca="1" si="90"/>
        <v>1.4806312065205308E-14</v>
      </c>
      <c r="U297" s="46">
        <f t="shared" ca="1" si="91"/>
        <v>1468.276501057248</v>
      </c>
      <c r="V297" s="4">
        <f t="shared" ca="1" si="92"/>
        <v>7.6130518331708982E-12</v>
      </c>
      <c r="W297" s="13">
        <f t="shared" ca="1" si="93"/>
        <v>2156.1965778149038</v>
      </c>
      <c r="X297" s="4">
        <f t="shared" ca="1" si="94"/>
        <v>1.1179935317081357E-11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0.10474799999999998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119</v>
      </c>
      <c r="M298" s="7">
        <f t="shared" ca="1" si="83"/>
        <v>881</v>
      </c>
      <c r="N298" s="44">
        <f t="shared" ca="1" si="84"/>
        <v>10</v>
      </c>
      <c r="O298" s="94">
        <f t="shared" ca="1" si="85"/>
        <v>2.855590707781452</v>
      </c>
      <c r="P298" s="94">
        <f t="shared" ca="1" si="86"/>
        <v>28.555907077814521</v>
      </c>
      <c r="Q298" s="94">
        <f t="shared" ca="1" si="87"/>
        <v>27.565909070249344</v>
      </c>
      <c r="R298" s="94">
        <f t="shared" ca="1" si="88"/>
        <v>2.8060908074031934</v>
      </c>
      <c r="S298" s="94">
        <f t="shared" ca="1" si="89"/>
        <v>2.855590707781452</v>
      </c>
      <c r="T298" s="4">
        <f t="shared" ca="1" si="90"/>
        <v>0</v>
      </c>
      <c r="U298" s="46">
        <f t="shared" ca="1" si="91"/>
        <v>1487.276501057248</v>
      </c>
      <c r="V298" s="4">
        <f t="shared" ca="1" si="92"/>
        <v>0</v>
      </c>
      <c r="W298" s="13">
        <f t="shared" ca="1" si="93"/>
        <v>15297.60387369375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0.10474799999999998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4.9309081344728003E-5</v>
      </c>
      <c r="L299" s="13">
        <f t="shared" ca="1" si="82"/>
        <v>102</v>
      </c>
      <c r="M299" s="7">
        <f t="shared" ca="1" si="83"/>
        <v>898</v>
      </c>
      <c r="N299" s="44">
        <f t="shared" ca="1" si="84"/>
        <v>10</v>
      </c>
      <c r="O299" s="94">
        <f t="shared" ca="1" si="85"/>
        <v>2.855590707781452</v>
      </c>
      <c r="P299" s="94">
        <f t="shared" ca="1" si="86"/>
        <v>28.555907077814521</v>
      </c>
      <c r="Q299" s="94">
        <f t="shared" ca="1" si="87"/>
        <v>28.555907077814521</v>
      </c>
      <c r="R299" s="94">
        <f t="shared" ca="1" si="88"/>
        <v>2.855590707781452</v>
      </c>
      <c r="S299" s="94">
        <f t="shared" ca="1" si="89"/>
        <v>2.855590707781452</v>
      </c>
      <c r="T299" s="4">
        <f t="shared" ca="1" si="90"/>
        <v>1.4080655449724502E-4</v>
      </c>
      <c r="U299" s="46">
        <f t="shared" ca="1" si="91"/>
        <v>1470.276501057248</v>
      </c>
      <c r="V299" s="4">
        <f t="shared" ca="1" si="92"/>
        <v>7.2497983589873902E-2</v>
      </c>
      <c r="W299" s="13">
        <f t="shared" ca="1" si="93"/>
        <v>13112.2318917375</v>
      </c>
      <c r="X299" s="4">
        <f t="shared" ca="1" si="94"/>
        <v>0.6465521089606211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0.10474799999999998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2.9884291724077604E-6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10</v>
      </c>
      <c r="O300" s="94">
        <f t="shared" ca="1" si="85"/>
        <v>2.855590707781452</v>
      </c>
      <c r="P300" s="94">
        <f t="shared" ca="1" si="86"/>
        <v>28.555907077814521</v>
      </c>
      <c r="Q300" s="94">
        <f t="shared" ca="1" si="87"/>
        <v>28.555907077814521</v>
      </c>
      <c r="R300" s="94">
        <f t="shared" ca="1" si="88"/>
        <v>2.855590707781452</v>
      </c>
      <c r="S300" s="94">
        <f t="shared" ca="1" si="89"/>
        <v>2.855590707781452</v>
      </c>
      <c r="T300" s="4">
        <f t="shared" ca="1" si="90"/>
        <v>8.5337305755906155E-6</v>
      </c>
      <c r="U300" s="46">
        <f t="shared" ca="1" si="91"/>
        <v>1468.276501057248</v>
      </c>
      <c r="V300" s="4">
        <f t="shared" ca="1" si="92"/>
        <v>4.3878403289202735E-3</v>
      </c>
      <c r="W300" s="13">
        <f t="shared" ca="1" si="93"/>
        <v>10926.859909781251</v>
      </c>
      <c r="X300" s="4">
        <f t="shared" ca="1" si="94"/>
        <v>3.2654146917203121E-2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0.10474799999999998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7.5465383141610192E-8</v>
      </c>
      <c r="L301" s="13">
        <f t="shared" ca="1" si="82"/>
        <v>100</v>
      </c>
      <c r="M301" s="7">
        <f t="shared" ca="1" si="83"/>
        <v>900</v>
      </c>
      <c r="N301" s="44">
        <f t="shared" ca="1" si="84"/>
        <v>10</v>
      </c>
      <c r="O301" s="94">
        <f t="shared" ca="1" si="85"/>
        <v>2.855590707781452</v>
      </c>
      <c r="P301" s="94">
        <f t="shared" ca="1" si="86"/>
        <v>28.555907077814521</v>
      </c>
      <c r="Q301" s="94">
        <f t="shared" ca="1" si="87"/>
        <v>28.555907077814521</v>
      </c>
      <c r="R301" s="94">
        <f t="shared" ca="1" si="88"/>
        <v>2.855590707781452</v>
      </c>
      <c r="S301" s="94">
        <f t="shared" ca="1" si="89"/>
        <v>2.855590707781452</v>
      </c>
      <c r="T301" s="4">
        <f t="shared" ca="1" si="90"/>
        <v>2.154982468583491E-7</v>
      </c>
      <c r="U301" s="46">
        <f t="shared" ca="1" si="91"/>
        <v>1468.276501057248</v>
      </c>
      <c r="V301" s="4">
        <f t="shared" ca="1" si="92"/>
        <v>1.1080404871010804E-4</v>
      </c>
      <c r="W301" s="13">
        <f t="shared" ca="1" si="93"/>
        <v>8741.487927825001</v>
      </c>
      <c r="X301" s="4">
        <f t="shared" ca="1" si="94"/>
        <v>6.5967973570107388E-4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0.10474799999999998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1.0163687965200033E-9</v>
      </c>
      <c r="L302" s="13">
        <f t="shared" ca="1" si="82"/>
        <v>100</v>
      </c>
      <c r="M302" s="7">
        <f t="shared" ca="1" si="83"/>
        <v>900</v>
      </c>
      <c r="N302" s="44">
        <f t="shared" ca="1" si="84"/>
        <v>10</v>
      </c>
      <c r="O302" s="94">
        <f t="shared" ca="1" si="85"/>
        <v>2.855590707781452</v>
      </c>
      <c r="P302" s="94">
        <f t="shared" ca="1" si="86"/>
        <v>28.555907077814521</v>
      </c>
      <c r="Q302" s="94">
        <f t="shared" ca="1" si="87"/>
        <v>28.555907077814521</v>
      </c>
      <c r="R302" s="94">
        <f t="shared" ca="1" si="88"/>
        <v>2.855590707781452</v>
      </c>
      <c r="S302" s="94">
        <f t="shared" ca="1" si="89"/>
        <v>2.855590707781452</v>
      </c>
      <c r="T302" s="4">
        <f t="shared" ca="1" si="90"/>
        <v>2.9023332910215389E-9</v>
      </c>
      <c r="U302" s="46">
        <f t="shared" ca="1" si="91"/>
        <v>1468.276501057248</v>
      </c>
      <c r="V302" s="4">
        <f t="shared" ca="1" si="92"/>
        <v>1.4923104203381565E-6</v>
      </c>
      <c r="W302" s="13">
        <f t="shared" ca="1" si="93"/>
        <v>6556.1159458687498</v>
      </c>
      <c r="X302" s="4">
        <f t="shared" ca="1" si="94"/>
        <v>6.6634316737482245E-6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0.10474799999999998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7.6997636100000344E-12</v>
      </c>
      <c r="L303" s="13">
        <f t="shared" ca="1" si="82"/>
        <v>100</v>
      </c>
      <c r="M303" s="7">
        <f t="shared" ca="1" si="83"/>
        <v>900</v>
      </c>
      <c r="N303" s="44">
        <f t="shared" ca="1" si="84"/>
        <v>10</v>
      </c>
      <c r="O303" s="94">
        <f t="shared" ca="1" si="85"/>
        <v>2.855590707781452</v>
      </c>
      <c r="P303" s="94">
        <f t="shared" ca="1" si="86"/>
        <v>28.555907077814521</v>
      </c>
      <c r="Q303" s="94">
        <f t="shared" ca="1" si="87"/>
        <v>28.555907077814521</v>
      </c>
      <c r="R303" s="94">
        <f t="shared" ca="1" si="88"/>
        <v>2.855590707781452</v>
      </c>
      <c r="S303" s="94">
        <f t="shared" ca="1" si="89"/>
        <v>2.855590707781452</v>
      </c>
      <c r="T303" s="4">
        <f t="shared" ca="1" si="90"/>
        <v>2.1987373416829867E-11</v>
      </c>
      <c r="U303" s="46">
        <f t="shared" ca="1" si="91"/>
        <v>1468.276501057248</v>
      </c>
      <c r="V303" s="4">
        <f t="shared" ca="1" si="92"/>
        <v>1.1305381972258775E-8</v>
      </c>
      <c r="W303" s="13">
        <f t="shared" ca="1" si="93"/>
        <v>4370.7439639125005</v>
      </c>
      <c r="X303" s="4">
        <f t="shared" ca="1" si="94"/>
        <v>3.3653695321960774E-8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0.10474799999999998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3.1110156000000161E-14</v>
      </c>
      <c r="L304" s="13">
        <f t="shared" ca="1" si="82"/>
        <v>100</v>
      </c>
      <c r="M304" s="7">
        <f t="shared" ca="1" si="83"/>
        <v>900</v>
      </c>
      <c r="N304" s="44">
        <f t="shared" ca="1" si="84"/>
        <v>10</v>
      </c>
      <c r="O304" s="94">
        <f t="shared" ca="1" si="85"/>
        <v>2.855590707781452</v>
      </c>
      <c r="P304" s="94">
        <f t="shared" ca="1" si="86"/>
        <v>28.555907077814521</v>
      </c>
      <c r="Q304" s="94">
        <f t="shared" ca="1" si="87"/>
        <v>28.555907077814521</v>
      </c>
      <c r="R304" s="94">
        <f t="shared" ca="1" si="88"/>
        <v>2.855590707781452</v>
      </c>
      <c r="S304" s="94">
        <f t="shared" ca="1" si="89"/>
        <v>2.855590707781452</v>
      </c>
      <c r="T304" s="4">
        <f t="shared" ca="1" si="90"/>
        <v>8.8837872391231838E-14</v>
      </c>
      <c r="U304" s="46">
        <f t="shared" ca="1" si="91"/>
        <v>1468.276501057248</v>
      </c>
      <c r="V304" s="4">
        <f t="shared" ca="1" si="92"/>
        <v>4.5678310999025386E-11</v>
      </c>
      <c r="W304" s="13">
        <f t="shared" ca="1" si="93"/>
        <v>2185.3719819562502</v>
      </c>
      <c r="X304" s="4">
        <f t="shared" ca="1" si="94"/>
        <v>6.7987263276688483E-11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0.10474799999999998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5.2374000000000322E-17</v>
      </c>
      <c r="L305" s="13">
        <f t="shared" ca="1" si="82"/>
        <v>100</v>
      </c>
      <c r="M305" s="7">
        <f t="shared" ca="1" si="83"/>
        <v>900</v>
      </c>
      <c r="N305" s="44">
        <f t="shared" ca="1" si="84"/>
        <v>10</v>
      </c>
      <c r="O305" s="94">
        <f t="shared" ca="1" si="85"/>
        <v>2.855590707781452</v>
      </c>
      <c r="P305" s="94">
        <f t="shared" ca="1" si="86"/>
        <v>28.555907077814521</v>
      </c>
      <c r="Q305" s="94">
        <f t="shared" ca="1" si="87"/>
        <v>28.555907077814521</v>
      </c>
      <c r="R305" s="94">
        <f t="shared" ca="1" si="88"/>
        <v>2.855590707781452</v>
      </c>
      <c r="S305" s="94">
        <f t="shared" ca="1" si="89"/>
        <v>2.855590707781452</v>
      </c>
      <c r="T305" s="4">
        <f t="shared" ca="1" si="90"/>
        <v>1.4955870772934668E-16</v>
      </c>
      <c r="U305" s="46">
        <f t="shared" ca="1" si="91"/>
        <v>1468.276501057248</v>
      </c>
      <c r="V305" s="4">
        <f t="shared" ca="1" si="92"/>
        <v>7.6899513466372773E-14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1.5651999999999999E-2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285</v>
      </c>
      <c r="M306" s="7">
        <f t="shared" ca="1" si="83"/>
        <v>715</v>
      </c>
      <c r="N306" s="44">
        <f t="shared" ca="1" si="84"/>
        <v>8</v>
      </c>
      <c r="O306" s="94">
        <f t="shared" ca="1" si="85"/>
        <v>2.3721134347108093</v>
      </c>
      <c r="P306" s="94">
        <f t="shared" ca="1" si="86"/>
        <v>23.721134347108087</v>
      </c>
      <c r="Q306" s="94">
        <f t="shared" ca="1" si="87"/>
        <v>23.721134347108087</v>
      </c>
      <c r="R306" s="94">
        <f t="shared" ca="1" si="88"/>
        <v>2.3721134347108088</v>
      </c>
      <c r="S306" s="94">
        <f t="shared" ca="1" si="89"/>
        <v>2.3721134347108093</v>
      </c>
      <c r="T306" s="4">
        <f t="shared" ca="1" si="90"/>
        <v>0</v>
      </c>
      <c r="U306" s="46">
        <f t="shared" ca="1" si="91"/>
        <v>1461.8387274667198</v>
      </c>
      <c r="V306" s="4">
        <f t="shared" ca="1" si="92"/>
        <v>0</v>
      </c>
      <c r="W306" s="13">
        <f t="shared" ca="1" si="93"/>
        <v>19639.172433464904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1.5651999999999999E-2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1.3859252484168196E-2</v>
      </c>
      <c r="L307" s="13">
        <f t="shared" ca="1" si="82"/>
        <v>268</v>
      </c>
      <c r="M307" s="7">
        <f t="shared" ca="1" si="83"/>
        <v>732</v>
      </c>
      <c r="N307" s="44">
        <f t="shared" ca="1" si="84"/>
        <v>8</v>
      </c>
      <c r="O307" s="94">
        <f t="shared" ca="1" si="85"/>
        <v>2.3721134347108093</v>
      </c>
      <c r="P307" s="94">
        <f t="shared" ca="1" si="86"/>
        <v>23.721134347108087</v>
      </c>
      <c r="Q307" s="94">
        <f t="shared" ca="1" si="87"/>
        <v>23.721134347108087</v>
      </c>
      <c r="R307" s="94">
        <f t="shared" ca="1" si="88"/>
        <v>2.3721134347108088</v>
      </c>
      <c r="S307" s="94">
        <f t="shared" ca="1" si="89"/>
        <v>2.3721134347108093</v>
      </c>
      <c r="T307" s="4">
        <f t="shared" ca="1" si="90"/>
        <v>3.2875719012744532E-2</v>
      </c>
      <c r="U307" s="46">
        <f t="shared" ca="1" si="91"/>
        <v>1444.8387274667198</v>
      </c>
      <c r="V307" s="4">
        <f t="shared" ca="1" si="92"/>
        <v>20.024384722865552</v>
      </c>
      <c r="W307" s="13">
        <f t="shared" ca="1" si="93"/>
        <v>17453.800451508654</v>
      </c>
      <c r="X307" s="4">
        <f t="shared" ca="1" si="94"/>
        <v>241.8966272657473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1.5651999999999999E-2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8.3995469601019443E-4</v>
      </c>
      <c r="L308" s="13">
        <f t="shared" ca="1" si="82"/>
        <v>251</v>
      </c>
      <c r="M308" s="7">
        <f t="shared" ca="1" si="83"/>
        <v>749</v>
      </c>
      <c r="N308" s="44">
        <f t="shared" ca="1" si="84"/>
        <v>8</v>
      </c>
      <c r="O308" s="94">
        <f t="shared" ca="1" si="85"/>
        <v>2.3721134347108093</v>
      </c>
      <c r="P308" s="94">
        <f t="shared" ca="1" si="86"/>
        <v>23.721134347108087</v>
      </c>
      <c r="Q308" s="94">
        <f t="shared" ca="1" si="87"/>
        <v>23.721134347108087</v>
      </c>
      <c r="R308" s="94">
        <f t="shared" ca="1" si="88"/>
        <v>2.3721134347108088</v>
      </c>
      <c r="S308" s="94">
        <f t="shared" ca="1" si="89"/>
        <v>2.3721134347108093</v>
      </c>
      <c r="T308" s="4">
        <f t="shared" ca="1" si="90"/>
        <v>1.992467818954216E-3</v>
      </c>
      <c r="U308" s="46">
        <f t="shared" ca="1" si="91"/>
        <v>1427.8387274667198</v>
      </c>
      <c r="V308" s="4">
        <f t="shared" ca="1" si="92"/>
        <v>1.1993198442808914</v>
      </c>
      <c r="W308" s="13">
        <f t="shared" ca="1" si="93"/>
        <v>15268.428469552406</v>
      </c>
      <c r="X308" s="4">
        <f t="shared" ca="1" si="94"/>
        <v>12.824788193696289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1.5651999999999999E-2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2.1210977171974628E-5</v>
      </c>
      <c r="L309" s="13">
        <f t="shared" ca="1" si="82"/>
        <v>234</v>
      </c>
      <c r="M309" s="7">
        <f t="shared" ca="1" si="83"/>
        <v>766</v>
      </c>
      <c r="N309" s="44">
        <f t="shared" ca="1" si="84"/>
        <v>8</v>
      </c>
      <c r="O309" s="94">
        <f t="shared" ca="1" si="85"/>
        <v>2.3721134347108093</v>
      </c>
      <c r="P309" s="94">
        <f t="shared" ca="1" si="86"/>
        <v>23.721134347108087</v>
      </c>
      <c r="Q309" s="94">
        <f t="shared" ca="1" si="87"/>
        <v>23.721134347108087</v>
      </c>
      <c r="R309" s="94">
        <f t="shared" ca="1" si="88"/>
        <v>2.3721134347108088</v>
      </c>
      <c r="S309" s="94">
        <f t="shared" ca="1" si="89"/>
        <v>2.3721134347108093</v>
      </c>
      <c r="T309" s="4">
        <f t="shared" ca="1" si="90"/>
        <v>5.0314843912985303E-5</v>
      </c>
      <c r="U309" s="46">
        <f t="shared" ca="1" si="91"/>
        <v>1410.8387274667198</v>
      </c>
      <c r="V309" s="4">
        <f t="shared" ca="1" si="92"/>
        <v>2.9925268041634326E-2</v>
      </c>
      <c r="W309" s="13">
        <f t="shared" ca="1" si="93"/>
        <v>13083.056487596155</v>
      </c>
      <c r="X309" s="4">
        <f t="shared" ca="1" si="94"/>
        <v>0.27750441249805663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1.5651999999999999E-2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2.8566972622188071E-7</v>
      </c>
      <c r="L310" s="13">
        <f t="shared" ca="1" si="82"/>
        <v>217</v>
      </c>
      <c r="M310" s="7">
        <f t="shared" ca="1" si="83"/>
        <v>783</v>
      </c>
      <c r="N310" s="44">
        <f t="shared" ca="1" si="84"/>
        <v>9</v>
      </c>
      <c r="O310" s="94">
        <f t="shared" ca="1" si="85"/>
        <v>2.6080912058901573</v>
      </c>
      <c r="P310" s="94">
        <f t="shared" ca="1" si="86"/>
        <v>26.080912058901578</v>
      </c>
      <c r="Q310" s="94">
        <f t="shared" ca="1" si="87"/>
        <v>24.665045431825479</v>
      </c>
      <c r="R310" s="94">
        <f t="shared" ca="1" si="88"/>
        <v>2.5372978745363528</v>
      </c>
      <c r="S310" s="94">
        <f t="shared" ca="1" si="89"/>
        <v>2.6080912058901573</v>
      </c>
      <c r="T310" s="4">
        <f t="shared" ca="1" si="90"/>
        <v>7.4505270074833595E-7</v>
      </c>
      <c r="U310" s="46">
        <f t="shared" ca="1" si="91"/>
        <v>1487.2765406745989</v>
      </c>
      <c r="V310" s="4">
        <f t="shared" ca="1" si="92"/>
        <v>4.2486988219073851E-4</v>
      </c>
      <c r="W310" s="13">
        <f t="shared" ca="1" si="93"/>
        <v>10897.684505639903</v>
      </c>
      <c r="X310" s="4">
        <f t="shared" ca="1" si="94"/>
        <v>3.1131385491785825E-3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1.5651999999999999E-2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2.164164592590008E-9</v>
      </c>
      <c r="L311" s="13">
        <f t="shared" ca="1" si="82"/>
        <v>200</v>
      </c>
      <c r="M311" s="7">
        <f t="shared" ca="1" si="83"/>
        <v>800</v>
      </c>
      <c r="N311" s="44">
        <f t="shared" ca="1" si="84"/>
        <v>9</v>
      </c>
      <c r="O311" s="94">
        <f t="shared" ca="1" si="85"/>
        <v>2.6080912058901573</v>
      </c>
      <c r="P311" s="94">
        <f t="shared" ca="1" si="86"/>
        <v>26.080912058901578</v>
      </c>
      <c r="Q311" s="94">
        <f t="shared" ca="1" si="87"/>
        <v>26.080912058901578</v>
      </c>
      <c r="R311" s="94">
        <f t="shared" ca="1" si="88"/>
        <v>2.6080912058901577</v>
      </c>
      <c r="S311" s="94">
        <f t="shared" ca="1" si="89"/>
        <v>2.6080912058901573</v>
      </c>
      <c r="T311" s="4">
        <f t="shared" ca="1" si="90"/>
        <v>5.6443386420328548E-9</v>
      </c>
      <c r="U311" s="46">
        <f t="shared" ca="1" si="91"/>
        <v>1470.2765406745989</v>
      </c>
      <c r="V311" s="4">
        <f t="shared" ca="1" si="92"/>
        <v>3.1819204306436897E-6</v>
      </c>
      <c r="W311" s="13">
        <f t="shared" ca="1" si="93"/>
        <v>8712.3125236836549</v>
      </c>
      <c r="X311" s="4">
        <f t="shared" ca="1" si="94"/>
        <v>1.8854878283334663E-5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1.5651999999999999E-2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8.7440993640000398E-12</v>
      </c>
      <c r="L312" s="13">
        <f t="shared" ca="1" si="82"/>
        <v>183</v>
      </c>
      <c r="M312" s="7">
        <f t="shared" ca="1" si="83"/>
        <v>817</v>
      </c>
      <c r="N312" s="44">
        <f t="shared" ca="1" si="84"/>
        <v>9</v>
      </c>
      <c r="O312" s="94">
        <f t="shared" ca="1" si="85"/>
        <v>2.6080912058901573</v>
      </c>
      <c r="P312" s="94">
        <f t="shared" ca="1" si="86"/>
        <v>26.080912058901578</v>
      </c>
      <c r="Q312" s="94">
        <f t="shared" ca="1" si="87"/>
        <v>26.080912058901578</v>
      </c>
      <c r="R312" s="94">
        <f t="shared" ca="1" si="88"/>
        <v>2.6080912058901577</v>
      </c>
      <c r="S312" s="94">
        <f t="shared" ca="1" si="89"/>
        <v>2.6080912058901573</v>
      </c>
      <c r="T312" s="4">
        <f t="shared" ca="1" si="90"/>
        <v>2.2805408654678221E-11</v>
      </c>
      <c r="U312" s="46">
        <f t="shared" ca="1" si="91"/>
        <v>1453.2765406745989</v>
      </c>
      <c r="V312" s="4">
        <f t="shared" ca="1" si="92"/>
        <v>1.2707594475028938E-8</v>
      </c>
      <c r="W312" s="13">
        <f t="shared" ca="1" si="93"/>
        <v>6526.9405417274047</v>
      </c>
      <c r="X312" s="4">
        <f t="shared" ca="1" si="94"/>
        <v>5.7072216639784677E-8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1.5651999999999999E-2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1.4720706000000081E-14</v>
      </c>
      <c r="L313" s="13">
        <f t="shared" ca="1" si="82"/>
        <v>166</v>
      </c>
      <c r="M313" s="7">
        <f t="shared" ca="1" si="83"/>
        <v>834</v>
      </c>
      <c r="N313" s="44">
        <f t="shared" ca="1" si="84"/>
        <v>9</v>
      </c>
      <c r="O313" s="94">
        <f t="shared" ca="1" si="85"/>
        <v>2.6080912058901573</v>
      </c>
      <c r="P313" s="94">
        <f t="shared" ca="1" si="86"/>
        <v>26.080912058901578</v>
      </c>
      <c r="Q313" s="94">
        <f t="shared" ca="1" si="87"/>
        <v>26.080912058901578</v>
      </c>
      <c r="R313" s="94">
        <f t="shared" ca="1" si="88"/>
        <v>2.6080912058901577</v>
      </c>
      <c r="S313" s="94">
        <f t="shared" ca="1" si="89"/>
        <v>2.6080912058901573</v>
      </c>
      <c r="T313" s="4">
        <f t="shared" ca="1" si="90"/>
        <v>3.8392943863094687E-14</v>
      </c>
      <c r="U313" s="46">
        <f t="shared" ca="1" si="91"/>
        <v>1436.2765406745989</v>
      </c>
      <c r="V313" s="4">
        <f t="shared" ca="1" si="92"/>
        <v>2.1143004689967928E-11</v>
      </c>
      <c r="W313" s="13">
        <f t="shared" ca="1" si="93"/>
        <v>4341.5685597711545</v>
      </c>
      <c r="X313" s="4">
        <f t="shared" ca="1" si="94"/>
        <v>6.3910954347234947E-11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1.5651999999999999E-2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202</v>
      </c>
      <c r="M314" s="7">
        <f t="shared" ca="1" si="83"/>
        <v>798</v>
      </c>
      <c r="N314" s="44">
        <f t="shared" ca="1" si="84"/>
        <v>9</v>
      </c>
      <c r="O314" s="94">
        <f t="shared" ca="1" si="85"/>
        <v>2.6080912058901573</v>
      </c>
      <c r="P314" s="94">
        <f t="shared" ca="1" si="86"/>
        <v>26.080912058901578</v>
      </c>
      <c r="Q314" s="94">
        <f t="shared" ca="1" si="87"/>
        <v>26.080912058901578</v>
      </c>
      <c r="R314" s="94">
        <f t="shared" ca="1" si="88"/>
        <v>2.6080912058901577</v>
      </c>
      <c r="S314" s="94">
        <f t="shared" ca="1" si="89"/>
        <v>2.6080912058901573</v>
      </c>
      <c r="T314" s="4">
        <f t="shared" ca="1" si="90"/>
        <v>0</v>
      </c>
      <c r="U314" s="46">
        <f t="shared" ca="1" si="91"/>
        <v>1472.2765406745989</v>
      </c>
      <c r="V314" s="4">
        <f t="shared" ca="1" si="92"/>
        <v>0</v>
      </c>
      <c r="W314" s="13">
        <f t="shared" ca="1" si="93"/>
        <v>17482.975855650002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1.5651999999999999E-2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1.399924493350324E-4</v>
      </c>
      <c r="L315" s="13">
        <f t="shared" ca="1" si="82"/>
        <v>185</v>
      </c>
      <c r="M315" s="7">
        <f t="shared" ca="1" si="83"/>
        <v>815</v>
      </c>
      <c r="N315" s="44">
        <f t="shared" ca="1" si="84"/>
        <v>9</v>
      </c>
      <c r="O315" s="94">
        <f t="shared" ca="1" si="85"/>
        <v>2.6080912058901573</v>
      </c>
      <c r="P315" s="94">
        <f t="shared" ca="1" si="86"/>
        <v>26.080912058901578</v>
      </c>
      <c r="Q315" s="94">
        <f t="shared" ca="1" si="87"/>
        <v>26.080912058901578</v>
      </c>
      <c r="R315" s="94">
        <f t="shared" ca="1" si="88"/>
        <v>2.6080912058901577</v>
      </c>
      <c r="S315" s="94">
        <f t="shared" ca="1" si="89"/>
        <v>2.6080912058901573</v>
      </c>
      <c r="T315" s="4">
        <f t="shared" ca="1" si="90"/>
        <v>3.6511307600172138E-4</v>
      </c>
      <c r="U315" s="46">
        <f t="shared" ca="1" si="91"/>
        <v>1455.2765406745989</v>
      </c>
      <c r="V315" s="4">
        <f t="shared" ca="1" si="92"/>
        <v>0.20372772738885001</v>
      </c>
      <c r="W315" s="13">
        <f t="shared" ca="1" si="93"/>
        <v>15297.60387369375</v>
      </c>
      <c r="X315" s="4">
        <f t="shared" ca="1" si="94"/>
        <v>2.1415490352354678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1.5651999999999999E-2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8.4843908687898497E-6</v>
      </c>
      <c r="L316" s="13">
        <f t="shared" ca="1" si="82"/>
        <v>168</v>
      </c>
      <c r="M316" s="7">
        <f t="shared" ca="1" si="83"/>
        <v>832</v>
      </c>
      <c r="N316" s="44">
        <f t="shared" ca="1" si="84"/>
        <v>9</v>
      </c>
      <c r="O316" s="94">
        <f t="shared" ca="1" si="85"/>
        <v>2.6080912058901573</v>
      </c>
      <c r="P316" s="94">
        <f t="shared" ca="1" si="86"/>
        <v>26.080912058901578</v>
      </c>
      <c r="Q316" s="94">
        <f t="shared" ca="1" si="87"/>
        <v>26.080912058901578</v>
      </c>
      <c r="R316" s="94">
        <f t="shared" ca="1" si="88"/>
        <v>2.6080912058901577</v>
      </c>
      <c r="S316" s="94">
        <f t="shared" ca="1" si="89"/>
        <v>2.6080912058901573</v>
      </c>
      <c r="T316" s="4">
        <f t="shared" ca="1" si="90"/>
        <v>2.2128065212225558E-5</v>
      </c>
      <c r="U316" s="46">
        <f t="shared" ca="1" si="91"/>
        <v>1438.2765406745989</v>
      </c>
      <c r="V316" s="4">
        <f t="shared" ca="1" si="92"/>
        <v>1.220290034849422E-2</v>
      </c>
      <c r="W316" s="13">
        <f t="shared" ca="1" si="93"/>
        <v>13112.231891737501</v>
      </c>
      <c r="X316" s="4">
        <f t="shared" ca="1" si="94"/>
        <v>0.11124930053171271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1.5651999999999999E-2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2.1425229466641057E-7</v>
      </c>
      <c r="L317" s="13">
        <f t="shared" ca="1" si="82"/>
        <v>151</v>
      </c>
      <c r="M317" s="7">
        <f t="shared" ca="1" si="83"/>
        <v>849</v>
      </c>
      <c r="N317" s="44">
        <f t="shared" ca="1" si="84"/>
        <v>9</v>
      </c>
      <c r="O317" s="94">
        <f t="shared" ca="1" si="85"/>
        <v>2.6080912058901573</v>
      </c>
      <c r="P317" s="94">
        <f t="shared" ca="1" si="86"/>
        <v>26.080912058901578</v>
      </c>
      <c r="Q317" s="94">
        <f t="shared" ca="1" si="87"/>
        <v>26.080912058901578</v>
      </c>
      <c r="R317" s="94">
        <f t="shared" ca="1" si="88"/>
        <v>2.6080912058901577</v>
      </c>
      <c r="S317" s="94">
        <f t="shared" ca="1" si="89"/>
        <v>2.6080912058901573</v>
      </c>
      <c r="T317" s="4">
        <f t="shared" ca="1" si="90"/>
        <v>5.5878952556125204E-7</v>
      </c>
      <c r="U317" s="46">
        <f t="shared" ca="1" si="91"/>
        <v>1421.2765406745989</v>
      </c>
      <c r="V317" s="4">
        <f t="shared" ca="1" si="92"/>
        <v>3.0451176019507083E-4</v>
      </c>
      <c r="W317" s="13">
        <f t="shared" ca="1" si="93"/>
        <v>10926.859909781251</v>
      </c>
      <c r="X317" s="4">
        <f t="shared" ca="1" si="94"/>
        <v>2.3411048091690409E-3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1.5651999999999999E-2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2.8855527901200095E-9</v>
      </c>
      <c r="L318" s="13">
        <f t="shared" ca="1" si="82"/>
        <v>134</v>
      </c>
      <c r="M318" s="7">
        <f t="shared" ca="1" si="83"/>
        <v>866</v>
      </c>
      <c r="N318" s="44">
        <f t="shared" ca="1" si="84"/>
        <v>10</v>
      </c>
      <c r="O318" s="94">
        <f t="shared" ca="1" si="85"/>
        <v>2.855590707781452</v>
      </c>
      <c r="P318" s="94">
        <f t="shared" ca="1" si="86"/>
        <v>26.328411560792873</v>
      </c>
      <c r="Q318" s="94">
        <f t="shared" ca="1" si="87"/>
        <v>26.080912058901578</v>
      </c>
      <c r="R318" s="94">
        <f t="shared" ca="1" si="88"/>
        <v>2.6204661809847223</v>
      </c>
      <c r="S318" s="94">
        <f t="shared" ca="1" si="89"/>
        <v>2.855590707781452</v>
      </c>
      <c r="T318" s="4">
        <f t="shared" ca="1" si="90"/>
        <v>8.2399577342795419E-9</v>
      </c>
      <c r="U318" s="46">
        <f t="shared" ca="1" si="91"/>
        <v>1502.276501057248</v>
      </c>
      <c r="V318" s="4">
        <f t="shared" ca="1" si="92"/>
        <v>4.3348981491574674E-6</v>
      </c>
      <c r="W318" s="13">
        <f t="shared" ca="1" si="93"/>
        <v>8741.487927825001</v>
      </c>
      <c r="X318" s="4">
        <f t="shared" ca="1" si="94"/>
        <v>2.522402487993581E-5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1.5651999999999999E-2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2.18602484100001E-11</v>
      </c>
      <c r="L319" s="13">
        <f t="shared" ca="1" si="82"/>
        <v>117</v>
      </c>
      <c r="M319" s="7">
        <f t="shared" ca="1" si="83"/>
        <v>883</v>
      </c>
      <c r="N319" s="44">
        <f t="shared" ca="1" si="84"/>
        <v>10</v>
      </c>
      <c r="O319" s="94">
        <f t="shared" ca="1" si="85"/>
        <v>2.855590707781452</v>
      </c>
      <c r="P319" s="94">
        <f t="shared" ca="1" si="86"/>
        <v>28.555907077814521</v>
      </c>
      <c r="Q319" s="94">
        <f t="shared" ca="1" si="87"/>
        <v>28.060908074031932</v>
      </c>
      <c r="R319" s="94">
        <f t="shared" ca="1" si="88"/>
        <v>2.8308407575923225</v>
      </c>
      <c r="S319" s="94">
        <f t="shared" ca="1" si="89"/>
        <v>2.855590707781452</v>
      </c>
      <c r="T319" s="4">
        <f t="shared" ca="1" si="90"/>
        <v>6.2423922229390553E-11</v>
      </c>
      <c r="U319" s="46">
        <f t="shared" ca="1" si="91"/>
        <v>1485.276501057248</v>
      </c>
      <c r="V319" s="4">
        <f t="shared" ca="1" si="92"/>
        <v>3.2468513270647215E-8</v>
      </c>
      <c r="W319" s="13">
        <f t="shared" ca="1" si="93"/>
        <v>6556.1159458687507</v>
      </c>
      <c r="X319" s="4">
        <f t="shared" ca="1" si="94"/>
        <v>1.4331832318145367E-7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1.5651999999999999E-2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8.8324236000000483E-14</v>
      </c>
      <c r="L320" s="13">
        <f t="shared" ca="1" si="82"/>
        <v>100</v>
      </c>
      <c r="M320" s="7">
        <f t="shared" ca="1" si="83"/>
        <v>900</v>
      </c>
      <c r="N320" s="44">
        <f t="shared" ca="1" si="84"/>
        <v>10</v>
      </c>
      <c r="O320" s="94">
        <f t="shared" ca="1" si="85"/>
        <v>2.855590707781452</v>
      </c>
      <c r="P320" s="94">
        <f t="shared" ca="1" si="86"/>
        <v>28.555907077814521</v>
      </c>
      <c r="Q320" s="94">
        <f t="shared" ca="1" si="87"/>
        <v>28.555907077814521</v>
      </c>
      <c r="R320" s="94">
        <f t="shared" ca="1" si="88"/>
        <v>2.855590707781452</v>
      </c>
      <c r="S320" s="94">
        <f t="shared" ca="1" si="89"/>
        <v>2.855590707781452</v>
      </c>
      <c r="T320" s="4">
        <f t="shared" ca="1" si="90"/>
        <v>2.5221786759349739E-13</v>
      </c>
      <c r="U320" s="46">
        <f t="shared" ca="1" si="91"/>
        <v>1468.276501057248</v>
      </c>
      <c r="V320" s="4">
        <f t="shared" ca="1" si="92"/>
        <v>1.2968440019263534E-10</v>
      </c>
      <c r="W320" s="13">
        <f t="shared" ca="1" si="93"/>
        <v>4370.7439639125005</v>
      </c>
      <c r="X320" s="4">
        <f t="shared" ca="1" si="94"/>
        <v>3.8604262136418526E-10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1.5651999999999999E-2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1.4869400000000094E-16</v>
      </c>
      <c r="L321" s="13">
        <f t="shared" ca="1" si="82"/>
        <v>100</v>
      </c>
      <c r="M321" s="7">
        <f t="shared" ca="1" si="83"/>
        <v>900</v>
      </c>
      <c r="N321" s="44">
        <f t="shared" ca="1" si="84"/>
        <v>10</v>
      </c>
      <c r="O321" s="94">
        <f t="shared" ca="1" si="85"/>
        <v>2.855590707781452</v>
      </c>
      <c r="P321" s="94">
        <f t="shared" ca="1" si="86"/>
        <v>28.555907077814521</v>
      </c>
      <c r="Q321" s="94">
        <f t="shared" ca="1" si="87"/>
        <v>28.555907077814521</v>
      </c>
      <c r="R321" s="94">
        <f t="shared" ca="1" si="88"/>
        <v>2.855590707781452</v>
      </c>
      <c r="S321" s="94">
        <f t="shared" ca="1" si="89"/>
        <v>2.855590707781452</v>
      </c>
      <c r="T321" s="4">
        <f t="shared" ca="1" si="90"/>
        <v>4.246092047028579E-16</v>
      </c>
      <c r="U321" s="46">
        <f t="shared" ca="1" si="91"/>
        <v>1468.276501057248</v>
      </c>
      <c r="V321" s="4">
        <f t="shared" ca="1" si="92"/>
        <v>2.183239060482078E-13</v>
      </c>
      <c r="W321" s="13">
        <f t="shared" ca="1" si="93"/>
        <v>2185.3719819562502</v>
      </c>
      <c r="X321" s="4">
        <f t="shared" ca="1" si="94"/>
        <v>3.2495170148500474E-13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1.5651999999999999E-2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202</v>
      </c>
      <c r="M322" s="7">
        <f t="shared" ca="1" si="83"/>
        <v>798</v>
      </c>
      <c r="N322" s="44">
        <f t="shared" ca="1" si="84"/>
        <v>9</v>
      </c>
      <c r="O322" s="94">
        <f t="shared" ca="1" si="85"/>
        <v>2.6080912058901573</v>
      </c>
      <c r="P322" s="94">
        <f t="shared" ca="1" si="86"/>
        <v>26.080912058901578</v>
      </c>
      <c r="Q322" s="94">
        <f t="shared" ca="1" si="87"/>
        <v>26.080912058901578</v>
      </c>
      <c r="R322" s="94">
        <f t="shared" ca="1" si="88"/>
        <v>2.6080912058901577</v>
      </c>
      <c r="S322" s="94">
        <f t="shared" ca="1" si="89"/>
        <v>2.6080912058901573</v>
      </c>
      <c r="T322" s="4">
        <f t="shared" ca="1" si="90"/>
        <v>0</v>
      </c>
      <c r="U322" s="46">
        <f t="shared" ca="1" si="91"/>
        <v>1472.2765406745989</v>
      </c>
      <c r="V322" s="4">
        <f t="shared" ca="1" si="92"/>
        <v>0</v>
      </c>
      <c r="W322" s="13">
        <f t="shared" ca="1" si="93"/>
        <v>17453.800451508654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1.5651999999999999E-2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7.2943434127201038E-4</v>
      </c>
      <c r="L323" s="13">
        <f t="shared" ca="1" si="82"/>
        <v>185</v>
      </c>
      <c r="M323" s="7">
        <f t="shared" ca="1" si="83"/>
        <v>815</v>
      </c>
      <c r="N323" s="44">
        <f t="shared" ca="1" si="84"/>
        <v>9</v>
      </c>
      <c r="O323" s="94">
        <f t="shared" ca="1" si="85"/>
        <v>2.6080912058901573</v>
      </c>
      <c r="P323" s="94">
        <f t="shared" ca="1" si="86"/>
        <v>26.080912058901578</v>
      </c>
      <c r="Q323" s="94">
        <f t="shared" ca="1" si="87"/>
        <v>26.080912058901578</v>
      </c>
      <c r="R323" s="94">
        <f t="shared" ca="1" si="88"/>
        <v>2.6080912058901577</v>
      </c>
      <c r="S323" s="94">
        <f t="shared" ca="1" si="89"/>
        <v>2.6080912058901573</v>
      </c>
      <c r="T323" s="4">
        <f t="shared" ca="1" si="90"/>
        <v>1.90243129074581E-3</v>
      </c>
      <c r="U323" s="46">
        <f t="shared" ca="1" si="91"/>
        <v>1455.2765406745989</v>
      </c>
      <c r="V323" s="4">
        <f t="shared" ca="1" si="92"/>
        <v>1.061528684815586</v>
      </c>
      <c r="W323" s="13">
        <f t="shared" ca="1" si="93"/>
        <v>15268.428469552404</v>
      </c>
      <c r="X323" s="4">
        <f t="shared" ca="1" si="94"/>
        <v>11.137316062946768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1.5651999999999999E-2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4.4208141895273384E-5</v>
      </c>
      <c r="L324" s="13">
        <f t="shared" ca="1" si="82"/>
        <v>168</v>
      </c>
      <c r="M324" s="7">
        <f t="shared" ca="1" si="83"/>
        <v>832</v>
      </c>
      <c r="N324" s="44">
        <f t="shared" ca="1" si="84"/>
        <v>9</v>
      </c>
      <c r="O324" s="94">
        <f t="shared" ca="1" si="85"/>
        <v>2.6080912058901573</v>
      </c>
      <c r="P324" s="94">
        <f t="shared" ca="1" si="86"/>
        <v>26.080912058901578</v>
      </c>
      <c r="Q324" s="94">
        <f t="shared" ca="1" si="87"/>
        <v>26.080912058901578</v>
      </c>
      <c r="R324" s="94">
        <f t="shared" ca="1" si="88"/>
        <v>2.6080912058901577</v>
      </c>
      <c r="S324" s="94">
        <f t="shared" ca="1" si="89"/>
        <v>2.6080912058901573</v>
      </c>
      <c r="T324" s="4">
        <f t="shared" ca="1" si="90"/>
        <v>1.1529886610580675E-4</v>
      </c>
      <c r="U324" s="46">
        <f t="shared" ca="1" si="91"/>
        <v>1438.2765406745989</v>
      </c>
      <c r="V324" s="4">
        <f t="shared" ca="1" si="92"/>
        <v>6.3583533394785605E-2</v>
      </c>
      <c r="W324" s="13">
        <f t="shared" ca="1" si="93"/>
        <v>13083.056487596155</v>
      </c>
      <c r="X324" s="4">
        <f t="shared" ca="1" si="94"/>
        <v>0.57837761762752782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1.5651999999999999E-2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1.1163672195776121E-6</v>
      </c>
      <c r="L325" s="13">
        <f t="shared" ca="1" si="82"/>
        <v>151</v>
      </c>
      <c r="M325" s="7">
        <f t="shared" ca="1" si="83"/>
        <v>849</v>
      </c>
      <c r="N325" s="44">
        <f t="shared" ca="1" si="84"/>
        <v>9</v>
      </c>
      <c r="O325" s="94">
        <f t="shared" ca="1" si="85"/>
        <v>2.6080912058901573</v>
      </c>
      <c r="P325" s="94">
        <f t="shared" ca="1" si="86"/>
        <v>26.080912058901578</v>
      </c>
      <c r="Q325" s="94">
        <f t="shared" ca="1" si="87"/>
        <v>26.080912058901578</v>
      </c>
      <c r="R325" s="94">
        <f t="shared" ca="1" si="88"/>
        <v>2.6080912058901577</v>
      </c>
      <c r="S325" s="94">
        <f t="shared" ca="1" si="89"/>
        <v>2.6080912058901573</v>
      </c>
      <c r="T325" s="4">
        <f t="shared" ca="1" si="90"/>
        <v>2.9115875279244166E-6</v>
      </c>
      <c r="U325" s="46">
        <f t="shared" ca="1" si="91"/>
        <v>1421.2765406745989</v>
      </c>
      <c r="V325" s="4">
        <f t="shared" ca="1" si="92"/>
        <v>1.5866665399637888E-3</v>
      </c>
      <c r="W325" s="13">
        <f t="shared" ca="1" si="93"/>
        <v>10897.684505639905</v>
      </c>
      <c r="X325" s="4">
        <f t="shared" ca="1" si="94"/>
        <v>1.2165817751395245E-2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1.5651999999999999E-2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1.5035248748520036E-8</v>
      </c>
      <c r="L326" s="13">
        <f t="shared" ca="1" si="82"/>
        <v>134</v>
      </c>
      <c r="M326" s="7">
        <f t="shared" ca="1" si="83"/>
        <v>866</v>
      </c>
      <c r="N326" s="44">
        <f t="shared" ca="1" si="84"/>
        <v>10</v>
      </c>
      <c r="O326" s="94">
        <f t="shared" ca="1" si="85"/>
        <v>2.855590707781452</v>
      </c>
      <c r="P326" s="94">
        <f t="shared" ca="1" si="86"/>
        <v>26.328411560792873</v>
      </c>
      <c r="Q326" s="94">
        <f t="shared" ca="1" si="87"/>
        <v>26.080912058901578</v>
      </c>
      <c r="R326" s="94">
        <f t="shared" ca="1" si="88"/>
        <v>2.6204661809847223</v>
      </c>
      <c r="S326" s="94">
        <f t="shared" ca="1" si="89"/>
        <v>2.855590707781452</v>
      </c>
      <c r="T326" s="4">
        <f t="shared" ca="1" si="90"/>
        <v>4.293451661545652E-8</v>
      </c>
      <c r="U326" s="46">
        <f t="shared" ca="1" si="91"/>
        <v>1502.276501057248</v>
      </c>
      <c r="V326" s="4">
        <f t="shared" ca="1" si="92"/>
        <v>2.2587100882452046E-5</v>
      </c>
      <c r="W326" s="13">
        <f t="shared" ca="1" si="93"/>
        <v>8712.3125236836531</v>
      </c>
      <c r="X326" s="4">
        <f t="shared" ca="1" si="94"/>
        <v>1.3099178596843008E-4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1.5651999999999999E-2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1.1390339961000043E-10</v>
      </c>
      <c r="L327" s="13">
        <f t="shared" ca="1" si="82"/>
        <v>117</v>
      </c>
      <c r="M327" s="7">
        <f t="shared" ca="1" si="83"/>
        <v>883</v>
      </c>
      <c r="N327" s="44">
        <f t="shared" ca="1" si="84"/>
        <v>10</v>
      </c>
      <c r="O327" s="94">
        <f t="shared" ca="1" si="85"/>
        <v>2.855590707781452</v>
      </c>
      <c r="P327" s="94">
        <f t="shared" ca="1" si="86"/>
        <v>28.555907077814521</v>
      </c>
      <c r="Q327" s="94">
        <f t="shared" ca="1" si="87"/>
        <v>28.060908074031932</v>
      </c>
      <c r="R327" s="94">
        <f t="shared" ca="1" si="88"/>
        <v>2.8308407575923225</v>
      </c>
      <c r="S327" s="94">
        <f t="shared" ca="1" si="89"/>
        <v>2.855590707781452</v>
      </c>
      <c r="T327" s="4">
        <f t="shared" ca="1" si="90"/>
        <v>3.2526148951103471E-10</v>
      </c>
      <c r="U327" s="46">
        <f t="shared" ca="1" si="91"/>
        <v>1485.276501057248</v>
      </c>
      <c r="V327" s="4">
        <f t="shared" ca="1" si="92"/>
        <v>1.6917804283126694E-7</v>
      </c>
      <c r="W327" s="13">
        <f t="shared" ca="1" si="93"/>
        <v>6526.9405417274047</v>
      </c>
      <c r="X327" s="4">
        <f t="shared" ca="1" si="94"/>
        <v>7.4344071675508926E-7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1.5651999999999999E-2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4.6021575600000203E-13</v>
      </c>
      <c r="L328" s="13">
        <f t="shared" ca="1" si="82"/>
        <v>100</v>
      </c>
      <c r="M328" s="7">
        <f t="shared" ca="1" si="83"/>
        <v>900</v>
      </c>
      <c r="N328" s="44">
        <f t="shared" ca="1" si="84"/>
        <v>10</v>
      </c>
      <c r="O328" s="94">
        <f t="shared" ca="1" si="85"/>
        <v>2.855590707781452</v>
      </c>
      <c r="P328" s="94">
        <f t="shared" ca="1" si="86"/>
        <v>28.555907077814521</v>
      </c>
      <c r="Q328" s="94">
        <f t="shared" ca="1" si="87"/>
        <v>28.555907077814521</v>
      </c>
      <c r="R328" s="94">
        <f t="shared" ca="1" si="88"/>
        <v>2.855590707781452</v>
      </c>
      <c r="S328" s="94">
        <f t="shared" ca="1" si="89"/>
        <v>2.855590707781452</v>
      </c>
      <c r="T328" s="4">
        <f t="shared" ca="1" si="90"/>
        <v>1.3141878364082218E-12</v>
      </c>
      <c r="U328" s="46">
        <f t="shared" ca="1" si="91"/>
        <v>1468.276501057248</v>
      </c>
      <c r="V328" s="4">
        <f t="shared" ca="1" si="92"/>
        <v>6.7572397995109912E-10</v>
      </c>
      <c r="W328" s="13">
        <f t="shared" ca="1" si="93"/>
        <v>4341.5685597711545</v>
      </c>
      <c r="X328" s="4">
        <f t="shared" ca="1" si="94"/>
        <v>1.998058256960922E-9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1.5651999999999999E-2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7.7477400000000418E-16</v>
      </c>
      <c r="L329" s="13">
        <f t="shared" ca="1" si="82"/>
        <v>100</v>
      </c>
      <c r="M329" s="7">
        <f t="shared" ca="1" si="83"/>
        <v>900</v>
      </c>
      <c r="N329" s="44">
        <f t="shared" ca="1" si="84"/>
        <v>10</v>
      </c>
      <c r="O329" s="94">
        <f t="shared" ca="1" si="85"/>
        <v>2.855590707781452</v>
      </c>
      <c r="P329" s="94">
        <f t="shared" ca="1" si="86"/>
        <v>28.555907077814521</v>
      </c>
      <c r="Q329" s="94">
        <f t="shared" ca="1" si="87"/>
        <v>28.555907077814521</v>
      </c>
      <c r="R329" s="94">
        <f t="shared" ca="1" si="88"/>
        <v>2.855590707781452</v>
      </c>
      <c r="S329" s="94">
        <f t="shared" ca="1" si="89"/>
        <v>2.855590707781452</v>
      </c>
      <c r="T329" s="4">
        <f t="shared" ca="1" si="90"/>
        <v>2.2124374350306786E-15</v>
      </c>
      <c r="U329" s="46">
        <f t="shared" ca="1" si="91"/>
        <v>1468.276501057248</v>
      </c>
      <c r="V329" s="4">
        <f t="shared" ca="1" si="92"/>
        <v>1.1375824578301344E-12</v>
      </c>
      <c r="W329" s="13">
        <f t="shared" ca="1" si="93"/>
        <v>2156.1965778149038</v>
      </c>
      <c r="X329" s="4">
        <f t="shared" ca="1" si="94"/>
        <v>1.6705650473799733E-12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1.5651999999999999E-2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119</v>
      </c>
      <c r="M330" s="7">
        <f t="shared" ca="1" si="83"/>
        <v>881</v>
      </c>
      <c r="N330" s="44">
        <f t="shared" ca="1" si="84"/>
        <v>10</v>
      </c>
      <c r="O330" s="94">
        <f t="shared" ca="1" si="85"/>
        <v>2.855590707781452</v>
      </c>
      <c r="P330" s="94">
        <f t="shared" ca="1" si="86"/>
        <v>28.555907077814521</v>
      </c>
      <c r="Q330" s="94">
        <f t="shared" ca="1" si="87"/>
        <v>27.565909070249344</v>
      </c>
      <c r="R330" s="94">
        <f t="shared" ca="1" si="88"/>
        <v>2.8060908074031934</v>
      </c>
      <c r="S330" s="94">
        <f t="shared" ca="1" si="89"/>
        <v>2.855590707781452</v>
      </c>
      <c r="T330" s="4">
        <f t="shared" ca="1" si="90"/>
        <v>0</v>
      </c>
      <c r="U330" s="46">
        <f t="shared" ca="1" si="91"/>
        <v>1487.276501057248</v>
      </c>
      <c r="V330" s="4">
        <f t="shared" ca="1" si="92"/>
        <v>0</v>
      </c>
      <c r="W330" s="13">
        <f t="shared" ca="1" si="93"/>
        <v>15297.60387369375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1.5651999999999999E-2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7.3680236492122319E-6</v>
      </c>
      <c r="L331" s="13">
        <f t="shared" ca="1" si="82"/>
        <v>102</v>
      </c>
      <c r="M331" s="7">
        <f t="shared" ca="1" si="83"/>
        <v>898</v>
      </c>
      <c r="N331" s="44">
        <f t="shared" ca="1" si="84"/>
        <v>10</v>
      </c>
      <c r="O331" s="94">
        <f t="shared" ca="1" si="85"/>
        <v>2.855590707781452</v>
      </c>
      <c r="P331" s="94">
        <f t="shared" ca="1" si="86"/>
        <v>28.555907077814521</v>
      </c>
      <c r="Q331" s="94">
        <f t="shared" ca="1" si="87"/>
        <v>28.555907077814521</v>
      </c>
      <c r="R331" s="94">
        <f t="shared" ca="1" si="88"/>
        <v>2.855590707781452</v>
      </c>
      <c r="S331" s="94">
        <f t="shared" ca="1" si="89"/>
        <v>2.855590707781452</v>
      </c>
      <c r="T331" s="4">
        <f t="shared" ca="1" si="90"/>
        <v>2.1040059867404435E-5</v>
      </c>
      <c r="U331" s="46">
        <f t="shared" ca="1" si="91"/>
        <v>1470.276501057248</v>
      </c>
      <c r="V331" s="4">
        <f t="shared" ca="1" si="92"/>
        <v>1.0833032030670816E-2</v>
      </c>
      <c r="W331" s="13">
        <f t="shared" ca="1" si="93"/>
        <v>13112.2318917375</v>
      </c>
      <c r="X331" s="4">
        <f t="shared" ca="1" si="94"/>
        <v>9.6611234672276738E-2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1.5651999999999999E-2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4.4654688783104469E-7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10</v>
      </c>
      <c r="O332" s="94">
        <f t="shared" ca="1" si="85"/>
        <v>2.855590707781452</v>
      </c>
      <c r="P332" s="94">
        <f t="shared" ca="1" si="86"/>
        <v>28.555907077814521</v>
      </c>
      <c r="Q332" s="94">
        <f t="shared" ca="1" si="87"/>
        <v>28.555907077814521</v>
      </c>
      <c r="R332" s="94">
        <f t="shared" ca="1" si="88"/>
        <v>2.855590707781452</v>
      </c>
      <c r="S332" s="94">
        <f t="shared" ca="1" si="89"/>
        <v>2.855590707781452</v>
      </c>
      <c r="T332" s="4">
        <f t="shared" ca="1" si="90"/>
        <v>1.2751551434790576E-6</v>
      </c>
      <c r="U332" s="46">
        <f t="shared" ca="1" si="91"/>
        <v>1468.276501057248</v>
      </c>
      <c r="V332" s="4">
        <f t="shared" ca="1" si="92"/>
        <v>6.5565430202256969E-4</v>
      </c>
      <c r="W332" s="13">
        <f t="shared" ca="1" si="93"/>
        <v>10926.859909781251</v>
      </c>
      <c r="X332" s="4">
        <f t="shared" ca="1" si="94"/>
        <v>4.8793552864786274E-3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1.5651999999999999E-2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1.1276436561390029E-8</v>
      </c>
      <c r="L333" s="13">
        <f t="shared" ca="1" si="82"/>
        <v>100</v>
      </c>
      <c r="M333" s="7">
        <f t="shared" ca="1" si="83"/>
        <v>900</v>
      </c>
      <c r="N333" s="44">
        <f t="shared" ca="1" si="84"/>
        <v>10</v>
      </c>
      <c r="O333" s="94">
        <f t="shared" ca="1" si="85"/>
        <v>2.855590707781452</v>
      </c>
      <c r="P333" s="94">
        <f t="shared" ca="1" si="86"/>
        <v>28.555907077814521</v>
      </c>
      <c r="Q333" s="94">
        <f t="shared" ca="1" si="87"/>
        <v>28.555907077814521</v>
      </c>
      <c r="R333" s="94">
        <f t="shared" ca="1" si="88"/>
        <v>2.855590707781452</v>
      </c>
      <c r="S333" s="94">
        <f t="shared" ca="1" si="89"/>
        <v>2.855590707781452</v>
      </c>
      <c r="T333" s="4">
        <f t="shared" ca="1" si="90"/>
        <v>3.2200887461592397E-8</v>
      </c>
      <c r="U333" s="46">
        <f t="shared" ca="1" si="91"/>
        <v>1468.276501057248</v>
      </c>
      <c r="V333" s="4">
        <f t="shared" ca="1" si="92"/>
        <v>1.6556926818751776E-5</v>
      </c>
      <c r="W333" s="13">
        <f t="shared" ca="1" si="93"/>
        <v>8741.487927825001</v>
      </c>
      <c r="X333" s="4">
        <f t="shared" ca="1" si="94"/>
        <v>9.8572834070275402E-5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1.5651999999999999E-2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1.5187119948000052E-10</v>
      </c>
      <c r="L334" s="13">
        <f t="shared" ca="1" si="82"/>
        <v>100</v>
      </c>
      <c r="M334" s="7">
        <f t="shared" ca="1" si="83"/>
        <v>900</v>
      </c>
      <c r="N334" s="44">
        <f t="shared" ca="1" si="84"/>
        <v>10</v>
      </c>
      <c r="O334" s="94">
        <f t="shared" ca="1" si="85"/>
        <v>2.855590707781452</v>
      </c>
      <c r="P334" s="94">
        <f t="shared" ca="1" si="86"/>
        <v>28.555907077814521</v>
      </c>
      <c r="Q334" s="94">
        <f t="shared" ca="1" si="87"/>
        <v>28.555907077814521</v>
      </c>
      <c r="R334" s="94">
        <f t="shared" ca="1" si="88"/>
        <v>2.855590707781452</v>
      </c>
      <c r="S334" s="94">
        <f t="shared" ca="1" si="89"/>
        <v>2.855590707781452</v>
      </c>
      <c r="T334" s="4">
        <f t="shared" ca="1" si="90"/>
        <v>4.3368198601471274E-10</v>
      </c>
      <c r="U334" s="46">
        <f t="shared" ca="1" si="91"/>
        <v>1468.276501057248</v>
      </c>
      <c r="V334" s="4">
        <f t="shared" ca="1" si="92"/>
        <v>2.2298891338386251E-7</v>
      </c>
      <c r="W334" s="13">
        <f t="shared" ca="1" si="93"/>
        <v>6556.1159458687498</v>
      </c>
      <c r="X334" s="4">
        <f t="shared" ca="1" si="94"/>
        <v>9.9568519262904512E-7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1.5651999999999999E-2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1.1505393900000053E-12</v>
      </c>
      <c r="L335" s="13">
        <f t="shared" ca="1" si="82"/>
        <v>100</v>
      </c>
      <c r="M335" s="7">
        <f t="shared" ca="1" si="83"/>
        <v>900</v>
      </c>
      <c r="N335" s="44">
        <f t="shared" ca="1" si="84"/>
        <v>10</v>
      </c>
      <c r="O335" s="94">
        <f t="shared" ca="1" si="85"/>
        <v>2.855590707781452</v>
      </c>
      <c r="P335" s="94">
        <f t="shared" ca="1" si="86"/>
        <v>28.555907077814521</v>
      </c>
      <c r="Q335" s="94">
        <f t="shared" ca="1" si="87"/>
        <v>28.555907077814521</v>
      </c>
      <c r="R335" s="94">
        <f t="shared" ca="1" si="88"/>
        <v>2.855590707781452</v>
      </c>
      <c r="S335" s="94">
        <f t="shared" ca="1" si="89"/>
        <v>2.855590707781452</v>
      </c>
      <c r="T335" s="4">
        <f t="shared" ca="1" si="90"/>
        <v>3.2854695910205549E-12</v>
      </c>
      <c r="U335" s="46">
        <f t="shared" ca="1" si="91"/>
        <v>1468.276501057248</v>
      </c>
      <c r="V335" s="4">
        <f t="shared" ca="1" si="92"/>
        <v>1.6893099498777481E-9</v>
      </c>
      <c r="W335" s="13">
        <f t="shared" ca="1" si="93"/>
        <v>4370.7439639125005</v>
      </c>
      <c r="X335" s="4">
        <f t="shared" ca="1" si="94"/>
        <v>5.0287130940860932E-9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1.5651999999999999E-2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4.6486440000000251E-15</v>
      </c>
      <c r="L336" s="13">
        <f t="shared" ca="1" si="82"/>
        <v>100</v>
      </c>
      <c r="M336" s="7">
        <f t="shared" ca="1" si="83"/>
        <v>900</v>
      </c>
      <c r="N336" s="44">
        <f t="shared" ca="1" si="84"/>
        <v>10</v>
      </c>
      <c r="O336" s="94">
        <f t="shared" ca="1" si="85"/>
        <v>2.855590707781452</v>
      </c>
      <c r="P336" s="94">
        <f t="shared" ca="1" si="86"/>
        <v>28.555907077814521</v>
      </c>
      <c r="Q336" s="94">
        <f t="shared" ca="1" si="87"/>
        <v>28.555907077814521</v>
      </c>
      <c r="R336" s="94">
        <f t="shared" ca="1" si="88"/>
        <v>2.855590707781452</v>
      </c>
      <c r="S336" s="94">
        <f t="shared" ca="1" si="89"/>
        <v>2.855590707781452</v>
      </c>
      <c r="T336" s="4">
        <f t="shared" ca="1" si="90"/>
        <v>1.3274624610184072E-14</v>
      </c>
      <c r="U336" s="46">
        <f t="shared" ca="1" si="91"/>
        <v>1468.276501057248</v>
      </c>
      <c r="V336" s="4">
        <f t="shared" ca="1" si="92"/>
        <v>6.8254947469808063E-12</v>
      </c>
      <c r="W336" s="13">
        <f t="shared" ca="1" si="93"/>
        <v>2185.3719819562502</v>
      </c>
      <c r="X336" s="4">
        <f t="shared" ca="1" si="94"/>
        <v>1.0159016351689086E-11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1.5651999999999999E-2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7.8260000000000491E-18</v>
      </c>
      <c r="L337" s="13">
        <f t="shared" ca="1" si="82"/>
        <v>100</v>
      </c>
      <c r="M337" s="7">
        <f t="shared" ca="1" si="83"/>
        <v>900</v>
      </c>
      <c r="N337" s="44">
        <f t="shared" ca="1" si="84"/>
        <v>10</v>
      </c>
      <c r="O337" s="94">
        <f t="shared" ca="1" si="85"/>
        <v>2.855590707781452</v>
      </c>
      <c r="P337" s="94">
        <f t="shared" ca="1" si="86"/>
        <v>28.555907077814521</v>
      </c>
      <c r="Q337" s="94">
        <f t="shared" ca="1" si="87"/>
        <v>28.555907077814521</v>
      </c>
      <c r="R337" s="94">
        <f t="shared" ca="1" si="88"/>
        <v>2.855590707781452</v>
      </c>
      <c r="S337" s="94">
        <f t="shared" ca="1" si="89"/>
        <v>2.855590707781452</v>
      </c>
      <c r="T337" s="4">
        <f t="shared" ca="1" si="90"/>
        <v>2.2347852879097783E-17</v>
      </c>
      <c r="U337" s="46">
        <f t="shared" ca="1" si="91"/>
        <v>1468.276501057248</v>
      </c>
      <c r="V337" s="4">
        <f t="shared" ca="1" si="92"/>
        <v>1.1490731897274095E-14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1.9599999999999996E-2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285</v>
      </c>
      <c r="M338" s="7">
        <f t="shared" ref="M338:M401" ca="1" si="102">MAX(Set1MinTP-(L338+Set1Regain), 0)</f>
        <v>715</v>
      </c>
      <c r="N338" s="44">
        <f t="shared" ref="N338:N401" ca="1" si="103">CEILING(M338/Set1MeleeTP, 1)</f>
        <v>8</v>
      </c>
      <c r="O338" s="94">
        <f t="shared" ref="O338:O401" ca="1" si="104">VLOOKUP(N338,AvgRoundsSet1,2)</f>
        <v>2.3721134347108093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23.721134347108087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23.721134347108087</v>
      </c>
      <c r="R338" s="94">
        <f t="shared" ref="R338:R401" ca="1" si="107">(P338+Q338)/20</f>
        <v>2.3721134347108088</v>
      </c>
      <c r="S338" s="94">
        <f t="shared" ref="S338:S401" ca="1" si="108">R338*Set1ConserveTP + O338*(1-Set1ConserveTP)</f>
        <v>2.3721134347108093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1461.8387274667198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19639.172433464904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1.9599999999999996E-2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1.735505677802815E-2</v>
      </c>
      <c r="L339" s="13">
        <f t="shared" ca="1" si="101"/>
        <v>268</v>
      </c>
      <c r="M339" s="7">
        <f t="shared" ca="1" si="102"/>
        <v>732</v>
      </c>
      <c r="N339" s="44">
        <f t="shared" ca="1" si="103"/>
        <v>8</v>
      </c>
      <c r="O339" s="94">
        <f t="shared" ca="1" si="104"/>
        <v>2.3721134347108093</v>
      </c>
      <c r="P339" s="94">
        <f t="shared" ca="1" si="105"/>
        <v>23.721134347108087</v>
      </c>
      <c r="Q339" s="94">
        <f t="shared" ca="1" si="106"/>
        <v>23.721134347108087</v>
      </c>
      <c r="R339" s="94">
        <f t="shared" ca="1" si="107"/>
        <v>2.3721134347108088</v>
      </c>
      <c r="S339" s="94">
        <f t="shared" ca="1" si="108"/>
        <v>2.3721134347108093</v>
      </c>
      <c r="T339" s="4">
        <f t="shared" ca="1" si="109"/>
        <v>4.1168163343329463E-2</v>
      </c>
      <c r="U339" s="46">
        <f t="shared" ca="1" si="110"/>
        <v>1444.8387274667198</v>
      </c>
      <c r="V339" s="4">
        <f t="shared" ca="1" si="111"/>
        <v>25.075258150278863</v>
      </c>
      <c r="W339" s="13">
        <f t="shared" ca="1" si="112"/>
        <v>17453.800451508654</v>
      </c>
      <c r="X339" s="4">
        <f t="shared" ca="1" si="113"/>
        <v>302.91169782830605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1.9599999999999996E-2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1.0518216229107977E-3</v>
      </c>
      <c r="L340" s="13">
        <f t="shared" ca="1" si="101"/>
        <v>251</v>
      </c>
      <c r="M340" s="7">
        <f t="shared" ca="1" si="102"/>
        <v>749</v>
      </c>
      <c r="N340" s="44">
        <f t="shared" ca="1" si="103"/>
        <v>8</v>
      </c>
      <c r="O340" s="94">
        <f t="shared" ca="1" si="104"/>
        <v>2.3721134347108093</v>
      </c>
      <c r="P340" s="94">
        <f t="shared" ca="1" si="105"/>
        <v>23.721134347108087</v>
      </c>
      <c r="Q340" s="94">
        <f t="shared" ca="1" si="106"/>
        <v>23.721134347108087</v>
      </c>
      <c r="R340" s="94">
        <f t="shared" ca="1" si="107"/>
        <v>2.3721134347108088</v>
      </c>
      <c r="S340" s="94">
        <f t="shared" ca="1" si="108"/>
        <v>2.3721134347108093</v>
      </c>
      <c r="T340" s="4">
        <f t="shared" ca="1" si="109"/>
        <v>2.4950402026260301E-3</v>
      </c>
      <c r="U340" s="46">
        <f t="shared" ca="1" si="110"/>
        <v>1427.8387274667198</v>
      </c>
      <c r="V340" s="4">
        <f t="shared" ca="1" si="111"/>
        <v>1.5018316475789333</v>
      </c>
      <c r="W340" s="13">
        <f t="shared" ca="1" si="112"/>
        <v>15268.428469552406</v>
      </c>
      <c r="X340" s="4">
        <f t="shared" ca="1" si="113"/>
        <v>16.059663212142038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1.9599999999999996E-2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2.6561152093707043E-5</v>
      </c>
      <c r="L341" s="13">
        <f t="shared" ca="1" si="101"/>
        <v>234</v>
      </c>
      <c r="M341" s="7">
        <f t="shared" ca="1" si="102"/>
        <v>766</v>
      </c>
      <c r="N341" s="44">
        <f t="shared" ca="1" si="103"/>
        <v>8</v>
      </c>
      <c r="O341" s="94">
        <f t="shared" ca="1" si="104"/>
        <v>2.3721134347108093</v>
      </c>
      <c r="P341" s="94">
        <f t="shared" ca="1" si="105"/>
        <v>23.721134347108087</v>
      </c>
      <c r="Q341" s="94">
        <f t="shared" ca="1" si="106"/>
        <v>23.721134347108087</v>
      </c>
      <c r="R341" s="94">
        <f t="shared" ca="1" si="107"/>
        <v>2.3721134347108088</v>
      </c>
      <c r="S341" s="94">
        <f t="shared" ca="1" si="108"/>
        <v>2.3721134347108093</v>
      </c>
      <c r="T341" s="4">
        <f t="shared" ca="1" si="109"/>
        <v>6.3006065722879612E-5</v>
      </c>
      <c r="U341" s="46">
        <f t="shared" ca="1" si="110"/>
        <v>1410.8387274667198</v>
      </c>
      <c r="V341" s="4">
        <f t="shared" ca="1" si="111"/>
        <v>3.7473502019935642E-2</v>
      </c>
      <c r="W341" s="13">
        <f t="shared" ca="1" si="112"/>
        <v>13083.056487596155</v>
      </c>
      <c r="X341" s="4">
        <f t="shared" ca="1" si="113"/>
        <v>0.34750105321760211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1.9599999999999996E-2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3.5772595412400081E-7</v>
      </c>
      <c r="L342" s="13">
        <f t="shared" ca="1" si="101"/>
        <v>217</v>
      </c>
      <c r="M342" s="7">
        <f t="shared" ca="1" si="102"/>
        <v>783</v>
      </c>
      <c r="N342" s="44">
        <f t="shared" ca="1" si="103"/>
        <v>9</v>
      </c>
      <c r="O342" s="94">
        <f t="shared" ca="1" si="104"/>
        <v>2.6080912058901573</v>
      </c>
      <c r="P342" s="94">
        <f t="shared" ca="1" si="105"/>
        <v>26.080912058901578</v>
      </c>
      <c r="Q342" s="94">
        <f t="shared" ca="1" si="106"/>
        <v>24.665045431825479</v>
      </c>
      <c r="R342" s="94">
        <f t="shared" ca="1" si="107"/>
        <v>2.5372978745363528</v>
      </c>
      <c r="S342" s="94">
        <f t="shared" ca="1" si="108"/>
        <v>2.6080912058901573</v>
      </c>
      <c r="T342" s="4">
        <f t="shared" ca="1" si="109"/>
        <v>9.3298191506947231E-7</v>
      </c>
      <c r="U342" s="46">
        <f t="shared" ca="1" si="110"/>
        <v>1487.2765406745989</v>
      </c>
      <c r="V342" s="4">
        <f t="shared" ca="1" si="111"/>
        <v>5.3203741955906421E-4</v>
      </c>
      <c r="W342" s="13">
        <f t="shared" ca="1" si="112"/>
        <v>10897.684505639903</v>
      </c>
      <c r="X342" s="4">
        <f t="shared" ca="1" si="113"/>
        <v>3.8983845875223745E-3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1.9599999999999996E-2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2.7100451070000096E-9</v>
      </c>
      <c r="L343" s="13">
        <f t="shared" ca="1" si="101"/>
        <v>200</v>
      </c>
      <c r="M343" s="7">
        <f t="shared" ca="1" si="102"/>
        <v>800</v>
      </c>
      <c r="N343" s="44">
        <f t="shared" ca="1" si="103"/>
        <v>9</v>
      </c>
      <c r="O343" s="94">
        <f t="shared" ca="1" si="104"/>
        <v>2.6080912058901573</v>
      </c>
      <c r="P343" s="94">
        <f t="shared" ca="1" si="105"/>
        <v>26.080912058901578</v>
      </c>
      <c r="Q343" s="94">
        <f t="shared" ca="1" si="106"/>
        <v>26.080912058901578</v>
      </c>
      <c r="R343" s="94">
        <f t="shared" ca="1" si="107"/>
        <v>2.6080912058901577</v>
      </c>
      <c r="S343" s="94">
        <f t="shared" ca="1" si="108"/>
        <v>2.6080912058901573</v>
      </c>
      <c r="T343" s="4">
        <f t="shared" ca="1" si="109"/>
        <v>7.0680448111323756E-9</v>
      </c>
      <c r="U343" s="46">
        <f t="shared" ca="1" si="110"/>
        <v>1470.2765406745989</v>
      </c>
      <c r="V343" s="4">
        <f t="shared" ca="1" si="111"/>
        <v>3.9845157449920976E-6</v>
      </c>
      <c r="W343" s="13">
        <f t="shared" ca="1" si="112"/>
        <v>8712.3125236836549</v>
      </c>
      <c r="X343" s="4">
        <f t="shared" ca="1" si="113"/>
        <v>2.3610759925463796E-5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1.9599999999999996E-2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1.0949677200000048E-11</v>
      </c>
      <c r="L344" s="13">
        <f t="shared" ca="1" si="101"/>
        <v>183</v>
      </c>
      <c r="M344" s="7">
        <f t="shared" ca="1" si="102"/>
        <v>817</v>
      </c>
      <c r="N344" s="44">
        <f t="shared" ca="1" si="103"/>
        <v>9</v>
      </c>
      <c r="O344" s="94">
        <f t="shared" ca="1" si="104"/>
        <v>2.6080912058901573</v>
      </c>
      <c r="P344" s="94">
        <f t="shared" ca="1" si="105"/>
        <v>26.080912058901578</v>
      </c>
      <c r="Q344" s="94">
        <f t="shared" ca="1" si="106"/>
        <v>26.080912058901578</v>
      </c>
      <c r="R344" s="94">
        <f t="shared" ca="1" si="107"/>
        <v>2.6080912058901577</v>
      </c>
      <c r="S344" s="94">
        <f t="shared" ca="1" si="108"/>
        <v>2.6080912058901573</v>
      </c>
      <c r="T344" s="4">
        <f t="shared" ca="1" si="109"/>
        <v>2.8557756812656087E-11</v>
      </c>
      <c r="U344" s="46">
        <f t="shared" ca="1" si="110"/>
        <v>1453.2765406745989</v>
      </c>
      <c r="V344" s="4">
        <f t="shared" ca="1" si="111"/>
        <v>1.5912909002719597E-8</v>
      </c>
      <c r="W344" s="13">
        <f t="shared" ca="1" si="112"/>
        <v>6526.9405417274047</v>
      </c>
      <c r="X344" s="4">
        <f t="shared" ca="1" si="113"/>
        <v>7.1467892035508528E-8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1.9599999999999996E-2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1.8433800000000095E-14</v>
      </c>
      <c r="L345" s="13">
        <f t="shared" ca="1" si="101"/>
        <v>166</v>
      </c>
      <c r="M345" s="7">
        <f t="shared" ca="1" si="102"/>
        <v>834</v>
      </c>
      <c r="N345" s="44">
        <f t="shared" ca="1" si="103"/>
        <v>9</v>
      </c>
      <c r="O345" s="94">
        <f t="shared" ca="1" si="104"/>
        <v>2.6080912058901573</v>
      </c>
      <c r="P345" s="94">
        <f t="shared" ca="1" si="105"/>
        <v>26.080912058901578</v>
      </c>
      <c r="Q345" s="94">
        <f t="shared" ca="1" si="106"/>
        <v>26.080912058901578</v>
      </c>
      <c r="R345" s="94">
        <f t="shared" ca="1" si="107"/>
        <v>2.6080912058901577</v>
      </c>
      <c r="S345" s="94">
        <f t="shared" ca="1" si="108"/>
        <v>2.6080912058901573</v>
      </c>
      <c r="T345" s="4">
        <f t="shared" ca="1" si="109"/>
        <v>4.8077031671138233E-14</v>
      </c>
      <c r="U345" s="46">
        <f t="shared" ca="1" si="110"/>
        <v>1436.2765406745989</v>
      </c>
      <c r="V345" s="4">
        <f t="shared" ca="1" si="111"/>
        <v>2.6476034495487559E-11</v>
      </c>
      <c r="W345" s="13">
        <f t="shared" ca="1" si="112"/>
        <v>4341.5685597711545</v>
      </c>
      <c r="X345" s="4">
        <f t="shared" ca="1" si="113"/>
        <v>8.0031606517109921E-11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1.9599999999999996E-2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202</v>
      </c>
      <c r="M346" s="7">
        <f t="shared" ca="1" si="102"/>
        <v>798</v>
      </c>
      <c r="N346" s="44">
        <f t="shared" ca="1" si="103"/>
        <v>9</v>
      </c>
      <c r="O346" s="94">
        <f t="shared" ca="1" si="104"/>
        <v>2.6080912058901573</v>
      </c>
      <c r="P346" s="94">
        <f t="shared" ca="1" si="105"/>
        <v>26.080912058901578</v>
      </c>
      <c r="Q346" s="94">
        <f t="shared" ca="1" si="106"/>
        <v>26.080912058901578</v>
      </c>
      <c r="R346" s="94">
        <f t="shared" ca="1" si="107"/>
        <v>2.6080912058901577</v>
      </c>
      <c r="S346" s="94">
        <f t="shared" ca="1" si="108"/>
        <v>2.6080912058901573</v>
      </c>
      <c r="T346" s="4">
        <f t="shared" ca="1" si="109"/>
        <v>0</v>
      </c>
      <c r="U346" s="46">
        <f t="shared" ca="1" si="110"/>
        <v>1472.2765406745989</v>
      </c>
      <c r="V346" s="4">
        <f t="shared" ca="1" si="111"/>
        <v>0</v>
      </c>
      <c r="W346" s="13">
        <f t="shared" ca="1" si="112"/>
        <v>17482.975855650002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1.9599999999999996E-2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1.7530360381846631E-4</v>
      </c>
      <c r="L347" s="13">
        <f t="shared" ca="1" si="101"/>
        <v>185</v>
      </c>
      <c r="M347" s="7">
        <f t="shared" ca="1" si="102"/>
        <v>815</v>
      </c>
      <c r="N347" s="44">
        <f t="shared" ca="1" si="103"/>
        <v>9</v>
      </c>
      <c r="O347" s="94">
        <f t="shared" ca="1" si="104"/>
        <v>2.6080912058901573</v>
      </c>
      <c r="P347" s="94">
        <f t="shared" ca="1" si="105"/>
        <v>26.080912058901578</v>
      </c>
      <c r="Q347" s="94">
        <f t="shared" ca="1" si="106"/>
        <v>26.080912058901578</v>
      </c>
      <c r="R347" s="94">
        <f t="shared" ca="1" si="107"/>
        <v>2.6080912058901577</v>
      </c>
      <c r="S347" s="94">
        <f t="shared" ca="1" si="108"/>
        <v>2.6080912058901573</v>
      </c>
      <c r="T347" s="4">
        <f t="shared" ca="1" si="109"/>
        <v>4.5720778747979416E-4</v>
      </c>
      <c r="U347" s="46">
        <f t="shared" ca="1" si="110"/>
        <v>1455.2765406745989</v>
      </c>
      <c r="V347" s="4">
        <f t="shared" ca="1" si="111"/>
        <v>0.25511522213272808</v>
      </c>
      <c r="W347" s="13">
        <f t="shared" ca="1" si="112"/>
        <v>15297.60387369375</v>
      </c>
      <c r="X347" s="4">
        <f t="shared" ca="1" si="113"/>
        <v>2.6817250888458446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1.9599999999999996E-2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1.0624460837482815E-5</v>
      </c>
      <c r="L348" s="13">
        <f t="shared" ca="1" si="101"/>
        <v>168</v>
      </c>
      <c r="M348" s="7">
        <f t="shared" ca="1" si="102"/>
        <v>832</v>
      </c>
      <c r="N348" s="44">
        <f t="shared" ca="1" si="103"/>
        <v>9</v>
      </c>
      <c r="O348" s="94">
        <f t="shared" ca="1" si="104"/>
        <v>2.6080912058901573</v>
      </c>
      <c r="P348" s="94">
        <f t="shared" ca="1" si="105"/>
        <v>26.080912058901578</v>
      </c>
      <c r="Q348" s="94">
        <f t="shared" ca="1" si="106"/>
        <v>26.080912058901578</v>
      </c>
      <c r="R348" s="94">
        <f t="shared" ca="1" si="107"/>
        <v>2.6080912058901577</v>
      </c>
      <c r="S348" s="94">
        <f t="shared" ca="1" si="108"/>
        <v>2.6080912058901573</v>
      </c>
      <c r="T348" s="4">
        <f t="shared" ca="1" si="109"/>
        <v>2.7709562877563307E-5</v>
      </c>
      <c r="U348" s="46">
        <f t="shared" ca="1" si="110"/>
        <v>1438.2765406745989</v>
      </c>
      <c r="V348" s="4">
        <f t="shared" ca="1" si="111"/>
        <v>1.5280912779867536E-2</v>
      </c>
      <c r="W348" s="13">
        <f t="shared" ca="1" si="112"/>
        <v>13112.231891737501</v>
      </c>
      <c r="X348" s="4">
        <f t="shared" ca="1" si="113"/>
        <v>0.1393103942257583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1.9599999999999996E-2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2.682944655930007E-7</v>
      </c>
      <c r="L349" s="13">
        <f t="shared" ca="1" si="101"/>
        <v>151</v>
      </c>
      <c r="M349" s="7">
        <f t="shared" ca="1" si="102"/>
        <v>849</v>
      </c>
      <c r="N349" s="44">
        <f t="shared" ca="1" si="103"/>
        <v>9</v>
      </c>
      <c r="O349" s="94">
        <f t="shared" ca="1" si="104"/>
        <v>2.6080912058901573</v>
      </c>
      <c r="P349" s="94">
        <f t="shared" ca="1" si="105"/>
        <v>26.080912058901578</v>
      </c>
      <c r="Q349" s="94">
        <f t="shared" ca="1" si="106"/>
        <v>26.080912058901578</v>
      </c>
      <c r="R349" s="94">
        <f t="shared" ca="1" si="107"/>
        <v>2.6080912058901577</v>
      </c>
      <c r="S349" s="94">
        <f t="shared" ca="1" si="108"/>
        <v>2.6080912058901573</v>
      </c>
      <c r="T349" s="4">
        <f t="shared" ca="1" si="109"/>
        <v>6.9973643630210455E-7</v>
      </c>
      <c r="U349" s="46">
        <f t="shared" ca="1" si="110"/>
        <v>1421.2765406745989</v>
      </c>
      <c r="V349" s="4">
        <f t="shared" ca="1" si="111"/>
        <v>3.8132062994016024E-4</v>
      </c>
      <c r="W349" s="13">
        <f t="shared" ca="1" si="112"/>
        <v>10926.859909781251</v>
      </c>
      <c r="X349" s="4">
        <f t="shared" ca="1" si="113"/>
        <v>2.9316160401043445E-3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1.9599999999999996E-2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3.6133934760000113E-9</v>
      </c>
      <c r="L350" s="13">
        <f t="shared" ca="1" si="101"/>
        <v>134</v>
      </c>
      <c r="M350" s="7">
        <f t="shared" ca="1" si="102"/>
        <v>866</v>
      </c>
      <c r="N350" s="44">
        <f t="shared" ca="1" si="103"/>
        <v>10</v>
      </c>
      <c r="O350" s="94">
        <f t="shared" ca="1" si="104"/>
        <v>2.855590707781452</v>
      </c>
      <c r="P350" s="94">
        <f t="shared" ca="1" si="105"/>
        <v>26.328411560792873</v>
      </c>
      <c r="Q350" s="94">
        <f t="shared" ca="1" si="106"/>
        <v>26.080912058901578</v>
      </c>
      <c r="R350" s="94">
        <f t="shared" ca="1" si="107"/>
        <v>2.6204661809847223</v>
      </c>
      <c r="S350" s="94">
        <f t="shared" ca="1" si="108"/>
        <v>2.855590707781452</v>
      </c>
      <c r="T350" s="4">
        <f t="shared" ca="1" si="109"/>
        <v>1.0318372833623754E-8</v>
      </c>
      <c r="U350" s="46">
        <f t="shared" ca="1" si="110"/>
        <v>1502.276501057248</v>
      </c>
      <c r="V350" s="4">
        <f t="shared" ca="1" si="111"/>
        <v>5.4283161080683841E-6</v>
      </c>
      <c r="W350" s="13">
        <f t="shared" ca="1" si="112"/>
        <v>8741.487927825001</v>
      </c>
      <c r="X350" s="4">
        <f t="shared" ca="1" si="113"/>
        <v>3.1586435448935718E-5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1.9599999999999996E-2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2.7374193000000121E-11</v>
      </c>
      <c r="L351" s="13">
        <f t="shared" ca="1" si="101"/>
        <v>117</v>
      </c>
      <c r="M351" s="7">
        <f t="shared" ca="1" si="102"/>
        <v>883</v>
      </c>
      <c r="N351" s="44">
        <f t="shared" ca="1" si="103"/>
        <v>10</v>
      </c>
      <c r="O351" s="94">
        <f t="shared" ca="1" si="104"/>
        <v>2.855590707781452</v>
      </c>
      <c r="P351" s="94">
        <f t="shared" ca="1" si="105"/>
        <v>28.555907077814521</v>
      </c>
      <c r="Q351" s="94">
        <f t="shared" ca="1" si="106"/>
        <v>28.060908074031932</v>
      </c>
      <c r="R351" s="94">
        <f t="shared" ca="1" si="107"/>
        <v>2.8308407575923225</v>
      </c>
      <c r="S351" s="94">
        <f t="shared" ca="1" si="108"/>
        <v>2.855590707781452</v>
      </c>
      <c r="T351" s="4">
        <f t="shared" ca="1" si="109"/>
        <v>7.8169491163816409E-11</v>
      </c>
      <c r="U351" s="46">
        <f t="shared" ca="1" si="110"/>
        <v>1485.276501057248</v>
      </c>
      <c r="V351" s="4">
        <f t="shared" ca="1" si="111"/>
        <v>4.0658245598305992E-8</v>
      </c>
      <c r="W351" s="13">
        <f t="shared" ca="1" si="112"/>
        <v>6556.1159458687507</v>
      </c>
      <c r="X351" s="4">
        <f t="shared" ca="1" si="113"/>
        <v>1.7946838323258952E-7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1.9599999999999996E-2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1.1060280000000058E-13</v>
      </c>
      <c r="L352" s="13">
        <f t="shared" ca="1" si="101"/>
        <v>100</v>
      </c>
      <c r="M352" s="7">
        <f t="shared" ca="1" si="102"/>
        <v>900</v>
      </c>
      <c r="N352" s="44">
        <f t="shared" ca="1" si="103"/>
        <v>10</v>
      </c>
      <c r="O352" s="94">
        <f t="shared" ca="1" si="104"/>
        <v>2.855590707781452</v>
      </c>
      <c r="P352" s="94">
        <f t="shared" ca="1" si="105"/>
        <v>28.555907077814521</v>
      </c>
      <c r="Q352" s="94">
        <f t="shared" ca="1" si="106"/>
        <v>28.555907077814521</v>
      </c>
      <c r="R352" s="94">
        <f t="shared" ca="1" si="107"/>
        <v>2.855590707781452</v>
      </c>
      <c r="S352" s="94">
        <f t="shared" ca="1" si="108"/>
        <v>2.855590707781452</v>
      </c>
      <c r="T352" s="4">
        <f t="shared" ca="1" si="109"/>
        <v>3.1583632793461204E-13</v>
      </c>
      <c r="U352" s="46">
        <f t="shared" ca="1" si="110"/>
        <v>1468.276501057248</v>
      </c>
      <c r="V352" s="4">
        <f t="shared" ca="1" si="111"/>
        <v>1.6239549219113545E-10</v>
      </c>
      <c r="W352" s="13">
        <f t="shared" ca="1" si="112"/>
        <v>4370.7439639125005</v>
      </c>
      <c r="X352" s="4">
        <f t="shared" ca="1" si="113"/>
        <v>4.834165204918241E-10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1.9599999999999996E-2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1.8620000000000116E-16</v>
      </c>
      <c r="L353" s="13">
        <f t="shared" ca="1" si="101"/>
        <v>100</v>
      </c>
      <c r="M353" s="7">
        <f t="shared" ca="1" si="102"/>
        <v>900</v>
      </c>
      <c r="N353" s="44">
        <f t="shared" ca="1" si="103"/>
        <v>10</v>
      </c>
      <c r="O353" s="94">
        <f t="shared" ca="1" si="104"/>
        <v>2.855590707781452</v>
      </c>
      <c r="P353" s="94">
        <f t="shared" ca="1" si="105"/>
        <v>28.555907077814521</v>
      </c>
      <c r="Q353" s="94">
        <f t="shared" ca="1" si="106"/>
        <v>28.555907077814521</v>
      </c>
      <c r="R353" s="94">
        <f t="shared" ca="1" si="107"/>
        <v>2.855590707781452</v>
      </c>
      <c r="S353" s="94">
        <f t="shared" ca="1" si="108"/>
        <v>2.855590707781452</v>
      </c>
      <c r="T353" s="4">
        <f t="shared" ca="1" si="109"/>
        <v>5.3171098978890963E-16</v>
      </c>
      <c r="U353" s="46">
        <f t="shared" ca="1" si="110"/>
        <v>1468.276501057248</v>
      </c>
      <c r="V353" s="4">
        <f t="shared" ca="1" si="111"/>
        <v>2.7339308449686129E-13</v>
      </c>
      <c r="W353" s="13">
        <f t="shared" ca="1" si="112"/>
        <v>2185.3719819562502</v>
      </c>
      <c r="X353" s="4">
        <f t="shared" ca="1" si="113"/>
        <v>4.0691626304025634E-13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1.9599999999999996E-2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202</v>
      </c>
      <c r="M354" s="7">
        <f t="shared" ca="1" si="102"/>
        <v>798</v>
      </c>
      <c r="N354" s="44">
        <f t="shared" ca="1" si="103"/>
        <v>9</v>
      </c>
      <c r="O354" s="94">
        <f t="shared" ca="1" si="104"/>
        <v>2.6080912058901573</v>
      </c>
      <c r="P354" s="94">
        <f t="shared" ca="1" si="105"/>
        <v>26.080912058901578</v>
      </c>
      <c r="Q354" s="94">
        <f t="shared" ca="1" si="106"/>
        <v>26.080912058901578</v>
      </c>
      <c r="R354" s="94">
        <f t="shared" ca="1" si="107"/>
        <v>2.6080912058901577</v>
      </c>
      <c r="S354" s="94">
        <f t="shared" ca="1" si="108"/>
        <v>2.6080912058901573</v>
      </c>
      <c r="T354" s="4">
        <f t="shared" ca="1" si="109"/>
        <v>0</v>
      </c>
      <c r="U354" s="46">
        <f t="shared" ca="1" si="110"/>
        <v>1472.2765406745989</v>
      </c>
      <c r="V354" s="4">
        <f t="shared" ca="1" si="111"/>
        <v>0</v>
      </c>
      <c r="W354" s="13">
        <f t="shared" ca="1" si="112"/>
        <v>17453.800451508654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1.9599999999999996E-2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9.1342404094885003E-4</v>
      </c>
      <c r="L355" s="13">
        <f t="shared" ca="1" si="101"/>
        <v>185</v>
      </c>
      <c r="M355" s="7">
        <f t="shared" ca="1" si="102"/>
        <v>815</v>
      </c>
      <c r="N355" s="44">
        <f t="shared" ca="1" si="103"/>
        <v>9</v>
      </c>
      <c r="O355" s="94">
        <f t="shared" ca="1" si="104"/>
        <v>2.6080912058901573</v>
      </c>
      <c r="P355" s="94">
        <f t="shared" ca="1" si="105"/>
        <v>26.080912058901578</v>
      </c>
      <c r="Q355" s="94">
        <f t="shared" ca="1" si="106"/>
        <v>26.080912058901578</v>
      </c>
      <c r="R355" s="94">
        <f t="shared" ca="1" si="107"/>
        <v>2.6080912058901577</v>
      </c>
      <c r="S355" s="94">
        <f t="shared" ca="1" si="108"/>
        <v>2.6080912058901573</v>
      </c>
      <c r="T355" s="4">
        <f t="shared" ca="1" si="109"/>
        <v>2.3822932084473468E-3</v>
      </c>
      <c r="U355" s="46">
        <f t="shared" ca="1" si="110"/>
        <v>1455.2765406745989</v>
      </c>
      <c r="V355" s="4">
        <f t="shared" ca="1" si="111"/>
        <v>1.3292845784810556</v>
      </c>
      <c r="W355" s="13">
        <f t="shared" ca="1" si="112"/>
        <v>15268.428469552404</v>
      </c>
      <c r="X355" s="4">
        <f t="shared" ca="1" si="113"/>
        <v>13.946549631597023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1.9599999999999996E-2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5.5359032784778828E-5</v>
      </c>
      <c r="L356" s="13">
        <f t="shared" ca="1" si="101"/>
        <v>168</v>
      </c>
      <c r="M356" s="7">
        <f t="shared" ca="1" si="102"/>
        <v>832</v>
      </c>
      <c r="N356" s="44">
        <f t="shared" ca="1" si="103"/>
        <v>9</v>
      </c>
      <c r="O356" s="94">
        <f t="shared" ca="1" si="104"/>
        <v>2.6080912058901573</v>
      </c>
      <c r="P356" s="94">
        <f t="shared" ca="1" si="105"/>
        <v>26.080912058901578</v>
      </c>
      <c r="Q356" s="94">
        <f t="shared" ca="1" si="106"/>
        <v>26.080912058901578</v>
      </c>
      <c r="R356" s="94">
        <f t="shared" ca="1" si="107"/>
        <v>2.6080912058901577</v>
      </c>
      <c r="S356" s="94">
        <f t="shared" ca="1" si="108"/>
        <v>2.6080912058901573</v>
      </c>
      <c r="T356" s="4">
        <f t="shared" ca="1" si="109"/>
        <v>1.4438140657256656E-4</v>
      </c>
      <c r="U356" s="46">
        <f t="shared" ca="1" si="110"/>
        <v>1438.2765406745989</v>
      </c>
      <c r="V356" s="4">
        <f t="shared" ca="1" si="111"/>
        <v>7.9621598168783406E-2</v>
      </c>
      <c r="W356" s="13">
        <f t="shared" ca="1" si="112"/>
        <v>13083.056487596155</v>
      </c>
      <c r="X356" s="4">
        <f t="shared" ca="1" si="113"/>
        <v>0.72426535302194894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1.9599999999999996E-2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1.3979553733530025E-6</v>
      </c>
      <c r="L357" s="13">
        <f t="shared" ca="1" si="101"/>
        <v>151</v>
      </c>
      <c r="M357" s="7">
        <f t="shared" ca="1" si="102"/>
        <v>849</v>
      </c>
      <c r="N357" s="44">
        <f t="shared" ca="1" si="103"/>
        <v>9</v>
      </c>
      <c r="O357" s="94">
        <f t="shared" ca="1" si="104"/>
        <v>2.6080912058901573</v>
      </c>
      <c r="P357" s="94">
        <f t="shared" ca="1" si="105"/>
        <v>26.080912058901578</v>
      </c>
      <c r="Q357" s="94">
        <f t="shared" ca="1" si="106"/>
        <v>26.080912058901578</v>
      </c>
      <c r="R357" s="94">
        <f t="shared" ca="1" si="107"/>
        <v>2.6080912058901577</v>
      </c>
      <c r="S357" s="94">
        <f t="shared" ca="1" si="108"/>
        <v>2.6080912058901573</v>
      </c>
      <c r="T357" s="4">
        <f t="shared" ca="1" si="109"/>
        <v>3.6459951154688574E-6</v>
      </c>
      <c r="U357" s="46">
        <f t="shared" ca="1" si="110"/>
        <v>1421.2765406745989</v>
      </c>
      <c r="V357" s="4">
        <f t="shared" ca="1" si="111"/>
        <v>1.9868811770566226E-3</v>
      </c>
      <c r="W357" s="13">
        <f t="shared" ca="1" si="112"/>
        <v>10897.684505639905</v>
      </c>
      <c r="X357" s="4">
        <f t="shared" ca="1" si="113"/>
        <v>1.5234476611765064E-2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1.9599999999999996E-2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1.8827681796000045E-8</v>
      </c>
      <c r="L358" s="13">
        <f t="shared" ca="1" si="101"/>
        <v>134</v>
      </c>
      <c r="M358" s="7">
        <f t="shared" ca="1" si="102"/>
        <v>866</v>
      </c>
      <c r="N358" s="44">
        <f t="shared" ca="1" si="103"/>
        <v>10</v>
      </c>
      <c r="O358" s="94">
        <f t="shared" ca="1" si="104"/>
        <v>2.855590707781452</v>
      </c>
      <c r="P358" s="94">
        <f t="shared" ca="1" si="105"/>
        <v>26.328411560792873</v>
      </c>
      <c r="Q358" s="94">
        <f t="shared" ca="1" si="106"/>
        <v>26.080912058901578</v>
      </c>
      <c r="R358" s="94">
        <f t="shared" ca="1" si="107"/>
        <v>2.6204661809847223</v>
      </c>
      <c r="S358" s="94">
        <f t="shared" ca="1" si="108"/>
        <v>2.855590707781452</v>
      </c>
      <c r="T358" s="4">
        <f t="shared" ca="1" si="109"/>
        <v>5.376415318572373E-8</v>
      </c>
      <c r="U358" s="46">
        <f t="shared" ca="1" si="110"/>
        <v>1502.276501057248</v>
      </c>
      <c r="V358" s="4">
        <f t="shared" ca="1" si="111"/>
        <v>2.8284383931514191E-5</v>
      </c>
      <c r="W358" s="13">
        <f t="shared" ca="1" si="112"/>
        <v>8712.3125236836531</v>
      </c>
      <c r="X358" s="4">
        <f t="shared" ca="1" si="113"/>
        <v>1.6403264790322192E-4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1.9599999999999996E-2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1.4263395300000052E-10</v>
      </c>
      <c r="L359" s="13">
        <f t="shared" ca="1" si="101"/>
        <v>117</v>
      </c>
      <c r="M359" s="7">
        <f t="shared" ca="1" si="102"/>
        <v>883</v>
      </c>
      <c r="N359" s="44">
        <f t="shared" ca="1" si="103"/>
        <v>10</v>
      </c>
      <c r="O359" s="94">
        <f t="shared" ca="1" si="104"/>
        <v>2.855590707781452</v>
      </c>
      <c r="P359" s="94">
        <f t="shared" ca="1" si="105"/>
        <v>28.555907077814521</v>
      </c>
      <c r="Q359" s="94">
        <f t="shared" ca="1" si="106"/>
        <v>28.060908074031932</v>
      </c>
      <c r="R359" s="94">
        <f t="shared" ca="1" si="107"/>
        <v>2.8308407575923225</v>
      </c>
      <c r="S359" s="94">
        <f t="shared" ca="1" si="108"/>
        <v>2.855590707781452</v>
      </c>
      <c r="T359" s="4">
        <f t="shared" ca="1" si="109"/>
        <v>4.0730419080093782E-10</v>
      </c>
      <c r="U359" s="46">
        <f t="shared" ca="1" si="110"/>
        <v>1485.276501057248</v>
      </c>
      <c r="V359" s="4">
        <f t="shared" ca="1" si="111"/>
        <v>2.1185085864380473E-7</v>
      </c>
      <c r="W359" s="13">
        <f t="shared" ca="1" si="112"/>
        <v>6526.9405417274047</v>
      </c>
      <c r="X359" s="4">
        <f t="shared" ca="1" si="113"/>
        <v>9.309633304625446E-7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1.9599999999999996E-2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5.7629880000000252E-13</v>
      </c>
      <c r="L360" s="13">
        <f t="shared" ca="1" si="101"/>
        <v>100</v>
      </c>
      <c r="M360" s="7">
        <f t="shared" ca="1" si="102"/>
        <v>900</v>
      </c>
      <c r="N360" s="44">
        <f t="shared" ca="1" si="103"/>
        <v>10</v>
      </c>
      <c r="O360" s="94">
        <f t="shared" ca="1" si="104"/>
        <v>2.855590707781452</v>
      </c>
      <c r="P360" s="94">
        <f t="shared" ca="1" si="105"/>
        <v>28.555907077814521</v>
      </c>
      <c r="Q360" s="94">
        <f t="shared" ca="1" si="106"/>
        <v>28.555907077814521</v>
      </c>
      <c r="R360" s="94">
        <f t="shared" ca="1" si="107"/>
        <v>2.855590707781452</v>
      </c>
      <c r="S360" s="94">
        <f t="shared" ca="1" si="108"/>
        <v>2.855590707781452</v>
      </c>
      <c r="T360" s="4">
        <f t="shared" ca="1" si="109"/>
        <v>1.6456734981856086E-12</v>
      </c>
      <c r="U360" s="46">
        <f t="shared" ca="1" si="110"/>
        <v>1468.276501057248</v>
      </c>
      <c r="V360" s="4">
        <f t="shared" ca="1" si="111"/>
        <v>8.4616598562749444E-10</v>
      </c>
      <c r="W360" s="13">
        <f t="shared" ca="1" si="112"/>
        <v>4341.5685597711545</v>
      </c>
      <c r="X360" s="4">
        <f t="shared" ca="1" si="113"/>
        <v>2.5020407511138554E-9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1.9599999999999996E-2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9.70200000000005E-16</v>
      </c>
      <c r="L361" s="13">
        <f t="shared" ca="1" si="101"/>
        <v>100</v>
      </c>
      <c r="M361" s="7">
        <f t="shared" ca="1" si="102"/>
        <v>900</v>
      </c>
      <c r="N361" s="44">
        <f t="shared" ca="1" si="103"/>
        <v>10</v>
      </c>
      <c r="O361" s="94">
        <f t="shared" ca="1" si="104"/>
        <v>2.855590707781452</v>
      </c>
      <c r="P361" s="94">
        <f t="shared" ca="1" si="105"/>
        <v>28.555907077814521</v>
      </c>
      <c r="Q361" s="94">
        <f t="shared" ca="1" si="106"/>
        <v>28.555907077814521</v>
      </c>
      <c r="R361" s="94">
        <f t="shared" ca="1" si="107"/>
        <v>2.855590707781452</v>
      </c>
      <c r="S361" s="94">
        <f t="shared" ca="1" si="108"/>
        <v>2.855590707781452</v>
      </c>
      <c r="T361" s="4">
        <f t="shared" ca="1" si="109"/>
        <v>2.7704941046895791E-15</v>
      </c>
      <c r="U361" s="46">
        <f t="shared" ca="1" si="110"/>
        <v>1468.276501057248</v>
      </c>
      <c r="V361" s="4">
        <f t="shared" ca="1" si="111"/>
        <v>1.4245218613257494E-12</v>
      </c>
      <c r="W361" s="13">
        <f t="shared" ca="1" si="112"/>
        <v>2156.1965778149038</v>
      </c>
      <c r="X361" s="4">
        <f t="shared" ca="1" si="113"/>
        <v>2.0919419197960302E-12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1.9599999999999996E-2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119</v>
      </c>
      <c r="M362" s="7">
        <f t="shared" ca="1" si="102"/>
        <v>881</v>
      </c>
      <c r="N362" s="44">
        <f t="shared" ca="1" si="103"/>
        <v>10</v>
      </c>
      <c r="O362" s="94">
        <f t="shared" ca="1" si="104"/>
        <v>2.855590707781452</v>
      </c>
      <c r="P362" s="94">
        <f t="shared" ca="1" si="105"/>
        <v>28.555907077814521</v>
      </c>
      <c r="Q362" s="94">
        <f t="shared" ca="1" si="106"/>
        <v>27.565909070249344</v>
      </c>
      <c r="R362" s="94">
        <f t="shared" ca="1" si="107"/>
        <v>2.8060908074031934</v>
      </c>
      <c r="S362" s="94">
        <f t="shared" ca="1" si="108"/>
        <v>2.855590707781452</v>
      </c>
      <c r="T362" s="4">
        <f t="shared" ca="1" si="109"/>
        <v>0</v>
      </c>
      <c r="U362" s="46">
        <f t="shared" ca="1" si="110"/>
        <v>1487.276501057248</v>
      </c>
      <c r="V362" s="4">
        <f t="shared" ca="1" si="111"/>
        <v>0</v>
      </c>
      <c r="W362" s="13">
        <f t="shared" ca="1" si="112"/>
        <v>15297.60387369375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1.9599999999999996E-2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9.2265054641298053E-6</v>
      </c>
      <c r="L363" s="13">
        <f t="shared" ca="1" si="101"/>
        <v>102</v>
      </c>
      <c r="M363" s="7">
        <f t="shared" ca="1" si="102"/>
        <v>898</v>
      </c>
      <c r="N363" s="44">
        <f t="shared" ca="1" si="103"/>
        <v>10</v>
      </c>
      <c r="O363" s="94">
        <f t="shared" ca="1" si="104"/>
        <v>2.855590707781452</v>
      </c>
      <c r="P363" s="94">
        <f t="shared" ca="1" si="105"/>
        <v>28.555907077814521</v>
      </c>
      <c r="Q363" s="94">
        <f t="shared" ca="1" si="106"/>
        <v>28.555907077814521</v>
      </c>
      <c r="R363" s="94">
        <f t="shared" ca="1" si="107"/>
        <v>2.855590707781452</v>
      </c>
      <c r="S363" s="94">
        <f t="shared" ca="1" si="108"/>
        <v>2.855590707781452</v>
      </c>
      <c r="T363" s="4">
        <f t="shared" ca="1" si="109"/>
        <v>2.6347123268663865E-5</v>
      </c>
      <c r="U363" s="46">
        <f t="shared" ca="1" si="110"/>
        <v>1470.276501057248</v>
      </c>
      <c r="V363" s="4">
        <f t="shared" ca="1" si="111"/>
        <v>1.3565514170786349E-2</v>
      </c>
      <c r="W363" s="13">
        <f t="shared" ca="1" si="112"/>
        <v>13112.2318917375</v>
      </c>
      <c r="X363" s="4">
        <f t="shared" ca="1" si="113"/>
        <v>0.12098007919605314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1.9599999999999996E-2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5.5918214934120077E-7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10</v>
      </c>
      <c r="O364" s="94">
        <f t="shared" ca="1" si="104"/>
        <v>2.855590707781452</v>
      </c>
      <c r="P364" s="94">
        <f t="shared" ca="1" si="105"/>
        <v>28.555907077814521</v>
      </c>
      <c r="Q364" s="94">
        <f t="shared" ca="1" si="106"/>
        <v>28.555907077814521</v>
      </c>
      <c r="R364" s="94">
        <f t="shared" ca="1" si="107"/>
        <v>2.855590707781452</v>
      </c>
      <c r="S364" s="94">
        <f t="shared" ca="1" si="108"/>
        <v>2.855590707781452</v>
      </c>
      <c r="T364" s="4">
        <f t="shared" ca="1" si="109"/>
        <v>1.5967953496159931E-6</v>
      </c>
      <c r="U364" s="46">
        <f t="shared" ca="1" si="110"/>
        <v>1468.276501057248</v>
      </c>
      <c r="V364" s="4">
        <f t="shared" ca="1" si="111"/>
        <v>8.2103400968836979E-4</v>
      </c>
      <c r="W364" s="13">
        <f t="shared" ca="1" si="112"/>
        <v>10926.859909781251</v>
      </c>
      <c r="X364" s="4">
        <f t="shared" ca="1" si="113"/>
        <v>6.1101050099016795E-3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1.9599999999999996E-2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1.4120761347000035E-8</v>
      </c>
      <c r="L365" s="13">
        <f t="shared" ca="1" si="101"/>
        <v>100</v>
      </c>
      <c r="M365" s="7">
        <f t="shared" ca="1" si="102"/>
        <v>900</v>
      </c>
      <c r="N365" s="44">
        <f t="shared" ca="1" si="103"/>
        <v>10</v>
      </c>
      <c r="O365" s="94">
        <f t="shared" ca="1" si="104"/>
        <v>2.855590707781452</v>
      </c>
      <c r="P365" s="94">
        <f t="shared" ca="1" si="105"/>
        <v>28.555907077814521</v>
      </c>
      <c r="Q365" s="94">
        <f t="shared" ca="1" si="106"/>
        <v>28.555907077814521</v>
      </c>
      <c r="R365" s="94">
        <f t="shared" ca="1" si="107"/>
        <v>2.855590707781452</v>
      </c>
      <c r="S365" s="94">
        <f t="shared" ca="1" si="108"/>
        <v>2.855590707781452</v>
      </c>
      <c r="T365" s="4">
        <f t="shared" ca="1" si="109"/>
        <v>4.0323114889292797E-8</v>
      </c>
      <c r="U365" s="46">
        <f t="shared" ca="1" si="110"/>
        <v>1468.276501057248</v>
      </c>
      <c r="V365" s="4">
        <f t="shared" ca="1" si="111"/>
        <v>2.0733182062837641E-5</v>
      </c>
      <c r="W365" s="13">
        <f t="shared" ca="1" si="112"/>
        <v>8741.487927825001</v>
      </c>
      <c r="X365" s="4">
        <f t="shared" ca="1" si="113"/>
        <v>1.2343646484649871E-4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1.9599999999999996E-2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1.9017860400000062E-10</v>
      </c>
      <c r="L366" s="13">
        <f t="shared" ca="1" si="101"/>
        <v>100</v>
      </c>
      <c r="M366" s="7">
        <f t="shared" ca="1" si="102"/>
        <v>900</v>
      </c>
      <c r="N366" s="44">
        <f t="shared" ca="1" si="103"/>
        <v>10</v>
      </c>
      <c r="O366" s="94">
        <f t="shared" ca="1" si="104"/>
        <v>2.855590707781452</v>
      </c>
      <c r="P366" s="94">
        <f t="shared" ca="1" si="105"/>
        <v>28.555907077814521</v>
      </c>
      <c r="Q366" s="94">
        <f t="shared" ca="1" si="106"/>
        <v>28.555907077814521</v>
      </c>
      <c r="R366" s="94">
        <f t="shared" ca="1" si="107"/>
        <v>2.855590707781452</v>
      </c>
      <c r="S366" s="94">
        <f t="shared" ca="1" si="108"/>
        <v>2.855590707781452</v>
      </c>
      <c r="T366" s="4">
        <f t="shared" ca="1" si="109"/>
        <v>5.4307225440125026E-10</v>
      </c>
      <c r="U366" s="46">
        <f t="shared" ca="1" si="110"/>
        <v>1468.276501057248</v>
      </c>
      <c r="V366" s="4">
        <f t="shared" ca="1" si="111"/>
        <v>2.7923477525707286E-7</v>
      </c>
      <c r="W366" s="13">
        <f t="shared" ca="1" si="112"/>
        <v>6556.1159458687498</v>
      </c>
      <c r="X366" s="4">
        <f t="shared" ca="1" si="113"/>
        <v>1.2468329782474624E-6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1.9599999999999996E-2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1.4407470000000064E-12</v>
      </c>
      <c r="L367" s="13">
        <f t="shared" ca="1" si="101"/>
        <v>100</v>
      </c>
      <c r="M367" s="7">
        <f t="shared" ca="1" si="102"/>
        <v>900</v>
      </c>
      <c r="N367" s="44">
        <f t="shared" ca="1" si="103"/>
        <v>10</v>
      </c>
      <c r="O367" s="94">
        <f t="shared" ca="1" si="104"/>
        <v>2.855590707781452</v>
      </c>
      <c r="P367" s="94">
        <f t="shared" ca="1" si="105"/>
        <v>28.555907077814521</v>
      </c>
      <c r="Q367" s="94">
        <f t="shared" ca="1" si="106"/>
        <v>28.555907077814521</v>
      </c>
      <c r="R367" s="94">
        <f t="shared" ca="1" si="107"/>
        <v>2.855590707781452</v>
      </c>
      <c r="S367" s="94">
        <f t="shared" ca="1" si="108"/>
        <v>2.855590707781452</v>
      </c>
      <c r="T367" s="4">
        <f t="shared" ca="1" si="109"/>
        <v>4.1141837454640217E-12</v>
      </c>
      <c r="U367" s="46">
        <f t="shared" ca="1" si="110"/>
        <v>1468.276501057248</v>
      </c>
      <c r="V367" s="4">
        <f t="shared" ca="1" si="111"/>
        <v>2.1154149640687364E-9</v>
      </c>
      <c r="W367" s="13">
        <f t="shared" ca="1" si="112"/>
        <v>4370.7439639125005</v>
      </c>
      <c r="X367" s="4">
        <f t="shared" ca="1" si="113"/>
        <v>6.2971362537750717E-9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1.9599999999999996E-2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5.8212000000000308E-15</v>
      </c>
      <c r="L368" s="13">
        <f t="shared" ca="1" si="101"/>
        <v>100</v>
      </c>
      <c r="M368" s="7">
        <f t="shared" ca="1" si="102"/>
        <v>900</v>
      </c>
      <c r="N368" s="44">
        <f t="shared" ca="1" si="103"/>
        <v>10</v>
      </c>
      <c r="O368" s="94">
        <f t="shared" ca="1" si="104"/>
        <v>2.855590707781452</v>
      </c>
      <c r="P368" s="94">
        <f t="shared" ca="1" si="105"/>
        <v>28.555907077814521</v>
      </c>
      <c r="Q368" s="94">
        <f t="shared" ca="1" si="106"/>
        <v>28.555907077814521</v>
      </c>
      <c r="R368" s="94">
        <f t="shared" ca="1" si="107"/>
        <v>2.855590707781452</v>
      </c>
      <c r="S368" s="94">
        <f t="shared" ca="1" si="108"/>
        <v>2.855590707781452</v>
      </c>
      <c r="T368" s="4">
        <f t="shared" ca="1" si="109"/>
        <v>1.6622964628137475E-14</v>
      </c>
      <c r="U368" s="46">
        <f t="shared" ca="1" si="110"/>
        <v>1468.276501057248</v>
      </c>
      <c r="V368" s="4">
        <f t="shared" ca="1" si="111"/>
        <v>8.5471311679544968E-12</v>
      </c>
      <c r="W368" s="13">
        <f t="shared" ca="1" si="112"/>
        <v>2185.3719819562502</v>
      </c>
      <c r="X368" s="4">
        <f t="shared" ca="1" si="113"/>
        <v>1.2721487381363792E-11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1.9599999999999996E-2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9.8000000000000603E-18</v>
      </c>
      <c r="L369" s="13">
        <f t="shared" ca="1" si="101"/>
        <v>100</v>
      </c>
      <c r="M369" s="7">
        <f t="shared" ca="1" si="102"/>
        <v>900</v>
      </c>
      <c r="N369" s="44">
        <f t="shared" ca="1" si="103"/>
        <v>10</v>
      </c>
      <c r="O369" s="94">
        <f t="shared" ca="1" si="104"/>
        <v>2.855590707781452</v>
      </c>
      <c r="P369" s="94">
        <f t="shared" ca="1" si="105"/>
        <v>28.555907077814521</v>
      </c>
      <c r="Q369" s="94">
        <f t="shared" ca="1" si="106"/>
        <v>28.555907077814521</v>
      </c>
      <c r="R369" s="94">
        <f t="shared" ca="1" si="107"/>
        <v>2.855590707781452</v>
      </c>
      <c r="S369" s="94">
        <f t="shared" ca="1" si="108"/>
        <v>2.855590707781452</v>
      </c>
      <c r="T369" s="4">
        <f t="shared" ca="1" si="109"/>
        <v>2.7984788936258399E-17</v>
      </c>
      <c r="U369" s="46">
        <f t="shared" ca="1" si="110"/>
        <v>1468.276501057248</v>
      </c>
      <c r="V369" s="4">
        <f t="shared" ca="1" si="111"/>
        <v>1.4389109710361119E-14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285</v>
      </c>
      <c r="M370" s="7">
        <f t="shared" ca="1" si="102"/>
        <v>715</v>
      </c>
      <c r="N370" s="44">
        <f t="shared" ca="1" si="103"/>
        <v>8</v>
      </c>
      <c r="O370" s="94">
        <f t="shared" ca="1" si="104"/>
        <v>2.3721134347108093</v>
      </c>
      <c r="P370" s="94">
        <f t="shared" ca="1" si="105"/>
        <v>23.721134347108087</v>
      </c>
      <c r="Q370" s="94">
        <f t="shared" ca="1" si="106"/>
        <v>23.721134347108087</v>
      </c>
      <c r="R370" s="94">
        <f t="shared" ca="1" si="107"/>
        <v>2.3721134347108088</v>
      </c>
      <c r="S370" s="94">
        <f t="shared" ca="1" si="108"/>
        <v>2.3721134347108093</v>
      </c>
      <c r="T370" s="4">
        <f t="shared" ca="1" si="109"/>
        <v>0</v>
      </c>
      <c r="U370" s="46">
        <f t="shared" ca="1" si="110"/>
        <v>1461.8387274667198</v>
      </c>
      <c r="V370" s="4">
        <f t="shared" ca="1" si="111"/>
        <v>0</v>
      </c>
      <c r="W370" s="13">
        <f t="shared" ca="1" si="112"/>
        <v>19639.172433464904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268</v>
      </c>
      <c r="M371" s="7">
        <f t="shared" ca="1" si="102"/>
        <v>732</v>
      </c>
      <c r="N371" s="44">
        <f t="shared" ca="1" si="103"/>
        <v>8</v>
      </c>
      <c r="O371" s="94">
        <f t="shared" ca="1" si="104"/>
        <v>2.3721134347108093</v>
      </c>
      <c r="P371" s="94">
        <f t="shared" ca="1" si="105"/>
        <v>23.721134347108087</v>
      </c>
      <c r="Q371" s="94">
        <f t="shared" ca="1" si="106"/>
        <v>23.721134347108087</v>
      </c>
      <c r="R371" s="94">
        <f t="shared" ca="1" si="107"/>
        <v>2.3721134347108088</v>
      </c>
      <c r="S371" s="94">
        <f t="shared" ca="1" si="108"/>
        <v>2.3721134347108093</v>
      </c>
      <c r="T371" s="4">
        <f t="shared" ca="1" si="109"/>
        <v>0</v>
      </c>
      <c r="U371" s="46">
        <f t="shared" ca="1" si="110"/>
        <v>1444.8387274667198</v>
      </c>
      <c r="V371" s="4">
        <f t="shared" ca="1" si="111"/>
        <v>0</v>
      </c>
      <c r="W371" s="13">
        <f t="shared" ca="1" si="112"/>
        <v>17453.800451508654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251</v>
      </c>
      <c r="M372" s="7">
        <f t="shared" ca="1" si="102"/>
        <v>749</v>
      </c>
      <c r="N372" s="44">
        <f t="shared" ca="1" si="103"/>
        <v>8</v>
      </c>
      <c r="O372" s="94">
        <f t="shared" ca="1" si="104"/>
        <v>2.3721134347108093</v>
      </c>
      <c r="P372" s="94">
        <f t="shared" ca="1" si="105"/>
        <v>23.721134347108087</v>
      </c>
      <c r="Q372" s="94">
        <f t="shared" ca="1" si="106"/>
        <v>23.721134347108087</v>
      </c>
      <c r="R372" s="94">
        <f t="shared" ca="1" si="107"/>
        <v>2.3721134347108088</v>
      </c>
      <c r="S372" s="94">
        <f t="shared" ca="1" si="108"/>
        <v>2.3721134347108093</v>
      </c>
      <c r="T372" s="4">
        <f t="shared" ca="1" si="109"/>
        <v>0</v>
      </c>
      <c r="U372" s="46">
        <f t="shared" ca="1" si="110"/>
        <v>1427.8387274667198</v>
      </c>
      <c r="V372" s="4">
        <f t="shared" ca="1" si="111"/>
        <v>0</v>
      </c>
      <c r="W372" s="13">
        <f t="shared" ca="1" si="112"/>
        <v>15268.428469552406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234</v>
      </c>
      <c r="M373" s="7">
        <f t="shared" ca="1" si="102"/>
        <v>766</v>
      </c>
      <c r="N373" s="44">
        <f t="shared" ca="1" si="103"/>
        <v>8</v>
      </c>
      <c r="O373" s="94">
        <f t="shared" ca="1" si="104"/>
        <v>2.3721134347108093</v>
      </c>
      <c r="P373" s="94">
        <f t="shared" ca="1" si="105"/>
        <v>23.721134347108087</v>
      </c>
      <c r="Q373" s="94">
        <f t="shared" ca="1" si="106"/>
        <v>23.721134347108087</v>
      </c>
      <c r="R373" s="94">
        <f t="shared" ca="1" si="107"/>
        <v>2.3721134347108088</v>
      </c>
      <c r="S373" s="94">
        <f t="shared" ca="1" si="108"/>
        <v>2.3721134347108093</v>
      </c>
      <c r="T373" s="4">
        <f t="shared" ca="1" si="109"/>
        <v>0</v>
      </c>
      <c r="U373" s="46">
        <f t="shared" ca="1" si="110"/>
        <v>1410.8387274667198</v>
      </c>
      <c r="V373" s="4">
        <f t="shared" ca="1" si="111"/>
        <v>0</v>
      </c>
      <c r="W373" s="13">
        <f t="shared" ca="1" si="112"/>
        <v>13083.056487596155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217</v>
      </c>
      <c r="M374" s="7">
        <f t="shared" ca="1" si="102"/>
        <v>783</v>
      </c>
      <c r="N374" s="44">
        <f t="shared" ca="1" si="103"/>
        <v>9</v>
      </c>
      <c r="O374" s="94">
        <f t="shared" ca="1" si="104"/>
        <v>2.6080912058901573</v>
      </c>
      <c r="P374" s="94">
        <f t="shared" ca="1" si="105"/>
        <v>26.080912058901578</v>
      </c>
      <c r="Q374" s="94">
        <f t="shared" ca="1" si="106"/>
        <v>24.665045431825479</v>
      </c>
      <c r="R374" s="94">
        <f t="shared" ca="1" si="107"/>
        <v>2.5372978745363528</v>
      </c>
      <c r="S374" s="94">
        <f t="shared" ca="1" si="108"/>
        <v>2.6080912058901573</v>
      </c>
      <c r="T374" s="4">
        <f t="shared" ca="1" si="109"/>
        <v>0</v>
      </c>
      <c r="U374" s="46">
        <f t="shared" ca="1" si="110"/>
        <v>1487.2765406745989</v>
      </c>
      <c r="V374" s="4">
        <f t="shared" ca="1" si="111"/>
        <v>0</v>
      </c>
      <c r="W374" s="13">
        <f t="shared" ca="1" si="112"/>
        <v>10897.684505639903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200</v>
      </c>
      <c r="M375" s="7">
        <f t="shared" ca="1" si="102"/>
        <v>800</v>
      </c>
      <c r="N375" s="44">
        <f t="shared" ca="1" si="103"/>
        <v>9</v>
      </c>
      <c r="O375" s="94">
        <f t="shared" ca="1" si="104"/>
        <v>2.6080912058901573</v>
      </c>
      <c r="P375" s="94">
        <f t="shared" ca="1" si="105"/>
        <v>26.080912058901578</v>
      </c>
      <c r="Q375" s="94">
        <f t="shared" ca="1" si="106"/>
        <v>26.080912058901578</v>
      </c>
      <c r="R375" s="94">
        <f t="shared" ca="1" si="107"/>
        <v>2.6080912058901577</v>
      </c>
      <c r="S375" s="94">
        <f t="shared" ca="1" si="108"/>
        <v>2.6080912058901573</v>
      </c>
      <c r="T375" s="4">
        <f t="shared" ca="1" si="109"/>
        <v>0</v>
      </c>
      <c r="U375" s="46">
        <f t="shared" ca="1" si="110"/>
        <v>1470.2765406745989</v>
      </c>
      <c r="V375" s="4">
        <f t="shared" ca="1" si="111"/>
        <v>0</v>
      </c>
      <c r="W375" s="13">
        <f t="shared" ca="1" si="112"/>
        <v>8712.3125236836549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183</v>
      </c>
      <c r="M376" s="7">
        <f t="shared" ca="1" si="102"/>
        <v>817</v>
      </c>
      <c r="N376" s="44">
        <f t="shared" ca="1" si="103"/>
        <v>9</v>
      </c>
      <c r="O376" s="94">
        <f t="shared" ca="1" si="104"/>
        <v>2.6080912058901573</v>
      </c>
      <c r="P376" s="94">
        <f t="shared" ca="1" si="105"/>
        <v>26.080912058901578</v>
      </c>
      <c r="Q376" s="94">
        <f t="shared" ca="1" si="106"/>
        <v>26.080912058901578</v>
      </c>
      <c r="R376" s="94">
        <f t="shared" ca="1" si="107"/>
        <v>2.6080912058901577</v>
      </c>
      <c r="S376" s="94">
        <f t="shared" ca="1" si="108"/>
        <v>2.6080912058901573</v>
      </c>
      <c r="T376" s="4">
        <f t="shared" ca="1" si="109"/>
        <v>0</v>
      </c>
      <c r="U376" s="46">
        <f t="shared" ca="1" si="110"/>
        <v>1453.2765406745989</v>
      </c>
      <c r="V376" s="4">
        <f t="shared" ca="1" si="111"/>
        <v>0</v>
      </c>
      <c r="W376" s="13">
        <f t="shared" ca="1" si="112"/>
        <v>6526.9405417274047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166</v>
      </c>
      <c r="M377" s="7">
        <f t="shared" ca="1" si="102"/>
        <v>834</v>
      </c>
      <c r="N377" s="44">
        <f t="shared" ca="1" si="103"/>
        <v>9</v>
      </c>
      <c r="O377" s="94">
        <f t="shared" ca="1" si="104"/>
        <v>2.6080912058901573</v>
      </c>
      <c r="P377" s="94">
        <f t="shared" ca="1" si="105"/>
        <v>26.080912058901578</v>
      </c>
      <c r="Q377" s="94">
        <f t="shared" ca="1" si="106"/>
        <v>26.080912058901578</v>
      </c>
      <c r="R377" s="94">
        <f t="shared" ca="1" si="107"/>
        <v>2.6080912058901577</v>
      </c>
      <c r="S377" s="94">
        <f t="shared" ca="1" si="108"/>
        <v>2.6080912058901573</v>
      </c>
      <c r="T377" s="4">
        <f t="shared" ca="1" si="109"/>
        <v>0</v>
      </c>
      <c r="U377" s="46">
        <f t="shared" ca="1" si="110"/>
        <v>1436.2765406745989</v>
      </c>
      <c r="V377" s="4">
        <f t="shared" ca="1" si="111"/>
        <v>0</v>
      </c>
      <c r="W377" s="13">
        <f t="shared" ca="1" si="112"/>
        <v>4341.5685597711545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202</v>
      </c>
      <c r="M378" s="7">
        <f t="shared" ca="1" si="102"/>
        <v>798</v>
      </c>
      <c r="N378" s="44">
        <f t="shared" ca="1" si="103"/>
        <v>9</v>
      </c>
      <c r="O378" s="94">
        <f t="shared" ca="1" si="104"/>
        <v>2.6080912058901573</v>
      </c>
      <c r="P378" s="94">
        <f t="shared" ca="1" si="105"/>
        <v>26.080912058901578</v>
      </c>
      <c r="Q378" s="94">
        <f t="shared" ca="1" si="106"/>
        <v>26.080912058901578</v>
      </c>
      <c r="R378" s="94">
        <f t="shared" ca="1" si="107"/>
        <v>2.6080912058901577</v>
      </c>
      <c r="S378" s="94">
        <f t="shared" ca="1" si="108"/>
        <v>2.6080912058901573</v>
      </c>
      <c r="T378" s="4">
        <f t="shared" ca="1" si="109"/>
        <v>0</v>
      </c>
      <c r="U378" s="46">
        <f t="shared" ca="1" si="110"/>
        <v>1472.2765406745989</v>
      </c>
      <c r="V378" s="4">
        <f t="shared" ca="1" si="111"/>
        <v>0</v>
      </c>
      <c r="W378" s="13">
        <f t="shared" ca="1" si="112"/>
        <v>17482.975855650002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185</v>
      </c>
      <c r="M379" s="7">
        <f t="shared" ca="1" si="102"/>
        <v>815</v>
      </c>
      <c r="N379" s="44">
        <f t="shared" ca="1" si="103"/>
        <v>9</v>
      </c>
      <c r="O379" s="94">
        <f t="shared" ca="1" si="104"/>
        <v>2.6080912058901573</v>
      </c>
      <c r="P379" s="94">
        <f t="shared" ca="1" si="105"/>
        <v>26.080912058901578</v>
      </c>
      <c r="Q379" s="94">
        <f t="shared" ca="1" si="106"/>
        <v>26.080912058901578</v>
      </c>
      <c r="R379" s="94">
        <f t="shared" ca="1" si="107"/>
        <v>2.6080912058901577</v>
      </c>
      <c r="S379" s="94">
        <f t="shared" ca="1" si="108"/>
        <v>2.6080912058901573</v>
      </c>
      <c r="T379" s="4">
        <f t="shared" ca="1" si="109"/>
        <v>0</v>
      </c>
      <c r="U379" s="46">
        <f t="shared" ca="1" si="110"/>
        <v>1455.2765406745989</v>
      </c>
      <c r="V379" s="4">
        <f t="shared" ca="1" si="111"/>
        <v>0</v>
      </c>
      <c r="W379" s="13">
        <f t="shared" ca="1" si="112"/>
        <v>15297.60387369375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168</v>
      </c>
      <c r="M380" s="7">
        <f t="shared" ca="1" si="102"/>
        <v>832</v>
      </c>
      <c r="N380" s="44">
        <f t="shared" ca="1" si="103"/>
        <v>9</v>
      </c>
      <c r="O380" s="94">
        <f t="shared" ca="1" si="104"/>
        <v>2.6080912058901573</v>
      </c>
      <c r="P380" s="94">
        <f t="shared" ca="1" si="105"/>
        <v>26.080912058901578</v>
      </c>
      <c r="Q380" s="94">
        <f t="shared" ca="1" si="106"/>
        <v>26.080912058901578</v>
      </c>
      <c r="R380" s="94">
        <f t="shared" ca="1" si="107"/>
        <v>2.6080912058901577</v>
      </c>
      <c r="S380" s="94">
        <f t="shared" ca="1" si="108"/>
        <v>2.6080912058901573</v>
      </c>
      <c r="T380" s="4">
        <f t="shared" ca="1" si="109"/>
        <v>0</v>
      </c>
      <c r="U380" s="46">
        <f t="shared" ca="1" si="110"/>
        <v>1438.2765406745989</v>
      </c>
      <c r="V380" s="4">
        <f t="shared" ca="1" si="111"/>
        <v>0</v>
      </c>
      <c r="W380" s="13">
        <f t="shared" ca="1" si="112"/>
        <v>13112.231891737501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151</v>
      </c>
      <c r="M381" s="7">
        <f t="shared" ca="1" si="102"/>
        <v>849</v>
      </c>
      <c r="N381" s="44">
        <f t="shared" ca="1" si="103"/>
        <v>9</v>
      </c>
      <c r="O381" s="94">
        <f t="shared" ca="1" si="104"/>
        <v>2.6080912058901573</v>
      </c>
      <c r="P381" s="94">
        <f t="shared" ca="1" si="105"/>
        <v>26.080912058901578</v>
      </c>
      <c r="Q381" s="94">
        <f t="shared" ca="1" si="106"/>
        <v>26.080912058901578</v>
      </c>
      <c r="R381" s="94">
        <f t="shared" ca="1" si="107"/>
        <v>2.6080912058901577</v>
      </c>
      <c r="S381" s="94">
        <f t="shared" ca="1" si="108"/>
        <v>2.6080912058901573</v>
      </c>
      <c r="T381" s="4">
        <f t="shared" ca="1" si="109"/>
        <v>0</v>
      </c>
      <c r="U381" s="46">
        <f t="shared" ca="1" si="110"/>
        <v>1421.2765406745989</v>
      </c>
      <c r="V381" s="4">
        <f t="shared" ca="1" si="111"/>
        <v>0</v>
      </c>
      <c r="W381" s="13">
        <f t="shared" ca="1" si="112"/>
        <v>10926.859909781251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134</v>
      </c>
      <c r="M382" s="7">
        <f t="shared" ca="1" si="102"/>
        <v>866</v>
      </c>
      <c r="N382" s="44">
        <f t="shared" ca="1" si="103"/>
        <v>10</v>
      </c>
      <c r="O382" s="94">
        <f t="shared" ca="1" si="104"/>
        <v>2.855590707781452</v>
      </c>
      <c r="P382" s="94">
        <f t="shared" ca="1" si="105"/>
        <v>26.328411560792873</v>
      </c>
      <c r="Q382" s="94">
        <f t="shared" ca="1" si="106"/>
        <v>26.080912058901578</v>
      </c>
      <c r="R382" s="94">
        <f t="shared" ca="1" si="107"/>
        <v>2.6204661809847223</v>
      </c>
      <c r="S382" s="94">
        <f t="shared" ca="1" si="108"/>
        <v>2.855590707781452</v>
      </c>
      <c r="T382" s="4">
        <f t="shared" ca="1" si="109"/>
        <v>0</v>
      </c>
      <c r="U382" s="46">
        <f t="shared" ca="1" si="110"/>
        <v>1502.276501057248</v>
      </c>
      <c r="V382" s="4">
        <f t="shared" ca="1" si="111"/>
        <v>0</v>
      </c>
      <c r="W382" s="13">
        <f t="shared" ca="1" si="112"/>
        <v>8741.487927825001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117</v>
      </c>
      <c r="M383" s="7">
        <f t="shared" ca="1" si="102"/>
        <v>883</v>
      </c>
      <c r="N383" s="44">
        <f t="shared" ca="1" si="103"/>
        <v>10</v>
      </c>
      <c r="O383" s="94">
        <f t="shared" ca="1" si="104"/>
        <v>2.855590707781452</v>
      </c>
      <c r="P383" s="94">
        <f t="shared" ca="1" si="105"/>
        <v>28.555907077814521</v>
      </c>
      <c r="Q383" s="94">
        <f t="shared" ca="1" si="106"/>
        <v>28.060908074031932</v>
      </c>
      <c r="R383" s="94">
        <f t="shared" ca="1" si="107"/>
        <v>2.8308407575923225</v>
      </c>
      <c r="S383" s="94">
        <f t="shared" ca="1" si="108"/>
        <v>2.855590707781452</v>
      </c>
      <c r="T383" s="4">
        <f t="shared" ca="1" si="109"/>
        <v>0</v>
      </c>
      <c r="U383" s="46">
        <f t="shared" ca="1" si="110"/>
        <v>1485.276501057248</v>
      </c>
      <c r="V383" s="4">
        <f t="shared" ca="1" si="111"/>
        <v>0</v>
      </c>
      <c r="W383" s="13">
        <f t="shared" ca="1" si="112"/>
        <v>6556.1159458687507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100</v>
      </c>
      <c r="M384" s="7">
        <f t="shared" ca="1" si="102"/>
        <v>900</v>
      </c>
      <c r="N384" s="44">
        <f t="shared" ca="1" si="103"/>
        <v>10</v>
      </c>
      <c r="O384" s="94">
        <f t="shared" ca="1" si="104"/>
        <v>2.855590707781452</v>
      </c>
      <c r="P384" s="94">
        <f t="shared" ca="1" si="105"/>
        <v>28.555907077814521</v>
      </c>
      <c r="Q384" s="94">
        <f t="shared" ca="1" si="106"/>
        <v>28.555907077814521</v>
      </c>
      <c r="R384" s="94">
        <f t="shared" ca="1" si="107"/>
        <v>2.855590707781452</v>
      </c>
      <c r="S384" s="94">
        <f t="shared" ca="1" si="108"/>
        <v>2.855590707781452</v>
      </c>
      <c r="T384" s="4">
        <f t="shared" ca="1" si="109"/>
        <v>0</v>
      </c>
      <c r="U384" s="46">
        <f t="shared" ca="1" si="110"/>
        <v>1468.276501057248</v>
      </c>
      <c r="V384" s="4">
        <f t="shared" ca="1" si="111"/>
        <v>0</v>
      </c>
      <c r="W384" s="13">
        <f t="shared" ca="1" si="112"/>
        <v>4370.7439639125005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100</v>
      </c>
      <c r="M385" s="7">
        <f t="shared" ca="1" si="102"/>
        <v>900</v>
      </c>
      <c r="N385" s="44">
        <f t="shared" ca="1" si="103"/>
        <v>10</v>
      </c>
      <c r="O385" s="94">
        <f t="shared" ca="1" si="104"/>
        <v>2.855590707781452</v>
      </c>
      <c r="P385" s="94">
        <f t="shared" ca="1" si="105"/>
        <v>28.555907077814521</v>
      </c>
      <c r="Q385" s="94">
        <f t="shared" ca="1" si="106"/>
        <v>28.555907077814521</v>
      </c>
      <c r="R385" s="94">
        <f t="shared" ca="1" si="107"/>
        <v>2.855590707781452</v>
      </c>
      <c r="S385" s="94">
        <f t="shared" ca="1" si="108"/>
        <v>2.855590707781452</v>
      </c>
      <c r="T385" s="4">
        <f t="shared" ca="1" si="109"/>
        <v>0</v>
      </c>
      <c r="U385" s="46">
        <f t="shared" ca="1" si="110"/>
        <v>1468.276501057248</v>
      </c>
      <c r="V385" s="4">
        <f t="shared" ca="1" si="111"/>
        <v>0</v>
      </c>
      <c r="W385" s="13">
        <f t="shared" ca="1" si="112"/>
        <v>2185.3719819562502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202</v>
      </c>
      <c r="M386" s="7">
        <f t="shared" ca="1" si="102"/>
        <v>798</v>
      </c>
      <c r="N386" s="44">
        <f t="shared" ca="1" si="103"/>
        <v>9</v>
      </c>
      <c r="O386" s="94">
        <f t="shared" ca="1" si="104"/>
        <v>2.6080912058901573</v>
      </c>
      <c r="P386" s="94">
        <f t="shared" ca="1" si="105"/>
        <v>26.080912058901578</v>
      </c>
      <c r="Q386" s="94">
        <f t="shared" ca="1" si="106"/>
        <v>26.080912058901578</v>
      </c>
      <c r="R386" s="94">
        <f t="shared" ca="1" si="107"/>
        <v>2.6080912058901577</v>
      </c>
      <c r="S386" s="94">
        <f t="shared" ca="1" si="108"/>
        <v>2.6080912058901573</v>
      </c>
      <c r="T386" s="4">
        <f t="shared" ca="1" si="109"/>
        <v>0</v>
      </c>
      <c r="U386" s="46">
        <f t="shared" ca="1" si="110"/>
        <v>1472.2765406745989</v>
      </c>
      <c r="V386" s="4">
        <f t="shared" ca="1" si="111"/>
        <v>0</v>
      </c>
      <c r="W386" s="13">
        <f t="shared" ca="1" si="112"/>
        <v>17453.800451508654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185</v>
      </c>
      <c r="M387" s="7">
        <f t="shared" ca="1" si="102"/>
        <v>815</v>
      </c>
      <c r="N387" s="44">
        <f t="shared" ca="1" si="103"/>
        <v>9</v>
      </c>
      <c r="O387" s="94">
        <f t="shared" ca="1" si="104"/>
        <v>2.6080912058901573</v>
      </c>
      <c r="P387" s="94">
        <f t="shared" ca="1" si="105"/>
        <v>26.080912058901578</v>
      </c>
      <c r="Q387" s="94">
        <f t="shared" ca="1" si="106"/>
        <v>26.080912058901578</v>
      </c>
      <c r="R387" s="94">
        <f t="shared" ca="1" si="107"/>
        <v>2.6080912058901577</v>
      </c>
      <c r="S387" s="94">
        <f t="shared" ca="1" si="108"/>
        <v>2.6080912058901573</v>
      </c>
      <c r="T387" s="4">
        <f t="shared" ca="1" si="109"/>
        <v>0</v>
      </c>
      <c r="U387" s="46">
        <f t="shared" ca="1" si="110"/>
        <v>1455.2765406745989</v>
      </c>
      <c r="V387" s="4">
        <f t="shared" ca="1" si="111"/>
        <v>0</v>
      </c>
      <c r="W387" s="13">
        <f t="shared" ca="1" si="112"/>
        <v>15268.428469552404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168</v>
      </c>
      <c r="M388" s="7">
        <f t="shared" ca="1" si="102"/>
        <v>832</v>
      </c>
      <c r="N388" s="44">
        <f t="shared" ca="1" si="103"/>
        <v>9</v>
      </c>
      <c r="O388" s="94">
        <f t="shared" ca="1" si="104"/>
        <v>2.6080912058901573</v>
      </c>
      <c r="P388" s="94">
        <f t="shared" ca="1" si="105"/>
        <v>26.080912058901578</v>
      </c>
      <c r="Q388" s="94">
        <f t="shared" ca="1" si="106"/>
        <v>26.080912058901578</v>
      </c>
      <c r="R388" s="94">
        <f t="shared" ca="1" si="107"/>
        <v>2.6080912058901577</v>
      </c>
      <c r="S388" s="94">
        <f t="shared" ca="1" si="108"/>
        <v>2.6080912058901573</v>
      </c>
      <c r="T388" s="4">
        <f t="shared" ca="1" si="109"/>
        <v>0</v>
      </c>
      <c r="U388" s="46">
        <f t="shared" ca="1" si="110"/>
        <v>1438.2765406745989</v>
      </c>
      <c r="V388" s="4">
        <f t="shared" ca="1" si="111"/>
        <v>0</v>
      </c>
      <c r="W388" s="13">
        <f t="shared" ca="1" si="112"/>
        <v>13083.056487596155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151</v>
      </c>
      <c r="M389" s="7">
        <f t="shared" ca="1" si="102"/>
        <v>849</v>
      </c>
      <c r="N389" s="44">
        <f t="shared" ca="1" si="103"/>
        <v>9</v>
      </c>
      <c r="O389" s="94">
        <f t="shared" ca="1" si="104"/>
        <v>2.6080912058901573</v>
      </c>
      <c r="P389" s="94">
        <f t="shared" ca="1" si="105"/>
        <v>26.080912058901578</v>
      </c>
      <c r="Q389" s="94">
        <f t="shared" ca="1" si="106"/>
        <v>26.080912058901578</v>
      </c>
      <c r="R389" s="94">
        <f t="shared" ca="1" si="107"/>
        <v>2.6080912058901577</v>
      </c>
      <c r="S389" s="94">
        <f t="shared" ca="1" si="108"/>
        <v>2.6080912058901573</v>
      </c>
      <c r="T389" s="4">
        <f t="shared" ca="1" si="109"/>
        <v>0</v>
      </c>
      <c r="U389" s="46">
        <f t="shared" ca="1" si="110"/>
        <v>1421.2765406745989</v>
      </c>
      <c r="V389" s="4">
        <f t="shared" ca="1" si="111"/>
        <v>0</v>
      </c>
      <c r="W389" s="13">
        <f t="shared" ca="1" si="112"/>
        <v>10897.684505639905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134</v>
      </c>
      <c r="M390" s="7">
        <f t="shared" ca="1" si="102"/>
        <v>866</v>
      </c>
      <c r="N390" s="44">
        <f t="shared" ca="1" si="103"/>
        <v>10</v>
      </c>
      <c r="O390" s="94">
        <f t="shared" ca="1" si="104"/>
        <v>2.855590707781452</v>
      </c>
      <c r="P390" s="94">
        <f t="shared" ca="1" si="105"/>
        <v>26.328411560792873</v>
      </c>
      <c r="Q390" s="94">
        <f t="shared" ca="1" si="106"/>
        <v>26.080912058901578</v>
      </c>
      <c r="R390" s="94">
        <f t="shared" ca="1" si="107"/>
        <v>2.6204661809847223</v>
      </c>
      <c r="S390" s="94">
        <f t="shared" ca="1" si="108"/>
        <v>2.855590707781452</v>
      </c>
      <c r="T390" s="4">
        <f t="shared" ca="1" si="109"/>
        <v>0</v>
      </c>
      <c r="U390" s="46">
        <f t="shared" ca="1" si="110"/>
        <v>1502.276501057248</v>
      </c>
      <c r="V390" s="4">
        <f t="shared" ca="1" si="111"/>
        <v>0</v>
      </c>
      <c r="W390" s="13">
        <f t="shared" ca="1" si="112"/>
        <v>8712.3125236836531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117</v>
      </c>
      <c r="M391" s="7">
        <f t="shared" ca="1" si="102"/>
        <v>883</v>
      </c>
      <c r="N391" s="44">
        <f t="shared" ca="1" si="103"/>
        <v>10</v>
      </c>
      <c r="O391" s="94">
        <f t="shared" ca="1" si="104"/>
        <v>2.855590707781452</v>
      </c>
      <c r="P391" s="94">
        <f t="shared" ca="1" si="105"/>
        <v>28.555907077814521</v>
      </c>
      <c r="Q391" s="94">
        <f t="shared" ca="1" si="106"/>
        <v>28.060908074031932</v>
      </c>
      <c r="R391" s="94">
        <f t="shared" ca="1" si="107"/>
        <v>2.8308407575923225</v>
      </c>
      <c r="S391" s="94">
        <f t="shared" ca="1" si="108"/>
        <v>2.855590707781452</v>
      </c>
      <c r="T391" s="4">
        <f t="shared" ca="1" si="109"/>
        <v>0</v>
      </c>
      <c r="U391" s="46">
        <f t="shared" ca="1" si="110"/>
        <v>1485.276501057248</v>
      </c>
      <c r="V391" s="4">
        <f t="shared" ca="1" si="111"/>
        <v>0</v>
      </c>
      <c r="W391" s="13">
        <f t="shared" ca="1" si="112"/>
        <v>6526.9405417274047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100</v>
      </c>
      <c r="M392" s="7">
        <f t="shared" ca="1" si="102"/>
        <v>900</v>
      </c>
      <c r="N392" s="44">
        <f t="shared" ca="1" si="103"/>
        <v>10</v>
      </c>
      <c r="O392" s="94">
        <f t="shared" ca="1" si="104"/>
        <v>2.855590707781452</v>
      </c>
      <c r="P392" s="94">
        <f t="shared" ca="1" si="105"/>
        <v>28.555907077814521</v>
      </c>
      <c r="Q392" s="94">
        <f t="shared" ca="1" si="106"/>
        <v>28.555907077814521</v>
      </c>
      <c r="R392" s="94">
        <f t="shared" ca="1" si="107"/>
        <v>2.855590707781452</v>
      </c>
      <c r="S392" s="94">
        <f t="shared" ca="1" si="108"/>
        <v>2.855590707781452</v>
      </c>
      <c r="T392" s="4">
        <f t="shared" ca="1" si="109"/>
        <v>0</v>
      </c>
      <c r="U392" s="46">
        <f t="shared" ca="1" si="110"/>
        <v>1468.276501057248</v>
      </c>
      <c r="V392" s="4">
        <f t="shared" ca="1" si="111"/>
        <v>0</v>
      </c>
      <c r="W392" s="13">
        <f t="shared" ca="1" si="112"/>
        <v>4341.5685597711545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100</v>
      </c>
      <c r="M393" s="7">
        <f t="shared" ca="1" si="102"/>
        <v>900</v>
      </c>
      <c r="N393" s="44">
        <f t="shared" ca="1" si="103"/>
        <v>10</v>
      </c>
      <c r="O393" s="94">
        <f t="shared" ca="1" si="104"/>
        <v>2.855590707781452</v>
      </c>
      <c r="P393" s="94">
        <f t="shared" ca="1" si="105"/>
        <v>28.555907077814521</v>
      </c>
      <c r="Q393" s="94">
        <f t="shared" ca="1" si="106"/>
        <v>28.555907077814521</v>
      </c>
      <c r="R393" s="94">
        <f t="shared" ca="1" si="107"/>
        <v>2.855590707781452</v>
      </c>
      <c r="S393" s="94">
        <f t="shared" ca="1" si="108"/>
        <v>2.855590707781452</v>
      </c>
      <c r="T393" s="4">
        <f t="shared" ca="1" si="109"/>
        <v>0</v>
      </c>
      <c r="U393" s="46">
        <f t="shared" ca="1" si="110"/>
        <v>1468.276501057248</v>
      </c>
      <c r="V393" s="4">
        <f t="shared" ca="1" si="111"/>
        <v>0</v>
      </c>
      <c r="W393" s="13">
        <f t="shared" ca="1" si="112"/>
        <v>2156.1965778149038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119</v>
      </c>
      <c r="M394" s="7">
        <f t="shared" ca="1" si="102"/>
        <v>881</v>
      </c>
      <c r="N394" s="44">
        <f t="shared" ca="1" si="103"/>
        <v>10</v>
      </c>
      <c r="O394" s="94">
        <f t="shared" ca="1" si="104"/>
        <v>2.855590707781452</v>
      </c>
      <c r="P394" s="94">
        <f t="shared" ca="1" si="105"/>
        <v>28.555907077814521</v>
      </c>
      <c r="Q394" s="94">
        <f t="shared" ca="1" si="106"/>
        <v>27.565909070249344</v>
      </c>
      <c r="R394" s="94">
        <f t="shared" ca="1" si="107"/>
        <v>2.8060908074031934</v>
      </c>
      <c r="S394" s="94">
        <f t="shared" ca="1" si="108"/>
        <v>2.855590707781452</v>
      </c>
      <c r="T394" s="4">
        <f t="shared" ca="1" si="109"/>
        <v>0</v>
      </c>
      <c r="U394" s="46">
        <f t="shared" ca="1" si="110"/>
        <v>1487.276501057248</v>
      </c>
      <c r="V394" s="4">
        <f t="shared" ca="1" si="111"/>
        <v>0</v>
      </c>
      <c r="W394" s="13">
        <f t="shared" ca="1" si="112"/>
        <v>15297.60387369375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102</v>
      </c>
      <c r="M395" s="7">
        <f t="shared" ca="1" si="102"/>
        <v>898</v>
      </c>
      <c r="N395" s="44">
        <f t="shared" ca="1" si="103"/>
        <v>10</v>
      </c>
      <c r="O395" s="94">
        <f t="shared" ca="1" si="104"/>
        <v>2.855590707781452</v>
      </c>
      <c r="P395" s="94">
        <f t="shared" ca="1" si="105"/>
        <v>28.555907077814521</v>
      </c>
      <c r="Q395" s="94">
        <f t="shared" ca="1" si="106"/>
        <v>28.555907077814521</v>
      </c>
      <c r="R395" s="94">
        <f t="shared" ca="1" si="107"/>
        <v>2.855590707781452</v>
      </c>
      <c r="S395" s="94">
        <f t="shared" ca="1" si="108"/>
        <v>2.855590707781452</v>
      </c>
      <c r="T395" s="4">
        <f t="shared" ca="1" si="109"/>
        <v>0</v>
      </c>
      <c r="U395" s="46">
        <f t="shared" ca="1" si="110"/>
        <v>1470.276501057248</v>
      </c>
      <c r="V395" s="4">
        <f t="shared" ca="1" si="111"/>
        <v>0</v>
      </c>
      <c r="W395" s="13">
        <f t="shared" ca="1" si="112"/>
        <v>13112.2318917375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10</v>
      </c>
      <c r="O396" s="94">
        <f t="shared" ca="1" si="104"/>
        <v>2.855590707781452</v>
      </c>
      <c r="P396" s="94">
        <f t="shared" ca="1" si="105"/>
        <v>28.555907077814521</v>
      </c>
      <c r="Q396" s="94">
        <f t="shared" ca="1" si="106"/>
        <v>28.555907077814521</v>
      </c>
      <c r="R396" s="94">
        <f t="shared" ca="1" si="107"/>
        <v>2.855590707781452</v>
      </c>
      <c r="S396" s="94">
        <f t="shared" ca="1" si="108"/>
        <v>2.855590707781452</v>
      </c>
      <c r="T396" s="4">
        <f t="shared" ca="1" si="109"/>
        <v>0</v>
      </c>
      <c r="U396" s="46">
        <f t="shared" ca="1" si="110"/>
        <v>1468.276501057248</v>
      </c>
      <c r="V396" s="4">
        <f t="shared" ca="1" si="111"/>
        <v>0</v>
      </c>
      <c r="W396" s="13">
        <f t="shared" ca="1" si="112"/>
        <v>10926.859909781251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100</v>
      </c>
      <c r="M397" s="7">
        <f t="shared" ca="1" si="102"/>
        <v>900</v>
      </c>
      <c r="N397" s="44">
        <f t="shared" ca="1" si="103"/>
        <v>10</v>
      </c>
      <c r="O397" s="94">
        <f t="shared" ca="1" si="104"/>
        <v>2.855590707781452</v>
      </c>
      <c r="P397" s="94">
        <f t="shared" ca="1" si="105"/>
        <v>28.555907077814521</v>
      </c>
      <c r="Q397" s="94">
        <f t="shared" ca="1" si="106"/>
        <v>28.555907077814521</v>
      </c>
      <c r="R397" s="94">
        <f t="shared" ca="1" si="107"/>
        <v>2.855590707781452</v>
      </c>
      <c r="S397" s="94">
        <f t="shared" ca="1" si="108"/>
        <v>2.855590707781452</v>
      </c>
      <c r="T397" s="4">
        <f t="shared" ca="1" si="109"/>
        <v>0</v>
      </c>
      <c r="U397" s="46">
        <f t="shared" ca="1" si="110"/>
        <v>1468.276501057248</v>
      </c>
      <c r="V397" s="4">
        <f t="shared" ca="1" si="111"/>
        <v>0</v>
      </c>
      <c r="W397" s="13">
        <f t="shared" ca="1" si="112"/>
        <v>8741.487927825001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100</v>
      </c>
      <c r="M398" s="7">
        <f t="shared" ca="1" si="102"/>
        <v>900</v>
      </c>
      <c r="N398" s="44">
        <f t="shared" ca="1" si="103"/>
        <v>10</v>
      </c>
      <c r="O398" s="94">
        <f t="shared" ca="1" si="104"/>
        <v>2.855590707781452</v>
      </c>
      <c r="P398" s="94">
        <f t="shared" ca="1" si="105"/>
        <v>28.555907077814521</v>
      </c>
      <c r="Q398" s="94">
        <f t="shared" ca="1" si="106"/>
        <v>28.555907077814521</v>
      </c>
      <c r="R398" s="94">
        <f t="shared" ca="1" si="107"/>
        <v>2.855590707781452</v>
      </c>
      <c r="S398" s="94">
        <f t="shared" ca="1" si="108"/>
        <v>2.855590707781452</v>
      </c>
      <c r="T398" s="4">
        <f t="shared" ca="1" si="109"/>
        <v>0</v>
      </c>
      <c r="U398" s="46">
        <f t="shared" ca="1" si="110"/>
        <v>1468.276501057248</v>
      </c>
      <c r="V398" s="4">
        <f t="shared" ca="1" si="111"/>
        <v>0</v>
      </c>
      <c r="W398" s="13">
        <f t="shared" ca="1" si="112"/>
        <v>6556.1159458687498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100</v>
      </c>
      <c r="M399" s="7">
        <f t="shared" ca="1" si="102"/>
        <v>900</v>
      </c>
      <c r="N399" s="44">
        <f t="shared" ca="1" si="103"/>
        <v>10</v>
      </c>
      <c r="O399" s="94">
        <f t="shared" ca="1" si="104"/>
        <v>2.855590707781452</v>
      </c>
      <c r="P399" s="94">
        <f t="shared" ca="1" si="105"/>
        <v>28.555907077814521</v>
      </c>
      <c r="Q399" s="94">
        <f t="shared" ca="1" si="106"/>
        <v>28.555907077814521</v>
      </c>
      <c r="R399" s="94">
        <f t="shared" ca="1" si="107"/>
        <v>2.855590707781452</v>
      </c>
      <c r="S399" s="94">
        <f t="shared" ca="1" si="108"/>
        <v>2.855590707781452</v>
      </c>
      <c r="T399" s="4">
        <f t="shared" ca="1" si="109"/>
        <v>0</v>
      </c>
      <c r="U399" s="46">
        <f t="shared" ca="1" si="110"/>
        <v>1468.276501057248</v>
      </c>
      <c r="V399" s="4">
        <f t="shared" ca="1" si="111"/>
        <v>0</v>
      </c>
      <c r="W399" s="13">
        <f t="shared" ca="1" si="112"/>
        <v>4370.7439639125005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100</v>
      </c>
      <c r="M400" s="7">
        <f t="shared" ca="1" si="102"/>
        <v>900</v>
      </c>
      <c r="N400" s="44">
        <f t="shared" ca="1" si="103"/>
        <v>10</v>
      </c>
      <c r="O400" s="94">
        <f t="shared" ca="1" si="104"/>
        <v>2.855590707781452</v>
      </c>
      <c r="P400" s="94">
        <f t="shared" ca="1" si="105"/>
        <v>28.555907077814521</v>
      </c>
      <c r="Q400" s="94">
        <f t="shared" ca="1" si="106"/>
        <v>28.555907077814521</v>
      </c>
      <c r="R400" s="94">
        <f t="shared" ca="1" si="107"/>
        <v>2.855590707781452</v>
      </c>
      <c r="S400" s="94">
        <f t="shared" ca="1" si="108"/>
        <v>2.855590707781452</v>
      </c>
      <c r="T400" s="4">
        <f t="shared" ca="1" si="109"/>
        <v>0</v>
      </c>
      <c r="U400" s="46">
        <f t="shared" ca="1" si="110"/>
        <v>1468.276501057248</v>
      </c>
      <c r="V400" s="4">
        <f t="shared" ca="1" si="111"/>
        <v>0</v>
      </c>
      <c r="W400" s="13">
        <f t="shared" ca="1" si="112"/>
        <v>2185.3719819562502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100</v>
      </c>
      <c r="M401" s="7">
        <f t="shared" ca="1" si="102"/>
        <v>900</v>
      </c>
      <c r="N401" s="44">
        <f t="shared" ca="1" si="103"/>
        <v>10</v>
      </c>
      <c r="O401" s="94">
        <f t="shared" ca="1" si="104"/>
        <v>2.855590707781452</v>
      </c>
      <c r="P401" s="94">
        <f t="shared" ca="1" si="105"/>
        <v>28.555907077814521</v>
      </c>
      <c r="Q401" s="94">
        <f t="shared" ca="1" si="106"/>
        <v>28.555907077814521</v>
      </c>
      <c r="R401" s="94">
        <f t="shared" ca="1" si="107"/>
        <v>2.855590707781452</v>
      </c>
      <c r="S401" s="94">
        <f t="shared" ca="1" si="108"/>
        <v>2.855590707781452</v>
      </c>
      <c r="T401" s="4">
        <f t="shared" ca="1" si="109"/>
        <v>0</v>
      </c>
      <c r="U401" s="46">
        <f t="shared" ca="1" si="110"/>
        <v>1468.276501057248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285</v>
      </c>
      <c r="M402" s="7">
        <f t="shared" ref="M402:M465" ca="1" si="121">MAX(Set1MinTP-(L402+Set1Regain), 0)</f>
        <v>715</v>
      </c>
      <c r="N402" s="44">
        <f t="shared" ref="N402:N465" ca="1" si="122">CEILING(M402/Set1MeleeTP, 1)</f>
        <v>8</v>
      </c>
      <c r="O402" s="94">
        <f t="shared" ref="O402:O465" ca="1" si="123">VLOOKUP(N402,AvgRoundsSet1,2)</f>
        <v>2.3721134347108093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23.721134347108087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23.721134347108087</v>
      </c>
      <c r="R402" s="94">
        <f t="shared" ref="R402:R465" ca="1" si="126">(P402+Q402)/20</f>
        <v>2.3721134347108088</v>
      </c>
      <c r="S402" s="94">
        <f t="shared" ref="S402:S465" ca="1" si="127">R402*Set1ConserveTP + O402*(1-Set1ConserveTP)</f>
        <v>2.3721134347108093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1461.8387274667198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19639.172433464904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268</v>
      </c>
      <c r="M403" s="7">
        <f t="shared" ca="1" si="121"/>
        <v>732</v>
      </c>
      <c r="N403" s="44">
        <f t="shared" ca="1" si="122"/>
        <v>8</v>
      </c>
      <c r="O403" s="94">
        <f t="shared" ca="1" si="123"/>
        <v>2.3721134347108093</v>
      </c>
      <c r="P403" s="94">
        <f t="shared" ca="1" si="124"/>
        <v>23.721134347108087</v>
      </c>
      <c r="Q403" s="94">
        <f t="shared" ca="1" si="125"/>
        <v>23.721134347108087</v>
      </c>
      <c r="R403" s="94">
        <f t="shared" ca="1" si="126"/>
        <v>2.3721134347108088</v>
      </c>
      <c r="S403" s="94">
        <f t="shared" ca="1" si="127"/>
        <v>2.3721134347108093</v>
      </c>
      <c r="T403" s="4">
        <f t="shared" ca="1" si="128"/>
        <v>0</v>
      </c>
      <c r="U403" s="46">
        <f t="shared" ca="1" si="129"/>
        <v>1444.8387274667198</v>
      </c>
      <c r="V403" s="4">
        <f t="shared" ca="1" si="130"/>
        <v>0</v>
      </c>
      <c r="W403" s="13">
        <f t="shared" ca="1" si="131"/>
        <v>17453.800451508654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251</v>
      </c>
      <c r="M404" s="7">
        <f t="shared" ca="1" si="121"/>
        <v>749</v>
      </c>
      <c r="N404" s="44">
        <f t="shared" ca="1" si="122"/>
        <v>8</v>
      </c>
      <c r="O404" s="94">
        <f t="shared" ca="1" si="123"/>
        <v>2.3721134347108093</v>
      </c>
      <c r="P404" s="94">
        <f t="shared" ca="1" si="124"/>
        <v>23.721134347108087</v>
      </c>
      <c r="Q404" s="94">
        <f t="shared" ca="1" si="125"/>
        <v>23.721134347108087</v>
      </c>
      <c r="R404" s="94">
        <f t="shared" ca="1" si="126"/>
        <v>2.3721134347108088</v>
      </c>
      <c r="S404" s="94">
        <f t="shared" ca="1" si="127"/>
        <v>2.3721134347108093</v>
      </c>
      <c r="T404" s="4">
        <f t="shared" ca="1" si="128"/>
        <v>0</v>
      </c>
      <c r="U404" s="46">
        <f t="shared" ca="1" si="129"/>
        <v>1427.8387274667198</v>
      </c>
      <c r="V404" s="4">
        <f t="shared" ca="1" si="130"/>
        <v>0</v>
      </c>
      <c r="W404" s="13">
        <f t="shared" ca="1" si="131"/>
        <v>15268.428469552406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234</v>
      </c>
      <c r="M405" s="7">
        <f t="shared" ca="1" si="121"/>
        <v>766</v>
      </c>
      <c r="N405" s="44">
        <f t="shared" ca="1" si="122"/>
        <v>8</v>
      </c>
      <c r="O405" s="94">
        <f t="shared" ca="1" si="123"/>
        <v>2.3721134347108093</v>
      </c>
      <c r="P405" s="94">
        <f t="shared" ca="1" si="124"/>
        <v>23.721134347108087</v>
      </c>
      <c r="Q405" s="94">
        <f t="shared" ca="1" si="125"/>
        <v>23.721134347108087</v>
      </c>
      <c r="R405" s="94">
        <f t="shared" ca="1" si="126"/>
        <v>2.3721134347108088</v>
      </c>
      <c r="S405" s="94">
        <f t="shared" ca="1" si="127"/>
        <v>2.3721134347108093</v>
      </c>
      <c r="T405" s="4">
        <f t="shared" ca="1" si="128"/>
        <v>0</v>
      </c>
      <c r="U405" s="46">
        <f t="shared" ca="1" si="129"/>
        <v>1410.8387274667198</v>
      </c>
      <c r="V405" s="4">
        <f t="shared" ca="1" si="130"/>
        <v>0</v>
      </c>
      <c r="W405" s="13">
        <f t="shared" ca="1" si="131"/>
        <v>13083.056487596155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217</v>
      </c>
      <c r="M406" s="7">
        <f t="shared" ca="1" si="121"/>
        <v>783</v>
      </c>
      <c r="N406" s="44">
        <f t="shared" ca="1" si="122"/>
        <v>9</v>
      </c>
      <c r="O406" s="94">
        <f t="shared" ca="1" si="123"/>
        <v>2.6080912058901573</v>
      </c>
      <c r="P406" s="94">
        <f t="shared" ca="1" si="124"/>
        <v>26.080912058901578</v>
      </c>
      <c r="Q406" s="94">
        <f t="shared" ca="1" si="125"/>
        <v>24.665045431825479</v>
      </c>
      <c r="R406" s="94">
        <f t="shared" ca="1" si="126"/>
        <v>2.5372978745363528</v>
      </c>
      <c r="S406" s="94">
        <f t="shared" ca="1" si="127"/>
        <v>2.6080912058901573</v>
      </c>
      <c r="T406" s="4">
        <f t="shared" ca="1" si="128"/>
        <v>0</v>
      </c>
      <c r="U406" s="46">
        <f t="shared" ca="1" si="129"/>
        <v>1487.2765406745989</v>
      </c>
      <c r="V406" s="4">
        <f t="shared" ca="1" si="130"/>
        <v>0</v>
      </c>
      <c r="W406" s="13">
        <f t="shared" ca="1" si="131"/>
        <v>10897.684505639903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200</v>
      </c>
      <c r="M407" s="7">
        <f t="shared" ca="1" si="121"/>
        <v>800</v>
      </c>
      <c r="N407" s="44">
        <f t="shared" ca="1" si="122"/>
        <v>9</v>
      </c>
      <c r="O407" s="94">
        <f t="shared" ca="1" si="123"/>
        <v>2.6080912058901573</v>
      </c>
      <c r="P407" s="94">
        <f t="shared" ca="1" si="124"/>
        <v>26.080912058901578</v>
      </c>
      <c r="Q407" s="94">
        <f t="shared" ca="1" si="125"/>
        <v>26.080912058901578</v>
      </c>
      <c r="R407" s="94">
        <f t="shared" ca="1" si="126"/>
        <v>2.6080912058901577</v>
      </c>
      <c r="S407" s="94">
        <f t="shared" ca="1" si="127"/>
        <v>2.6080912058901573</v>
      </c>
      <c r="T407" s="4">
        <f t="shared" ca="1" si="128"/>
        <v>0</v>
      </c>
      <c r="U407" s="46">
        <f t="shared" ca="1" si="129"/>
        <v>1470.2765406745989</v>
      </c>
      <c r="V407" s="4">
        <f t="shared" ca="1" si="130"/>
        <v>0</v>
      </c>
      <c r="W407" s="13">
        <f t="shared" ca="1" si="131"/>
        <v>8712.3125236836549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183</v>
      </c>
      <c r="M408" s="7">
        <f t="shared" ca="1" si="121"/>
        <v>817</v>
      </c>
      <c r="N408" s="44">
        <f t="shared" ca="1" si="122"/>
        <v>9</v>
      </c>
      <c r="O408" s="94">
        <f t="shared" ca="1" si="123"/>
        <v>2.6080912058901573</v>
      </c>
      <c r="P408" s="94">
        <f t="shared" ca="1" si="124"/>
        <v>26.080912058901578</v>
      </c>
      <c r="Q408" s="94">
        <f t="shared" ca="1" si="125"/>
        <v>26.080912058901578</v>
      </c>
      <c r="R408" s="94">
        <f t="shared" ca="1" si="126"/>
        <v>2.6080912058901577</v>
      </c>
      <c r="S408" s="94">
        <f t="shared" ca="1" si="127"/>
        <v>2.6080912058901573</v>
      </c>
      <c r="T408" s="4">
        <f t="shared" ca="1" si="128"/>
        <v>0</v>
      </c>
      <c r="U408" s="46">
        <f t="shared" ca="1" si="129"/>
        <v>1453.2765406745989</v>
      </c>
      <c r="V408" s="4">
        <f t="shared" ca="1" si="130"/>
        <v>0</v>
      </c>
      <c r="W408" s="13">
        <f t="shared" ca="1" si="131"/>
        <v>6526.9405417274047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166</v>
      </c>
      <c r="M409" s="7">
        <f t="shared" ca="1" si="121"/>
        <v>834</v>
      </c>
      <c r="N409" s="44">
        <f t="shared" ca="1" si="122"/>
        <v>9</v>
      </c>
      <c r="O409" s="94">
        <f t="shared" ca="1" si="123"/>
        <v>2.6080912058901573</v>
      </c>
      <c r="P409" s="94">
        <f t="shared" ca="1" si="124"/>
        <v>26.080912058901578</v>
      </c>
      <c r="Q409" s="94">
        <f t="shared" ca="1" si="125"/>
        <v>26.080912058901578</v>
      </c>
      <c r="R409" s="94">
        <f t="shared" ca="1" si="126"/>
        <v>2.6080912058901577</v>
      </c>
      <c r="S409" s="94">
        <f t="shared" ca="1" si="127"/>
        <v>2.6080912058901573</v>
      </c>
      <c r="T409" s="4">
        <f t="shared" ca="1" si="128"/>
        <v>0</v>
      </c>
      <c r="U409" s="46">
        <f t="shared" ca="1" si="129"/>
        <v>1436.2765406745989</v>
      </c>
      <c r="V409" s="4">
        <f t="shared" ca="1" si="130"/>
        <v>0</v>
      </c>
      <c r="W409" s="13">
        <f t="shared" ca="1" si="131"/>
        <v>4341.5685597711545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202</v>
      </c>
      <c r="M410" s="7">
        <f t="shared" ca="1" si="121"/>
        <v>798</v>
      </c>
      <c r="N410" s="44">
        <f t="shared" ca="1" si="122"/>
        <v>9</v>
      </c>
      <c r="O410" s="94">
        <f t="shared" ca="1" si="123"/>
        <v>2.6080912058901573</v>
      </c>
      <c r="P410" s="94">
        <f t="shared" ca="1" si="124"/>
        <v>26.080912058901578</v>
      </c>
      <c r="Q410" s="94">
        <f t="shared" ca="1" si="125"/>
        <v>26.080912058901578</v>
      </c>
      <c r="R410" s="94">
        <f t="shared" ca="1" si="126"/>
        <v>2.6080912058901577</v>
      </c>
      <c r="S410" s="94">
        <f t="shared" ca="1" si="127"/>
        <v>2.6080912058901573</v>
      </c>
      <c r="T410" s="4">
        <f t="shared" ca="1" si="128"/>
        <v>0</v>
      </c>
      <c r="U410" s="46">
        <f t="shared" ca="1" si="129"/>
        <v>1472.2765406745989</v>
      </c>
      <c r="V410" s="4">
        <f t="shared" ca="1" si="130"/>
        <v>0</v>
      </c>
      <c r="W410" s="13">
        <f t="shared" ca="1" si="131"/>
        <v>17482.975855650002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185</v>
      </c>
      <c r="M411" s="7">
        <f t="shared" ca="1" si="121"/>
        <v>815</v>
      </c>
      <c r="N411" s="44">
        <f t="shared" ca="1" si="122"/>
        <v>9</v>
      </c>
      <c r="O411" s="94">
        <f t="shared" ca="1" si="123"/>
        <v>2.6080912058901573</v>
      </c>
      <c r="P411" s="94">
        <f t="shared" ca="1" si="124"/>
        <v>26.080912058901578</v>
      </c>
      <c r="Q411" s="94">
        <f t="shared" ca="1" si="125"/>
        <v>26.080912058901578</v>
      </c>
      <c r="R411" s="94">
        <f t="shared" ca="1" si="126"/>
        <v>2.6080912058901577</v>
      </c>
      <c r="S411" s="94">
        <f t="shared" ca="1" si="127"/>
        <v>2.6080912058901573</v>
      </c>
      <c r="T411" s="4">
        <f t="shared" ca="1" si="128"/>
        <v>0</v>
      </c>
      <c r="U411" s="46">
        <f t="shared" ca="1" si="129"/>
        <v>1455.2765406745989</v>
      </c>
      <c r="V411" s="4">
        <f t="shared" ca="1" si="130"/>
        <v>0</v>
      </c>
      <c r="W411" s="13">
        <f t="shared" ca="1" si="131"/>
        <v>15297.60387369375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168</v>
      </c>
      <c r="M412" s="7">
        <f t="shared" ca="1" si="121"/>
        <v>832</v>
      </c>
      <c r="N412" s="44">
        <f t="shared" ca="1" si="122"/>
        <v>9</v>
      </c>
      <c r="O412" s="94">
        <f t="shared" ca="1" si="123"/>
        <v>2.6080912058901573</v>
      </c>
      <c r="P412" s="94">
        <f t="shared" ca="1" si="124"/>
        <v>26.080912058901578</v>
      </c>
      <c r="Q412" s="94">
        <f t="shared" ca="1" si="125"/>
        <v>26.080912058901578</v>
      </c>
      <c r="R412" s="94">
        <f t="shared" ca="1" si="126"/>
        <v>2.6080912058901577</v>
      </c>
      <c r="S412" s="94">
        <f t="shared" ca="1" si="127"/>
        <v>2.6080912058901573</v>
      </c>
      <c r="T412" s="4">
        <f t="shared" ca="1" si="128"/>
        <v>0</v>
      </c>
      <c r="U412" s="46">
        <f t="shared" ca="1" si="129"/>
        <v>1438.2765406745989</v>
      </c>
      <c r="V412" s="4">
        <f t="shared" ca="1" si="130"/>
        <v>0</v>
      </c>
      <c r="W412" s="13">
        <f t="shared" ca="1" si="131"/>
        <v>13112.231891737501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151</v>
      </c>
      <c r="M413" s="7">
        <f t="shared" ca="1" si="121"/>
        <v>849</v>
      </c>
      <c r="N413" s="44">
        <f t="shared" ca="1" si="122"/>
        <v>9</v>
      </c>
      <c r="O413" s="94">
        <f t="shared" ca="1" si="123"/>
        <v>2.6080912058901573</v>
      </c>
      <c r="P413" s="94">
        <f t="shared" ca="1" si="124"/>
        <v>26.080912058901578</v>
      </c>
      <c r="Q413" s="94">
        <f t="shared" ca="1" si="125"/>
        <v>26.080912058901578</v>
      </c>
      <c r="R413" s="94">
        <f t="shared" ca="1" si="126"/>
        <v>2.6080912058901577</v>
      </c>
      <c r="S413" s="94">
        <f t="shared" ca="1" si="127"/>
        <v>2.6080912058901573</v>
      </c>
      <c r="T413" s="4">
        <f t="shared" ca="1" si="128"/>
        <v>0</v>
      </c>
      <c r="U413" s="46">
        <f t="shared" ca="1" si="129"/>
        <v>1421.2765406745989</v>
      </c>
      <c r="V413" s="4">
        <f t="shared" ca="1" si="130"/>
        <v>0</v>
      </c>
      <c r="W413" s="13">
        <f t="shared" ca="1" si="131"/>
        <v>10926.859909781251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134</v>
      </c>
      <c r="M414" s="7">
        <f t="shared" ca="1" si="121"/>
        <v>866</v>
      </c>
      <c r="N414" s="44">
        <f t="shared" ca="1" si="122"/>
        <v>10</v>
      </c>
      <c r="O414" s="94">
        <f t="shared" ca="1" si="123"/>
        <v>2.855590707781452</v>
      </c>
      <c r="P414" s="94">
        <f t="shared" ca="1" si="124"/>
        <v>26.328411560792873</v>
      </c>
      <c r="Q414" s="94">
        <f t="shared" ca="1" si="125"/>
        <v>26.080912058901578</v>
      </c>
      <c r="R414" s="94">
        <f t="shared" ca="1" si="126"/>
        <v>2.6204661809847223</v>
      </c>
      <c r="S414" s="94">
        <f t="shared" ca="1" si="127"/>
        <v>2.855590707781452</v>
      </c>
      <c r="T414" s="4">
        <f t="shared" ca="1" si="128"/>
        <v>0</v>
      </c>
      <c r="U414" s="46">
        <f t="shared" ca="1" si="129"/>
        <v>1502.276501057248</v>
      </c>
      <c r="V414" s="4">
        <f t="shared" ca="1" si="130"/>
        <v>0</v>
      </c>
      <c r="W414" s="13">
        <f t="shared" ca="1" si="131"/>
        <v>8741.487927825001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117</v>
      </c>
      <c r="M415" s="7">
        <f t="shared" ca="1" si="121"/>
        <v>883</v>
      </c>
      <c r="N415" s="44">
        <f t="shared" ca="1" si="122"/>
        <v>10</v>
      </c>
      <c r="O415" s="94">
        <f t="shared" ca="1" si="123"/>
        <v>2.855590707781452</v>
      </c>
      <c r="P415" s="94">
        <f t="shared" ca="1" si="124"/>
        <v>28.555907077814521</v>
      </c>
      <c r="Q415" s="94">
        <f t="shared" ca="1" si="125"/>
        <v>28.060908074031932</v>
      </c>
      <c r="R415" s="94">
        <f t="shared" ca="1" si="126"/>
        <v>2.8308407575923225</v>
      </c>
      <c r="S415" s="94">
        <f t="shared" ca="1" si="127"/>
        <v>2.855590707781452</v>
      </c>
      <c r="T415" s="4">
        <f t="shared" ca="1" si="128"/>
        <v>0</v>
      </c>
      <c r="U415" s="46">
        <f t="shared" ca="1" si="129"/>
        <v>1485.276501057248</v>
      </c>
      <c r="V415" s="4">
        <f t="shared" ca="1" si="130"/>
        <v>0</v>
      </c>
      <c r="W415" s="13">
        <f t="shared" ca="1" si="131"/>
        <v>6556.1159458687507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100</v>
      </c>
      <c r="M416" s="7">
        <f t="shared" ca="1" si="121"/>
        <v>900</v>
      </c>
      <c r="N416" s="44">
        <f t="shared" ca="1" si="122"/>
        <v>10</v>
      </c>
      <c r="O416" s="94">
        <f t="shared" ca="1" si="123"/>
        <v>2.855590707781452</v>
      </c>
      <c r="P416" s="94">
        <f t="shared" ca="1" si="124"/>
        <v>28.555907077814521</v>
      </c>
      <c r="Q416" s="94">
        <f t="shared" ca="1" si="125"/>
        <v>28.555907077814521</v>
      </c>
      <c r="R416" s="94">
        <f t="shared" ca="1" si="126"/>
        <v>2.855590707781452</v>
      </c>
      <c r="S416" s="94">
        <f t="shared" ca="1" si="127"/>
        <v>2.855590707781452</v>
      </c>
      <c r="T416" s="4">
        <f t="shared" ca="1" si="128"/>
        <v>0</v>
      </c>
      <c r="U416" s="46">
        <f t="shared" ca="1" si="129"/>
        <v>1468.276501057248</v>
      </c>
      <c r="V416" s="4">
        <f t="shared" ca="1" si="130"/>
        <v>0</v>
      </c>
      <c r="W416" s="13">
        <f t="shared" ca="1" si="131"/>
        <v>4370.7439639125005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100</v>
      </c>
      <c r="M417" s="7">
        <f t="shared" ca="1" si="121"/>
        <v>900</v>
      </c>
      <c r="N417" s="44">
        <f t="shared" ca="1" si="122"/>
        <v>10</v>
      </c>
      <c r="O417" s="94">
        <f t="shared" ca="1" si="123"/>
        <v>2.855590707781452</v>
      </c>
      <c r="P417" s="94">
        <f t="shared" ca="1" si="124"/>
        <v>28.555907077814521</v>
      </c>
      <c r="Q417" s="94">
        <f t="shared" ca="1" si="125"/>
        <v>28.555907077814521</v>
      </c>
      <c r="R417" s="94">
        <f t="shared" ca="1" si="126"/>
        <v>2.855590707781452</v>
      </c>
      <c r="S417" s="94">
        <f t="shared" ca="1" si="127"/>
        <v>2.855590707781452</v>
      </c>
      <c r="T417" s="4">
        <f t="shared" ca="1" si="128"/>
        <v>0</v>
      </c>
      <c r="U417" s="46">
        <f t="shared" ca="1" si="129"/>
        <v>1468.276501057248</v>
      </c>
      <c r="V417" s="4">
        <f t="shared" ca="1" si="130"/>
        <v>0</v>
      </c>
      <c r="W417" s="13">
        <f t="shared" ca="1" si="131"/>
        <v>2185.3719819562502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202</v>
      </c>
      <c r="M418" s="7">
        <f t="shared" ca="1" si="121"/>
        <v>798</v>
      </c>
      <c r="N418" s="44">
        <f t="shared" ca="1" si="122"/>
        <v>9</v>
      </c>
      <c r="O418" s="94">
        <f t="shared" ca="1" si="123"/>
        <v>2.6080912058901573</v>
      </c>
      <c r="P418" s="94">
        <f t="shared" ca="1" si="124"/>
        <v>26.080912058901578</v>
      </c>
      <c r="Q418" s="94">
        <f t="shared" ca="1" si="125"/>
        <v>26.080912058901578</v>
      </c>
      <c r="R418" s="94">
        <f t="shared" ca="1" si="126"/>
        <v>2.6080912058901577</v>
      </c>
      <c r="S418" s="94">
        <f t="shared" ca="1" si="127"/>
        <v>2.6080912058901573</v>
      </c>
      <c r="T418" s="4">
        <f t="shared" ca="1" si="128"/>
        <v>0</v>
      </c>
      <c r="U418" s="46">
        <f t="shared" ca="1" si="129"/>
        <v>1472.2765406745989</v>
      </c>
      <c r="V418" s="4">
        <f t="shared" ca="1" si="130"/>
        <v>0</v>
      </c>
      <c r="W418" s="13">
        <f t="shared" ca="1" si="131"/>
        <v>17453.800451508654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185</v>
      </c>
      <c r="M419" s="7">
        <f t="shared" ca="1" si="121"/>
        <v>815</v>
      </c>
      <c r="N419" s="44">
        <f t="shared" ca="1" si="122"/>
        <v>9</v>
      </c>
      <c r="O419" s="94">
        <f t="shared" ca="1" si="123"/>
        <v>2.6080912058901573</v>
      </c>
      <c r="P419" s="94">
        <f t="shared" ca="1" si="124"/>
        <v>26.080912058901578</v>
      </c>
      <c r="Q419" s="94">
        <f t="shared" ca="1" si="125"/>
        <v>26.080912058901578</v>
      </c>
      <c r="R419" s="94">
        <f t="shared" ca="1" si="126"/>
        <v>2.6080912058901577</v>
      </c>
      <c r="S419" s="94">
        <f t="shared" ca="1" si="127"/>
        <v>2.6080912058901573</v>
      </c>
      <c r="T419" s="4">
        <f t="shared" ca="1" si="128"/>
        <v>0</v>
      </c>
      <c r="U419" s="46">
        <f t="shared" ca="1" si="129"/>
        <v>1455.2765406745989</v>
      </c>
      <c r="V419" s="4">
        <f t="shared" ca="1" si="130"/>
        <v>0</v>
      </c>
      <c r="W419" s="13">
        <f t="shared" ca="1" si="131"/>
        <v>15268.428469552404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168</v>
      </c>
      <c r="M420" s="7">
        <f t="shared" ca="1" si="121"/>
        <v>832</v>
      </c>
      <c r="N420" s="44">
        <f t="shared" ca="1" si="122"/>
        <v>9</v>
      </c>
      <c r="O420" s="94">
        <f t="shared" ca="1" si="123"/>
        <v>2.6080912058901573</v>
      </c>
      <c r="P420" s="94">
        <f t="shared" ca="1" si="124"/>
        <v>26.080912058901578</v>
      </c>
      <c r="Q420" s="94">
        <f t="shared" ca="1" si="125"/>
        <v>26.080912058901578</v>
      </c>
      <c r="R420" s="94">
        <f t="shared" ca="1" si="126"/>
        <v>2.6080912058901577</v>
      </c>
      <c r="S420" s="94">
        <f t="shared" ca="1" si="127"/>
        <v>2.6080912058901573</v>
      </c>
      <c r="T420" s="4">
        <f t="shared" ca="1" si="128"/>
        <v>0</v>
      </c>
      <c r="U420" s="46">
        <f t="shared" ca="1" si="129"/>
        <v>1438.2765406745989</v>
      </c>
      <c r="V420" s="4">
        <f t="shared" ca="1" si="130"/>
        <v>0</v>
      </c>
      <c r="W420" s="13">
        <f t="shared" ca="1" si="131"/>
        <v>13083.056487596155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151</v>
      </c>
      <c r="M421" s="7">
        <f t="shared" ca="1" si="121"/>
        <v>849</v>
      </c>
      <c r="N421" s="44">
        <f t="shared" ca="1" si="122"/>
        <v>9</v>
      </c>
      <c r="O421" s="94">
        <f t="shared" ca="1" si="123"/>
        <v>2.6080912058901573</v>
      </c>
      <c r="P421" s="94">
        <f t="shared" ca="1" si="124"/>
        <v>26.080912058901578</v>
      </c>
      <c r="Q421" s="94">
        <f t="shared" ca="1" si="125"/>
        <v>26.080912058901578</v>
      </c>
      <c r="R421" s="94">
        <f t="shared" ca="1" si="126"/>
        <v>2.6080912058901577</v>
      </c>
      <c r="S421" s="94">
        <f t="shared" ca="1" si="127"/>
        <v>2.6080912058901573</v>
      </c>
      <c r="T421" s="4">
        <f t="shared" ca="1" si="128"/>
        <v>0</v>
      </c>
      <c r="U421" s="46">
        <f t="shared" ca="1" si="129"/>
        <v>1421.2765406745989</v>
      </c>
      <c r="V421" s="4">
        <f t="shared" ca="1" si="130"/>
        <v>0</v>
      </c>
      <c r="W421" s="13">
        <f t="shared" ca="1" si="131"/>
        <v>10897.684505639905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134</v>
      </c>
      <c r="M422" s="7">
        <f t="shared" ca="1" si="121"/>
        <v>866</v>
      </c>
      <c r="N422" s="44">
        <f t="shared" ca="1" si="122"/>
        <v>10</v>
      </c>
      <c r="O422" s="94">
        <f t="shared" ca="1" si="123"/>
        <v>2.855590707781452</v>
      </c>
      <c r="P422" s="94">
        <f t="shared" ca="1" si="124"/>
        <v>26.328411560792873</v>
      </c>
      <c r="Q422" s="94">
        <f t="shared" ca="1" si="125"/>
        <v>26.080912058901578</v>
      </c>
      <c r="R422" s="94">
        <f t="shared" ca="1" si="126"/>
        <v>2.6204661809847223</v>
      </c>
      <c r="S422" s="94">
        <f t="shared" ca="1" si="127"/>
        <v>2.855590707781452</v>
      </c>
      <c r="T422" s="4">
        <f t="shared" ca="1" si="128"/>
        <v>0</v>
      </c>
      <c r="U422" s="46">
        <f t="shared" ca="1" si="129"/>
        <v>1502.276501057248</v>
      </c>
      <c r="V422" s="4">
        <f t="shared" ca="1" si="130"/>
        <v>0</v>
      </c>
      <c r="W422" s="13">
        <f t="shared" ca="1" si="131"/>
        <v>8712.3125236836531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117</v>
      </c>
      <c r="M423" s="7">
        <f t="shared" ca="1" si="121"/>
        <v>883</v>
      </c>
      <c r="N423" s="44">
        <f t="shared" ca="1" si="122"/>
        <v>10</v>
      </c>
      <c r="O423" s="94">
        <f t="shared" ca="1" si="123"/>
        <v>2.855590707781452</v>
      </c>
      <c r="P423" s="94">
        <f t="shared" ca="1" si="124"/>
        <v>28.555907077814521</v>
      </c>
      <c r="Q423" s="94">
        <f t="shared" ca="1" si="125"/>
        <v>28.060908074031932</v>
      </c>
      <c r="R423" s="94">
        <f t="shared" ca="1" si="126"/>
        <v>2.8308407575923225</v>
      </c>
      <c r="S423" s="94">
        <f t="shared" ca="1" si="127"/>
        <v>2.855590707781452</v>
      </c>
      <c r="T423" s="4">
        <f t="shared" ca="1" si="128"/>
        <v>0</v>
      </c>
      <c r="U423" s="46">
        <f t="shared" ca="1" si="129"/>
        <v>1485.276501057248</v>
      </c>
      <c r="V423" s="4">
        <f t="shared" ca="1" si="130"/>
        <v>0</v>
      </c>
      <c r="W423" s="13">
        <f t="shared" ca="1" si="131"/>
        <v>6526.9405417274047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100</v>
      </c>
      <c r="M424" s="7">
        <f t="shared" ca="1" si="121"/>
        <v>900</v>
      </c>
      <c r="N424" s="44">
        <f t="shared" ca="1" si="122"/>
        <v>10</v>
      </c>
      <c r="O424" s="94">
        <f t="shared" ca="1" si="123"/>
        <v>2.855590707781452</v>
      </c>
      <c r="P424" s="94">
        <f t="shared" ca="1" si="124"/>
        <v>28.555907077814521</v>
      </c>
      <c r="Q424" s="94">
        <f t="shared" ca="1" si="125"/>
        <v>28.555907077814521</v>
      </c>
      <c r="R424" s="94">
        <f t="shared" ca="1" si="126"/>
        <v>2.855590707781452</v>
      </c>
      <c r="S424" s="94">
        <f t="shared" ca="1" si="127"/>
        <v>2.855590707781452</v>
      </c>
      <c r="T424" s="4">
        <f t="shared" ca="1" si="128"/>
        <v>0</v>
      </c>
      <c r="U424" s="46">
        <f t="shared" ca="1" si="129"/>
        <v>1468.276501057248</v>
      </c>
      <c r="V424" s="4">
        <f t="shared" ca="1" si="130"/>
        <v>0</v>
      </c>
      <c r="W424" s="13">
        <f t="shared" ca="1" si="131"/>
        <v>4341.5685597711545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100</v>
      </c>
      <c r="M425" s="7">
        <f t="shared" ca="1" si="121"/>
        <v>900</v>
      </c>
      <c r="N425" s="44">
        <f t="shared" ca="1" si="122"/>
        <v>10</v>
      </c>
      <c r="O425" s="94">
        <f t="shared" ca="1" si="123"/>
        <v>2.855590707781452</v>
      </c>
      <c r="P425" s="94">
        <f t="shared" ca="1" si="124"/>
        <v>28.555907077814521</v>
      </c>
      <c r="Q425" s="94">
        <f t="shared" ca="1" si="125"/>
        <v>28.555907077814521</v>
      </c>
      <c r="R425" s="94">
        <f t="shared" ca="1" si="126"/>
        <v>2.855590707781452</v>
      </c>
      <c r="S425" s="94">
        <f t="shared" ca="1" si="127"/>
        <v>2.855590707781452</v>
      </c>
      <c r="T425" s="4">
        <f t="shared" ca="1" si="128"/>
        <v>0</v>
      </c>
      <c r="U425" s="46">
        <f t="shared" ca="1" si="129"/>
        <v>1468.276501057248</v>
      </c>
      <c r="V425" s="4">
        <f t="shared" ca="1" si="130"/>
        <v>0</v>
      </c>
      <c r="W425" s="13">
        <f t="shared" ca="1" si="131"/>
        <v>2156.1965778149038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119</v>
      </c>
      <c r="M426" s="7">
        <f t="shared" ca="1" si="121"/>
        <v>881</v>
      </c>
      <c r="N426" s="44">
        <f t="shared" ca="1" si="122"/>
        <v>10</v>
      </c>
      <c r="O426" s="94">
        <f t="shared" ca="1" si="123"/>
        <v>2.855590707781452</v>
      </c>
      <c r="P426" s="94">
        <f t="shared" ca="1" si="124"/>
        <v>28.555907077814521</v>
      </c>
      <c r="Q426" s="94">
        <f t="shared" ca="1" si="125"/>
        <v>27.565909070249344</v>
      </c>
      <c r="R426" s="94">
        <f t="shared" ca="1" si="126"/>
        <v>2.8060908074031934</v>
      </c>
      <c r="S426" s="94">
        <f t="shared" ca="1" si="127"/>
        <v>2.855590707781452</v>
      </c>
      <c r="T426" s="4">
        <f t="shared" ca="1" si="128"/>
        <v>0</v>
      </c>
      <c r="U426" s="46">
        <f t="shared" ca="1" si="129"/>
        <v>1487.276501057248</v>
      </c>
      <c r="V426" s="4">
        <f t="shared" ca="1" si="130"/>
        <v>0</v>
      </c>
      <c r="W426" s="13">
        <f t="shared" ca="1" si="131"/>
        <v>15297.60387369375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102</v>
      </c>
      <c r="M427" s="7">
        <f t="shared" ca="1" si="121"/>
        <v>898</v>
      </c>
      <c r="N427" s="44">
        <f t="shared" ca="1" si="122"/>
        <v>10</v>
      </c>
      <c r="O427" s="94">
        <f t="shared" ca="1" si="123"/>
        <v>2.855590707781452</v>
      </c>
      <c r="P427" s="94">
        <f t="shared" ca="1" si="124"/>
        <v>28.555907077814521</v>
      </c>
      <c r="Q427" s="94">
        <f t="shared" ca="1" si="125"/>
        <v>28.555907077814521</v>
      </c>
      <c r="R427" s="94">
        <f t="shared" ca="1" si="126"/>
        <v>2.855590707781452</v>
      </c>
      <c r="S427" s="94">
        <f t="shared" ca="1" si="127"/>
        <v>2.855590707781452</v>
      </c>
      <c r="T427" s="4">
        <f t="shared" ca="1" si="128"/>
        <v>0</v>
      </c>
      <c r="U427" s="46">
        <f t="shared" ca="1" si="129"/>
        <v>1470.276501057248</v>
      </c>
      <c r="V427" s="4">
        <f t="shared" ca="1" si="130"/>
        <v>0</v>
      </c>
      <c r="W427" s="13">
        <f t="shared" ca="1" si="131"/>
        <v>13112.2318917375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10</v>
      </c>
      <c r="O428" s="94">
        <f t="shared" ca="1" si="123"/>
        <v>2.855590707781452</v>
      </c>
      <c r="P428" s="94">
        <f t="shared" ca="1" si="124"/>
        <v>28.555907077814521</v>
      </c>
      <c r="Q428" s="94">
        <f t="shared" ca="1" si="125"/>
        <v>28.555907077814521</v>
      </c>
      <c r="R428" s="94">
        <f t="shared" ca="1" si="126"/>
        <v>2.855590707781452</v>
      </c>
      <c r="S428" s="94">
        <f t="shared" ca="1" si="127"/>
        <v>2.855590707781452</v>
      </c>
      <c r="T428" s="4">
        <f t="shared" ca="1" si="128"/>
        <v>0</v>
      </c>
      <c r="U428" s="46">
        <f t="shared" ca="1" si="129"/>
        <v>1468.276501057248</v>
      </c>
      <c r="V428" s="4">
        <f t="shared" ca="1" si="130"/>
        <v>0</v>
      </c>
      <c r="W428" s="13">
        <f t="shared" ca="1" si="131"/>
        <v>10926.859909781251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100</v>
      </c>
      <c r="M429" s="7">
        <f t="shared" ca="1" si="121"/>
        <v>900</v>
      </c>
      <c r="N429" s="44">
        <f t="shared" ca="1" si="122"/>
        <v>10</v>
      </c>
      <c r="O429" s="94">
        <f t="shared" ca="1" si="123"/>
        <v>2.855590707781452</v>
      </c>
      <c r="P429" s="94">
        <f t="shared" ca="1" si="124"/>
        <v>28.555907077814521</v>
      </c>
      <c r="Q429" s="94">
        <f t="shared" ca="1" si="125"/>
        <v>28.555907077814521</v>
      </c>
      <c r="R429" s="94">
        <f t="shared" ca="1" si="126"/>
        <v>2.855590707781452</v>
      </c>
      <c r="S429" s="94">
        <f t="shared" ca="1" si="127"/>
        <v>2.855590707781452</v>
      </c>
      <c r="T429" s="4">
        <f t="shared" ca="1" si="128"/>
        <v>0</v>
      </c>
      <c r="U429" s="46">
        <f t="shared" ca="1" si="129"/>
        <v>1468.276501057248</v>
      </c>
      <c r="V429" s="4">
        <f t="shared" ca="1" si="130"/>
        <v>0</v>
      </c>
      <c r="W429" s="13">
        <f t="shared" ca="1" si="131"/>
        <v>8741.487927825001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100</v>
      </c>
      <c r="M430" s="7">
        <f t="shared" ca="1" si="121"/>
        <v>900</v>
      </c>
      <c r="N430" s="44">
        <f t="shared" ca="1" si="122"/>
        <v>10</v>
      </c>
      <c r="O430" s="94">
        <f t="shared" ca="1" si="123"/>
        <v>2.855590707781452</v>
      </c>
      <c r="P430" s="94">
        <f t="shared" ca="1" si="124"/>
        <v>28.555907077814521</v>
      </c>
      <c r="Q430" s="94">
        <f t="shared" ca="1" si="125"/>
        <v>28.555907077814521</v>
      </c>
      <c r="R430" s="94">
        <f t="shared" ca="1" si="126"/>
        <v>2.855590707781452</v>
      </c>
      <c r="S430" s="94">
        <f t="shared" ca="1" si="127"/>
        <v>2.855590707781452</v>
      </c>
      <c r="T430" s="4">
        <f t="shared" ca="1" si="128"/>
        <v>0</v>
      </c>
      <c r="U430" s="46">
        <f t="shared" ca="1" si="129"/>
        <v>1468.276501057248</v>
      </c>
      <c r="V430" s="4">
        <f t="shared" ca="1" si="130"/>
        <v>0</v>
      </c>
      <c r="W430" s="13">
        <f t="shared" ca="1" si="131"/>
        <v>6556.1159458687498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100</v>
      </c>
      <c r="M431" s="7">
        <f t="shared" ca="1" si="121"/>
        <v>900</v>
      </c>
      <c r="N431" s="44">
        <f t="shared" ca="1" si="122"/>
        <v>10</v>
      </c>
      <c r="O431" s="94">
        <f t="shared" ca="1" si="123"/>
        <v>2.855590707781452</v>
      </c>
      <c r="P431" s="94">
        <f t="shared" ca="1" si="124"/>
        <v>28.555907077814521</v>
      </c>
      <c r="Q431" s="94">
        <f t="shared" ca="1" si="125"/>
        <v>28.555907077814521</v>
      </c>
      <c r="R431" s="94">
        <f t="shared" ca="1" si="126"/>
        <v>2.855590707781452</v>
      </c>
      <c r="S431" s="94">
        <f t="shared" ca="1" si="127"/>
        <v>2.855590707781452</v>
      </c>
      <c r="T431" s="4">
        <f t="shared" ca="1" si="128"/>
        <v>0</v>
      </c>
      <c r="U431" s="46">
        <f t="shared" ca="1" si="129"/>
        <v>1468.276501057248</v>
      </c>
      <c r="V431" s="4">
        <f t="shared" ca="1" si="130"/>
        <v>0</v>
      </c>
      <c r="W431" s="13">
        <f t="shared" ca="1" si="131"/>
        <v>4370.7439639125005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100</v>
      </c>
      <c r="M432" s="7">
        <f t="shared" ca="1" si="121"/>
        <v>900</v>
      </c>
      <c r="N432" s="44">
        <f t="shared" ca="1" si="122"/>
        <v>10</v>
      </c>
      <c r="O432" s="94">
        <f t="shared" ca="1" si="123"/>
        <v>2.855590707781452</v>
      </c>
      <c r="P432" s="94">
        <f t="shared" ca="1" si="124"/>
        <v>28.555907077814521</v>
      </c>
      <c r="Q432" s="94">
        <f t="shared" ca="1" si="125"/>
        <v>28.555907077814521</v>
      </c>
      <c r="R432" s="94">
        <f t="shared" ca="1" si="126"/>
        <v>2.855590707781452</v>
      </c>
      <c r="S432" s="94">
        <f t="shared" ca="1" si="127"/>
        <v>2.855590707781452</v>
      </c>
      <c r="T432" s="4">
        <f t="shared" ca="1" si="128"/>
        <v>0</v>
      </c>
      <c r="U432" s="46">
        <f t="shared" ca="1" si="129"/>
        <v>1468.276501057248</v>
      </c>
      <c r="V432" s="4">
        <f t="shared" ca="1" si="130"/>
        <v>0</v>
      </c>
      <c r="W432" s="13">
        <f t="shared" ca="1" si="131"/>
        <v>2185.3719819562502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100</v>
      </c>
      <c r="M433" s="7">
        <f t="shared" ca="1" si="121"/>
        <v>900</v>
      </c>
      <c r="N433" s="44">
        <f t="shared" ca="1" si="122"/>
        <v>10</v>
      </c>
      <c r="O433" s="94">
        <f t="shared" ca="1" si="123"/>
        <v>2.855590707781452</v>
      </c>
      <c r="P433" s="94">
        <f t="shared" ca="1" si="124"/>
        <v>28.555907077814521</v>
      </c>
      <c r="Q433" s="94">
        <f t="shared" ca="1" si="125"/>
        <v>28.555907077814521</v>
      </c>
      <c r="R433" s="94">
        <f t="shared" ca="1" si="126"/>
        <v>2.855590707781452</v>
      </c>
      <c r="S433" s="94">
        <f t="shared" ca="1" si="127"/>
        <v>2.855590707781452</v>
      </c>
      <c r="T433" s="4">
        <f t="shared" ca="1" si="128"/>
        <v>0</v>
      </c>
      <c r="U433" s="46">
        <f t="shared" ca="1" si="129"/>
        <v>1468.276501057248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285</v>
      </c>
      <c r="M434" s="7">
        <f t="shared" ca="1" si="121"/>
        <v>715</v>
      </c>
      <c r="N434" s="44">
        <f t="shared" ca="1" si="122"/>
        <v>8</v>
      </c>
      <c r="O434" s="94">
        <f t="shared" ca="1" si="123"/>
        <v>2.3721134347108093</v>
      </c>
      <c r="P434" s="94">
        <f t="shared" ca="1" si="124"/>
        <v>23.721134347108087</v>
      </c>
      <c r="Q434" s="94">
        <f t="shared" ca="1" si="125"/>
        <v>23.721134347108087</v>
      </c>
      <c r="R434" s="94">
        <f t="shared" ca="1" si="126"/>
        <v>2.3721134347108088</v>
      </c>
      <c r="S434" s="94">
        <f t="shared" ca="1" si="127"/>
        <v>2.3721134347108093</v>
      </c>
      <c r="T434" s="4">
        <f t="shared" ca="1" si="128"/>
        <v>0</v>
      </c>
      <c r="U434" s="46">
        <f t="shared" ca="1" si="129"/>
        <v>1461.8387274667198</v>
      </c>
      <c r="V434" s="4">
        <f t="shared" ca="1" si="130"/>
        <v>0</v>
      </c>
      <c r="W434" s="13">
        <f t="shared" ca="1" si="131"/>
        <v>19639.172433464904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268</v>
      </c>
      <c r="M435" s="7">
        <f t="shared" ca="1" si="121"/>
        <v>732</v>
      </c>
      <c r="N435" s="44">
        <f t="shared" ca="1" si="122"/>
        <v>8</v>
      </c>
      <c r="O435" s="94">
        <f t="shared" ca="1" si="123"/>
        <v>2.3721134347108093</v>
      </c>
      <c r="P435" s="94">
        <f t="shared" ca="1" si="124"/>
        <v>23.721134347108087</v>
      </c>
      <c r="Q435" s="94">
        <f t="shared" ca="1" si="125"/>
        <v>23.721134347108087</v>
      </c>
      <c r="R435" s="94">
        <f t="shared" ca="1" si="126"/>
        <v>2.3721134347108088</v>
      </c>
      <c r="S435" s="94">
        <f t="shared" ca="1" si="127"/>
        <v>2.3721134347108093</v>
      </c>
      <c r="T435" s="4">
        <f t="shared" ca="1" si="128"/>
        <v>0</v>
      </c>
      <c r="U435" s="46">
        <f t="shared" ca="1" si="129"/>
        <v>1444.8387274667198</v>
      </c>
      <c r="V435" s="4">
        <f t="shared" ca="1" si="130"/>
        <v>0</v>
      </c>
      <c r="W435" s="13">
        <f t="shared" ca="1" si="131"/>
        <v>17453.800451508654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251</v>
      </c>
      <c r="M436" s="7">
        <f t="shared" ca="1" si="121"/>
        <v>749</v>
      </c>
      <c r="N436" s="44">
        <f t="shared" ca="1" si="122"/>
        <v>8</v>
      </c>
      <c r="O436" s="94">
        <f t="shared" ca="1" si="123"/>
        <v>2.3721134347108093</v>
      </c>
      <c r="P436" s="94">
        <f t="shared" ca="1" si="124"/>
        <v>23.721134347108087</v>
      </c>
      <c r="Q436" s="94">
        <f t="shared" ca="1" si="125"/>
        <v>23.721134347108087</v>
      </c>
      <c r="R436" s="94">
        <f t="shared" ca="1" si="126"/>
        <v>2.3721134347108088</v>
      </c>
      <c r="S436" s="94">
        <f t="shared" ca="1" si="127"/>
        <v>2.3721134347108093</v>
      </c>
      <c r="T436" s="4">
        <f t="shared" ca="1" si="128"/>
        <v>0</v>
      </c>
      <c r="U436" s="46">
        <f t="shared" ca="1" si="129"/>
        <v>1427.8387274667198</v>
      </c>
      <c r="V436" s="4">
        <f t="shared" ca="1" si="130"/>
        <v>0</v>
      </c>
      <c r="W436" s="13">
        <f t="shared" ca="1" si="131"/>
        <v>15268.428469552406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234</v>
      </c>
      <c r="M437" s="7">
        <f t="shared" ca="1" si="121"/>
        <v>766</v>
      </c>
      <c r="N437" s="44">
        <f t="shared" ca="1" si="122"/>
        <v>8</v>
      </c>
      <c r="O437" s="94">
        <f t="shared" ca="1" si="123"/>
        <v>2.3721134347108093</v>
      </c>
      <c r="P437" s="94">
        <f t="shared" ca="1" si="124"/>
        <v>23.721134347108087</v>
      </c>
      <c r="Q437" s="94">
        <f t="shared" ca="1" si="125"/>
        <v>23.721134347108087</v>
      </c>
      <c r="R437" s="94">
        <f t="shared" ca="1" si="126"/>
        <v>2.3721134347108088</v>
      </c>
      <c r="S437" s="94">
        <f t="shared" ca="1" si="127"/>
        <v>2.3721134347108093</v>
      </c>
      <c r="T437" s="4">
        <f t="shared" ca="1" si="128"/>
        <v>0</v>
      </c>
      <c r="U437" s="46">
        <f t="shared" ca="1" si="129"/>
        <v>1410.8387274667198</v>
      </c>
      <c r="V437" s="4">
        <f t="shared" ca="1" si="130"/>
        <v>0</v>
      </c>
      <c r="W437" s="13">
        <f t="shared" ca="1" si="131"/>
        <v>13083.056487596155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217</v>
      </c>
      <c r="M438" s="7">
        <f t="shared" ca="1" si="121"/>
        <v>783</v>
      </c>
      <c r="N438" s="44">
        <f t="shared" ca="1" si="122"/>
        <v>9</v>
      </c>
      <c r="O438" s="94">
        <f t="shared" ca="1" si="123"/>
        <v>2.6080912058901573</v>
      </c>
      <c r="P438" s="94">
        <f t="shared" ca="1" si="124"/>
        <v>26.080912058901578</v>
      </c>
      <c r="Q438" s="94">
        <f t="shared" ca="1" si="125"/>
        <v>24.665045431825479</v>
      </c>
      <c r="R438" s="94">
        <f t="shared" ca="1" si="126"/>
        <v>2.5372978745363528</v>
      </c>
      <c r="S438" s="94">
        <f t="shared" ca="1" si="127"/>
        <v>2.6080912058901573</v>
      </c>
      <c r="T438" s="4">
        <f t="shared" ca="1" si="128"/>
        <v>0</v>
      </c>
      <c r="U438" s="46">
        <f t="shared" ca="1" si="129"/>
        <v>1487.2765406745989</v>
      </c>
      <c r="V438" s="4">
        <f t="shared" ca="1" si="130"/>
        <v>0</v>
      </c>
      <c r="W438" s="13">
        <f t="shared" ca="1" si="131"/>
        <v>10897.684505639903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200</v>
      </c>
      <c r="M439" s="7">
        <f t="shared" ca="1" si="121"/>
        <v>800</v>
      </c>
      <c r="N439" s="44">
        <f t="shared" ca="1" si="122"/>
        <v>9</v>
      </c>
      <c r="O439" s="94">
        <f t="shared" ca="1" si="123"/>
        <v>2.6080912058901573</v>
      </c>
      <c r="P439" s="94">
        <f t="shared" ca="1" si="124"/>
        <v>26.080912058901578</v>
      </c>
      <c r="Q439" s="94">
        <f t="shared" ca="1" si="125"/>
        <v>26.080912058901578</v>
      </c>
      <c r="R439" s="94">
        <f t="shared" ca="1" si="126"/>
        <v>2.6080912058901577</v>
      </c>
      <c r="S439" s="94">
        <f t="shared" ca="1" si="127"/>
        <v>2.6080912058901573</v>
      </c>
      <c r="T439" s="4">
        <f t="shared" ca="1" si="128"/>
        <v>0</v>
      </c>
      <c r="U439" s="46">
        <f t="shared" ca="1" si="129"/>
        <v>1470.2765406745989</v>
      </c>
      <c r="V439" s="4">
        <f t="shared" ca="1" si="130"/>
        <v>0</v>
      </c>
      <c r="W439" s="13">
        <f t="shared" ca="1" si="131"/>
        <v>8712.3125236836549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183</v>
      </c>
      <c r="M440" s="7">
        <f t="shared" ca="1" si="121"/>
        <v>817</v>
      </c>
      <c r="N440" s="44">
        <f t="shared" ca="1" si="122"/>
        <v>9</v>
      </c>
      <c r="O440" s="94">
        <f t="shared" ca="1" si="123"/>
        <v>2.6080912058901573</v>
      </c>
      <c r="P440" s="94">
        <f t="shared" ca="1" si="124"/>
        <v>26.080912058901578</v>
      </c>
      <c r="Q440" s="94">
        <f t="shared" ca="1" si="125"/>
        <v>26.080912058901578</v>
      </c>
      <c r="R440" s="94">
        <f t="shared" ca="1" si="126"/>
        <v>2.6080912058901577</v>
      </c>
      <c r="S440" s="94">
        <f t="shared" ca="1" si="127"/>
        <v>2.6080912058901573</v>
      </c>
      <c r="T440" s="4">
        <f t="shared" ca="1" si="128"/>
        <v>0</v>
      </c>
      <c r="U440" s="46">
        <f t="shared" ca="1" si="129"/>
        <v>1453.2765406745989</v>
      </c>
      <c r="V440" s="4">
        <f t="shared" ca="1" si="130"/>
        <v>0</v>
      </c>
      <c r="W440" s="13">
        <f t="shared" ca="1" si="131"/>
        <v>6526.9405417274047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166</v>
      </c>
      <c r="M441" s="7">
        <f t="shared" ca="1" si="121"/>
        <v>834</v>
      </c>
      <c r="N441" s="44">
        <f t="shared" ca="1" si="122"/>
        <v>9</v>
      </c>
      <c r="O441" s="94">
        <f t="shared" ca="1" si="123"/>
        <v>2.6080912058901573</v>
      </c>
      <c r="P441" s="94">
        <f t="shared" ca="1" si="124"/>
        <v>26.080912058901578</v>
      </c>
      <c r="Q441" s="94">
        <f t="shared" ca="1" si="125"/>
        <v>26.080912058901578</v>
      </c>
      <c r="R441" s="94">
        <f t="shared" ca="1" si="126"/>
        <v>2.6080912058901577</v>
      </c>
      <c r="S441" s="94">
        <f t="shared" ca="1" si="127"/>
        <v>2.6080912058901573</v>
      </c>
      <c r="T441" s="4">
        <f t="shared" ca="1" si="128"/>
        <v>0</v>
      </c>
      <c r="U441" s="46">
        <f t="shared" ca="1" si="129"/>
        <v>1436.2765406745989</v>
      </c>
      <c r="V441" s="4">
        <f t="shared" ca="1" si="130"/>
        <v>0</v>
      </c>
      <c r="W441" s="13">
        <f t="shared" ca="1" si="131"/>
        <v>4341.5685597711545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202</v>
      </c>
      <c r="M442" s="7">
        <f t="shared" ca="1" si="121"/>
        <v>798</v>
      </c>
      <c r="N442" s="44">
        <f t="shared" ca="1" si="122"/>
        <v>9</v>
      </c>
      <c r="O442" s="94">
        <f t="shared" ca="1" si="123"/>
        <v>2.6080912058901573</v>
      </c>
      <c r="P442" s="94">
        <f t="shared" ca="1" si="124"/>
        <v>26.080912058901578</v>
      </c>
      <c r="Q442" s="94">
        <f t="shared" ca="1" si="125"/>
        <v>26.080912058901578</v>
      </c>
      <c r="R442" s="94">
        <f t="shared" ca="1" si="126"/>
        <v>2.6080912058901577</v>
      </c>
      <c r="S442" s="94">
        <f t="shared" ca="1" si="127"/>
        <v>2.6080912058901573</v>
      </c>
      <c r="T442" s="4">
        <f t="shared" ca="1" si="128"/>
        <v>0</v>
      </c>
      <c r="U442" s="46">
        <f t="shared" ca="1" si="129"/>
        <v>1472.2765406745989</v>
      </c>
      <c r="V442" s="4">
        <f t="shared" ca="1" si="130"/>
        <v>0</v>
      </c>
      <c r="W442" s="13">
        <f t="shared" ca="1" si="131"/>
        <v>17482.975855650002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185</v>
      </c>
      <c r="M443" s="7">
        <f t="shared" ca="1" si="121"/>
        <v>815</v>
      </c>
      <c r="N443" s="44">
        <f t="shared" ca="1" si="122"/>
        <v>9</v>
      </c>
      <c r="O443" s="94">
        <f t="shared" ca="1" si="123"/>
        <v>2.6080912058901573</v>
      </c>
      <c r="P443" s="94">
        <f t="shared" ca="1" si="124"/>
        <v>26.080912058901578</v>
      </c>
      <c r="Q443" s="94">
        <f t="shared" ca="1" si="125"/>
        <v>26.080912058901578</v>
      </c>
      <c r="R443" s="94">
        <f t="shared" ca="1" si="126"/>
        <v>2.6080912058901577</v>
      </c>
      <c r="S443" s="94">
        <f t="shared" ca="1" si="127"/>
        <v>2.6080912058901573</v>
      </c>
      <c r="T443" s="4">
        <f t="shared" ca="1" si="128"/>
        <v>0</v>
      </c>
      <c r="U443" s="46">
        <f t="shared" ca="1" si="129"/>
        <v>1455.2765406745989</v>
      </c>
      <c r="V443" s="4">
        <f t="shared" ca="1" si="130"/>
        <v>0</v>
      </c>
      <c r="W443" s="13">
        <f t="shared" ca="1" si="131"/>
        <v>15297.60387369375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168</v>
      </c>
      <c r="M444" s="7">
        <f t="shared" ca="1" si="121"/>
        <v>832</v>
      </c>
      <c r="N444" s="44">
        <f t="shared" ca="1" si="122"/>
        <v>9</v>
      </c>
      <c r="O444" s="94">
        <f t="shared" ca="1" si="123"/>
        <v>2.6080912058901573</v>
      </c>
      <c r="P444" s="94">
        <f t="shared" ca="1" si="124"/>
        <v>26.080912058901578</v>
      </c>
      <c r="Q444" s="94">
        <f t="shared" ca="1" si="125"/>
        <v>26.080912058901578</v>
      </c>
      <c r="R444" s="94">
        <f t="shared" ca="1" si="126"/>
        <v>2.6080912058901577</v>
      </c>
      <c r="S444" s="94">
        <f t="shared" ca="1" si="127"/>
        <v>2.6080912058901573</v>
      </c>
      <c r="T444" s="4">
        <f t="shared" ca="1" si="128"/>
        <v>0</v>
      </c>
      <c r="U444" s="46">
        <f t="shared" ca="1" si="129"/>
        <v>1438.2765406745989</v>
      </c>
      <c r="V444" s="4">
        <f t="shared" ca="1" si="130"/>
        <v>0</v>
      </c>
      <c r="W444" s="13">
        <f t="shared" ca="1" si="131"/>
        <v>13112.231891737501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151</v>
      </c>
      <c r="M445" s="7">
        <f t="shared" ca="1" si="121"/>
        <v>849</v>
      </c>
      <c r="N445" s="44">
        <f t="shared" ca="1" si="122"/>
        <v>9</v>
      </c>
      <c r="O445" s="94">
        <f t="shared" ca="1" si="123"/>
        <v>2.6080912058901573</v>
      </c>
      <c r="P445" s="94">
        <f t="shared" ca="1" si="124"/>
        <v>26.080912058901578</v>
      </c>
      <c r="Q445" s="94">
        <f t="shared" ca="1" si="125"/>
        <v>26.080912058901578</v>
      </c>
      <c r="R445" s="94">
        <f t="shared" ca="1" si="126"/>
        <v>2.6080912058901577</v>
      </c>
      <c r="S445" s="94">
        <f t="shared" ca="1" si="127"/>
        <v>2.6080912058901573</v>
      </c>
      <c r="T445" s="4">
        <f t="shared" ca="1" si="128"/>
        <v>0</v>
      </c>
      <c r="U445" s="46">
        <f t="shared" ca="1" si="129"/>
        <v>1421.2765406745989</v>
      </c>
      <c r="V445" s="4">
        <f t="shared" ca="1" si="130"/>
        <v>0</v>
      </c>
      <c r="W445" s="13">
        <f t="shared" ca="1" si="131"/>
        <v>10926.859909781251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134</v>
      </c>
      <c r="M446" s="7">
        <f t="shared" ca="1" si="121"/>
        <v>866</v>
      </c>
      <c r="N446" s="44">
        <f t="shared" ca="1" si="122"/>
        <v>10</v>
      </c>
      <c r="O446" s="94">
        <f t="shared" ca="1" si="123"/>
        <v>2.855590707781452</v>
      </c>
      <c r="P446" s="94">
        <f t="shared" ca="1" si="124"/>
        <v>26.328411560792873</v>
      </c>
      <c r="Q446" s="94">
        <f t="shared" ca="1" si="125"/>
        <v>26.080912058901578</v>
      </c>
      <c r="R446" s="94">
        <f t="shared" ca="1" si="126"/>
        <v>2.6204661809847223</v>
      </c>
      <c r="S446" s="94">
        <f t="shared" ca="1" si="127"/>
        <v>2.855590707781452</v>
      </c>
      <c r="T446" s="4">
        <f t="shared" ca="1" si="128"/>
        <v>0</v>
      </c>
      <c r="U446" s="46">
        <f t="shared" ca="1" si="129"/>
        <v>1502.276501057248</v>
      </c>
      <c r="V446" s="4">
        <f t="shared" ca="1" si="130"/>
        <v>0</v>
      </c>
      <c r="W446" s="13">
        <f t="shared" ca="1" si="131"/>
        <v>8741.487927825001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117</v>
      </c>
      <c r="M447" s="7">
        <f t="shared" ca="1" si="121"/>
        <v>883</v>
      </c>
      <c r="N447" s="44">
        <f t="shared" ca="1" si="122"/>
        <v>10</v>
      </c>
      <c r="O447" s="94">
        <f t="shared" ca="1" si="123"/>
        <v>2.855590707781452</v>
      </c>
      <c r="P447" s="94">
        <f t="shared" ca="1" si="124"/>
        <v>28.555907077814521</v>
      </c>
      <c r="Q447" s="94">
        <f t="shared" ca="1" si="125"/>
        <v>28.060908074031932</v>
      </c>
      <c r="R447" s="94">
        <f t="shared" ca="1" si="126"/>
        <v>2.8308407575923225</v>
      </c>
      <c r="S447" s="94">
        <f t="shared" ca="1" si="127"/>
        <v>2.855590707781452</v>
      </c>
      <c r="T447" s="4">
        <f t="shared" ca="1" si="128"/>
        <v>0</v>
      </c>
      <c r="U447" s="46">
        <f t="shared" ca="1" si="129"/>
        <v>1485.276501057248</v>
      </c>
      <c r="V447" s="4">
        <f t="shared" ca="1" si="130"/>
        <v>0</v>
      </c>
      <c r="W447" s="13">
        <f t="shared" ca="1" si="131"/>
        <v>6556.1159458687507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100</v>
      </c>
      <c r="M448" s="7">
        <f t="shared" ca="1" si="121"/>
        <v>900</v>
      </c>
      <c r="N448" s="44">
        <f t="shared" ca="1" si="122"/>
        <v>10</v>
      </c>
      <c r="O448" s="94">
        <f t="shared" ca="1" si="123"/>
        <v>2.855590707781452</v>
      </c>
      <c r="P448" s="94">
        <f t="shared" ca="1" si="124"/>
        <v>28.555907077814521</v>
      </c>
      <c r="Q448" s="94">
        <f t="shared" ca="1" si="125"/>
        <v>28.555907077814521</v>
      </c>
      <c r="R448" s="94">
        <f t="shared" ca="1" si="126"/>
        <v>2.855590707781452</v>
      </c>
      <c r="S448" s="94">
        <f t="shared" ca="1" si="127"/>
        <v>2.855590707781452</v>
      </c>
      <c r="T448" s="4">
        <f t="shared" ca="1" si="128"/>
        <v>0</v>
      </c>
      <c r="U448" s="46">
        <f t="shared" ca="1" si="129"/>
        <v>1468.276501057248</v>
      </c>
      <c r="V448" s="4">
        <f t="shared" ca="1" si="130"/>
        <v>0</v>
      </c>
      <c r="W448" s="13">
        <f t="shared" ca="1" si="131"/>
        <v>4370.7439639125005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100</v>
      </c>
      <c r="M449" s="7">
        <f t="shared" ca="1" si="121"/>
        <v>900</v>
      </c>
      <c r="N449" s="44">
        <f t="shared" ca="1" si="122"/>
        <v>10</v>
      </c>
      <c r="O449" s="94">
        <f t="shared" ca="1" si="123"/>
        <v>2.855590707781452</v>
      </c>
      <c r="P449" s="94">
        <f t="shared" ca="1" si="124"/>
        <v>28.555907077814521</v>
      </c>
      <c r="Q449" s="94">
        <f t="shared" ca="1" si="125"/>
        <v>28.555907077814521</v>
      </c>
      <c r="R449" s="94">
        <f t="shared" ca="1" si="126"/>
        <v>2.855590707781452</v>
      </c>
      <c r="S449" s="94">
        <f t="shared" ca="1" si="127"/>
        <v>2.855590707781452</v>
      </c>
      <c r="T449" s="4">
        <f t="shared" ca="1" si="128"/>
        <v>0</v>
      </c>
      <c r="U449" s="46">
        <f t="shared" ca="1" si="129"/>
        <v>1468.276501057248</v>
      </c>
      <c r="V449" s="4">
        <f t="shared" ca="1" si="130"/>
        <v>0</v>
      </c>
      <c r="W449" s="13">
        <f t="shared" ca="1" si="131"/>
        <v>2185.3719819562502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202</v>
      </c>
      <c r="M450" s="7">
        <f t="shared" ca="1" si="121"/>
        <v>798</v>
      </c>
      <c r="N450" s="44">
        <f t="shared" ca="1" si="122"/>
        <v>9</v>
      </c>
      <c r="O450" s="94">
        <f t="shared" ca="1" si="123"/>
        <v>2.6080912058901573</v>
      </c>
      <c r="P450" s="94">
        <f t="shared" ca="1" si="124"/>
        <v>26.080912058901578</v>
      </c>
      <c r="Q450" s="94">
        <f t="shared" ca="1" si="125"/>
        <v>26.080912058901578</v>
      </c>
      <c r="R450" s="94">
        <f t="shared" ca="1" si="126"/>
        <v>2.6080912058901577</v>
      </c>
      <c r="S450" s="94">
        <f t="shared" ca="1" si="127"/>
        <v>2.6080912058901573</v>
      </c>
      <c r="T450" s="4">
        <f t="shared" ca="1" si="128"/>
        <v>0</v>
      </c>
      <c r="U450" s="46">
        <f t="shared" ca="1" si="129"/>
        <v>1472.2765406745989</v>
      </c>
      <c r="V450" s="4">
        <f t="shared" ca="1" si="130"/>
        <v>0</v>
      </c>
      <c r="W450" s="13">
        <f t="shared" ca="1" si="131"/>
        <v>17453.800451508654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185</v>
      </c>
      <c r="M451" s="7">
        <f t="shared" ca="1" si="121"/>
        <v>815</v>
      </c>
      <c r="N451" s="44">
        <f t="shared" ca="1" si="122"/>
        <v>9</v>
      </c>
      <c r="O451" s="94">
        <f t="shared" ca="1" si="123"/>
        <v>2.6080912058901573</v>
      </c>
      <c r="P451" s="94">
        <f t="shared" ca="1" si="124"/>
        <v>26.080912058901578</v>
      </c>
      <c r="Q451" s="94">
        <f t="shared" ca="1" si="125"/>
        <v>26.080912058901578</v>
      </c>
      <c r="R451" s="94">
        <f t="shared" ca="1" si="126"/>
        <v>2.6080912058901577</v>
      </c>
      <c r="S451" s="94">
        <f t="shared" ca="1" si="127"/>
        <v>2.6080912058901573</v>
      </c>
      <c r="T451" s="4">
        <f t="shared" ca="1" si="128"/>
        <v>0</v>
      </c>
      <c r="U451" s="46">
        <f t="shared" ca="1" si="129"/>
        <v>1455.2765406745989</v>
      </c>
      <c r="V451" s="4">
        <f t="shared" ca="1" si="130"/>
        <v>0</v>
      </c>
      <c r="W451" s="13">
        <f t="shared" ca="1" si="131"/>
        <v>15268.428469552404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168</v>
      </c>
      <c r="M452" s="7">
        <f t="shared" ca="1" si="121"/>
        <v>832</v>
      </c>
      <c r="N452" s="44">
        <f t="shared" ca="1" si="122"/>
        <v>9</v>
      </c>
      <c r="O452" s="94">
        <f t="shared" ca="1" si="123"/>
        <v>2.6080912058901573</v>
      </c>
      <c r="P452" s="94">
        <f t="shared" ca="1" si="124"/>
        <v>26.080912058901578</v>
      </c>
      <c r="Q452" s="94">
        <f t="shared" ca="1" si="125"/>
        <v>26.080912058901578</v>
      </c>
      <c r="R452" s="94">
        <f t="shared" ca="1" si="126"/>
        <v>2.6080912058901577</v>
      </c>
      <c r="S452" s="94">
        <f t="shared" ca="1" si="127"/>
        <v>2.6080912058901573</v>
      </c>
      <c r="T452" s="4">
        <f t="shared" ca="1" si="128"/>
        <v>0</v>
      </c>
      <c r="U452" s="46">
        <f t="shared" ca="1" si="129"/>
        <v>1438.2765406745989</v>
      </c>
      <c r="V452" s="4">
        <f t="shared" ca="1" si="130"/>
        <v>0</v>
      </c>
      <c r="W452" s="13">
        <f t="shared" ca="1" si="131"/>
        <v>13083.056487596155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151</v>
      </c>
      <c r="M453" s="7">
        <f t="shared" ca="1" si="121"/>
        <v>849</v>
      </c>
      <c r="N453" s="44">
        <f t="shared" ca="1" si="122"/>
        <v>9</v>
      </c>
      <c r="O453" s="94">
        <f t="shared" ca="1" si="123"/>
        <v>2.6080912058901573</v>
      </c>
      <c r="P453" s="94">
        <f t="shared" ca="1" si="124"/>
        <v>26.080912058901578</v>
      </c>
      <c r="Q453" s="94">
        <f t="shared" ca="1" si="125"/>
        <v>26.080912058901578</v>
      </c>
      <c r="R453" s="94">
        <f t="shared" ca="1" si="126"/>
        <v>2.6080912058901577</v>
      </c>
      <c r="S453" s="94">
        <f t="shared" ca="1" si="127"/>
        <v>2.6080912058901573</v>
      </c>
      <c r="T453" s="4">
        <f t="shared" ca="1" si="128"/>
        <v>0</v>
      </c>
      <c r="U453" s="46">
        <f t="shared" ca="1" si="129"/>
        <v>1421.2765406745989</v>
      </c>
      <c r="V453" s="4">
        <f t="shared" ca="1" si="130"/>
        <v>0</v>
      </c>
      <c r="W453" s="13">
        <f t="shared" ca="1" si="131"/>
        <v>10897.684505639905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134</v>
      </c>
      <c r="M454" s="7">
        <f t="shared" ca="1" si="121"/>
        <v>866</v>
      </c>
      <c r="N454" s="44">
        <f t="shared" ca="1" si="122"/>
        <v>10</v>
      </c>
      <c r="O454" s="94">
        <f t="shared" ca="1" si="123"/>
        <v>2.855590707781452</v>
      </c>
      <c r="P454" s="94">
        <f t="shared" ca="1" si="124"/>
        <v>26.328411560792873</v>
      </c>
      <c r="Q454" s="94">
        <f t="shared" ca="1" si="125"/>
        <v>26.080912058901578</v>
      </c>
      <c r="R454" s="94">
        <f t="shared" ca="1" si="126"/>
        <v>2.6204661809847223</v>
      </c>
      <c r="S454" s="94">
        <f t="shared" ca="1" si="127"/>
        <v>2.855590707781452</v>
      </c>
      <c r="T454" s="4">
        <f t="shared" ca="1" si="128"/>
        <v>0</v>
      </c>
      <c r="U454" s="46">
        <f t="shared" ca="1" si="129"/>
        <v>1502.276501057248</v>
      </c>
      <c r="V454" s="4">
        <f t="shared" ca="1" si="130"/>
        <v>0</v>
      </c>
      <c r="W454" s="13">
        <f t="shared" ca="1" si="131"/>
        <v>8712.3125236836531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117</v>
      </c>
      <c r="M455" s="7">
        <f t="shared" ca="1" si="121"/>
        <v>883</v>
      </c>
      <c r="N455" s="44">
        <f t="shared" ca="1" si="122"/>
        <v>10</v>
      </c>
      <c r="O455" s="94">
        <f t="shared" ca="1" si="123"/>
        <v>2.855590707781452</v>
      </c>
      <c r="P455" s="94">
        <f t="shared" ca="1" si="124"/>
        <v>28.555907077814521</v>
      </c>
      <c r="Q455" s="94">
        <f t="shared" ca="1" si="125"/>
        <v>28.060908074031932</v>
      </c>
      <c r="R455" s="94">
        <f t="shared" ca="1" si="126"/>
        <v>2.8308407575923225</v>
      </c>
      <c r="S455" s="94">
        <f t="shared" ca="1" si="127"/>
        <v>2.855590707781452</v>
      </c>
      <c r="T455" s="4">
        <f t="shared" ca="1" si="128"/>
        <v>0</v>
      </c>
      <c r="U455" s="46">
        <f t="shared" ca="1" si="129"/>
        <v>1485.276501057248</v>
      </c>
      <c r="V455" s="4">
        <f t="shared" ca="1" si="130"/>
        <v>0</v>
      </c>
      <c r="W455" s="13">
        <f t="shared" ca="1" si="131"/>
        <v>6526.9405417274047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100</v>
      </c>
      <c r="M456" s="7">
        <f t="shared" ca="1" si="121"/>
        <v>900</v>
      </c>
      <c r="N456" s="44">
        <f t="shared" ca="1" si="122"/>
        <v>10</v>
      </c>
      <c r="O456" s="94">
        <f t="shared" ca="1" si="123"/>
        <v>2.855590707781452</v>
      </c>
      <c r="P456" s="94">
        <f t="shared" ca="1" si="124"/>
        <v>28.555907077814521</v>
      </c>
      <c r="Q456" s="94">
        <f t="shared" ca="1" si="125"/>
        <v>28.555907077814521</v>
      </c>
      <c r="R456" s="94">
        <f t="shared" ca="1" si="126"/>
        <v>2.855590707781452</v>
      </c>
      <c r="S456" s="94">
        <f t="shared" ca="1" si="127"/>
        <v>2.855590707781452</v>
      </c>
      <c r="T456" s="4">
        <f t="shared" ca="1" si="128"/>
        <v>0</v>
      </c>
      <c r="U456" s="46">
        <f t="shared" ca="1" si="129"/>
        <v>1468.276501057248</v>
      </c>
      <c r="V456" s="4">
        <f t="shared" ca="1" si="130"/>
        <v>0</v>
      </c>
      <c r="W456" s="13">
        <f t="shared" ca="1" si="131"/>
        <v>4341.5685597711545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100</v>
      </c>
      <c r="M457" s="7">
        <f t="shared" ca="1" si="121"/>
        <v>900</v>
      </c>
      <c r="N457" s="44">
        <f t="shared" ca="1" si="122"/>
        <v>10</v>
      </c>
      <c r="O457" s="94">
        <f t="shared" ca="1" si="123"/>
        <v>2.855590707781452</v>
      </c>
      <c r="P457" s="94">
        <f t="shared" ca="1" si="124"/>
        <v>28.555907077814521</v>
      </c>
      <c r="Q457" s="94">
        <f t="shared" ca="1" si="125"/>
        <v>28.555907077814521</v>
      </c>
      <c r="R457" s="94">
        <f t="shared" ca="1" si="126"/>
        <v>2.855590707781452</v>
      </c>
      <c r="S457" s="94">
        <f t="shared" ca="1" si="127"/>
        <v>2.855590707781452</v>
      </c>
      <c r="T457" s="4">
        <f t="shared" ca="1" si="128"/>
        <v>0</v>
      </c>
      <c r="U457" s="46">
        <f t="shared" ca="1" si="129"/>
        <v>1468.276501057248</v>
      </c>
      <c r="V457" s="4">
        <f t="shared" ca="1" si="130"/>
        <v>0</v>
      </c>
      <c r="W457" s="13">
        <f t="shared" ca="1" si="131"/>
        <v>2156.1965778149038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119</v>
      </c>
      <c r="M458" s="7">
        <f t="shared" ca="1" si="121"/>
        <v>881</v>
      </c>
      <c r="N458" s="44">
        <f t="shared" ca="1" si="122"/>
        <v>10</v>
      </c>
      <c r="O458" s="94">
        <f t="shared" ca="1" si="123"/>
        <v>2.855590707781452</v>
      </c>
      <c r="P458" s="94">
        <f t="shared" ca="1" si="124"/>
        <v>28.555907077814521</v>
      </c>
      <c r="Q458" s="94">
        <f t="shared" ca="1" si="125"/>
        <v>27.565909070249344</v>
      </c>
      <c r="R458" s="94">
        <f t="shared" ca="1" si="126"/>
        <v>2.8060908074031934</v>
      </c>
      <c r="S458" s="94">
        <f t="shared" ca="1" si="127"/>
        <v>2.855590707781452</v>
      </c>
      <c r="T458" s="4">
        <f t="shared" ca="1" si="128"/>
        <v>0</v>
      </c>
      <c r="U458" s="46">
        <f t="shared" ca="1" si="129"/>
        <v>1487.276501057248</v>
      </c>
      <c r="V458" s="4">
        <f t="shared" ca="1" si="130"/>
        <v>0</v>
      </c>
      <c r="W458" s="13">
        <f t="shared" ca="1" si="131"/>
        <v>15297.60387369375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102</v>
      </c>
      <c r="M459" s="7">
        <f t="shared" ca="1" si="121"/>
        <v>898</v>
      </c>
      <c r="N459" s="44">
        <f t="shared" ca="1" si="122"/>
        <v>10</v>
      </c>
      <c r="O459" s="94">
        <f t="shared" ca="1" si="123"/>
        <v>2.855590707781452</v>
      </c>
      <c r="P459" s="94">
        <f t="shared" ca="1" si="124"/>
        <v>28.555907077814521</v>
      </c>
      <c r="Q459" s="94">
        <f t="shared" ca="1" si="125"/>
        <v>28.555907077814521</v>
      </c>
      <c r="R459" s="94">
        <f t="shared" ca="1" si="126"/>
        <v>2.855590707781452</v>
      </c>
      <c r="S459" s="94">
        <f t="shared" ca="1" si="127"/>
        <v>2.855590707781452</v>
      </c>
      <c r="T459" s="4">
        <f t="shared" ca="1" si="128"/>
        <v>0</v>
      </c>
      <c r="U459" s="46">
        <f t="shared" ca="1" si="129"/>
        <v>1470.276501057248</v>
      </c>
      <c r="V459" s="4">
        <f t="shared" ca="1" si="130"/>
        <v>0</v>
      </c>
      <c r="W459" s="13">
        <f t="shared" ca="1" si="131"/>
        <v>13112.2318917375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10</v>
      </c>
      <c r="O460" s="94">
        <f t="shared" ca="1" si="123"/>
        <v>2.855590707781452</v>
      </c>
      <c r="P460" s="94">
        <f t="shared" ca="1" si="124"/>
        <v>28.555907077814521</v>
      </c>
      <c r="Q460" s="94">
        <f t="shared" ca="1" si="125"/>
        <v>28.555907077814521</v>
      </c>
      <c r="R460" s="94">
        <f t="shared" ca="1" si="126"/>
        <v>2.855590707781452</v>
      </c>
      <c r="S460" s="94">
        <f t="shared" ca="1" si="127"/>
        <v>2.855590707781452</v>
      </c>
      <c r="T460" s="4">
        <f t="shared" ca="1" si="128"/>
        <v>0</v>
      </c>
      <c r="U460" s="46">
        <f t="shared" ca="1" si="129"/>
        <v>1468.276501057248</v>
      </c>
      <c r="V460" s="4">
        <f t="shared" ca="1" si="130"/>
        <v>0</v>
      </c>
      <c r="W460" s="13">
        <f t="shared" ca="1" si="131"/>
        <v>10926.859909781251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100</v>
      </c>
      <c r="M461" s="7">
        <f t="shared" ca="1" si="121"/>
        <v>900</v>
      </c>
      <c r="N461" s="44">
        <f t="shared" ca="1" si="122"/>
        <v>10</v>
      </c>
      <c r="O461" s="94">
        <f t="shared" ca="1" si="123"/>
        <v>2.855590707781452</v>
      </c>
      <c r="P461" s="94">
        <f t="shared" ca="1" si="124"/>
        <v>28.555907077814521</v>
      </c>
      <c r="Q461" s="94">
        <f t="shared" ca="1" si="125"/>
        <v>28.555907077814521</v>
      </c>
      <c r="R461" s="94">
        <f t="shared" ca="1" si="126"/>
        <v>2.855590707781452</v>
      </c>
      <c r="S461" s="94">
        <f t="shared" ca="1" si="127"/>
        <v>2.855590707781452</v>
      </c>
      <c r="T461" s="4">
        <f t="shared" ca="1" si="128"/>
        <v>0</v>
      </c>
      <c r="U461" s="46">
        <f t="shared" ca="1" si="129"/>
        <v>1468.276501057248</v>
      </c>
      <c r="V461" s="4">
        <f t="shared" ca="1" si="130"/>
        <v>0</v>
      </c>
      <c r="W461" s="13">
        <f t="shared" ca="1" si="131"/>
        <v>8741.487927825001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100</v>
      </c>
      <c r="M462" s="7">
        <f t="shared" ca="1" si="121"/>
        <v>900</v>
      </c>
      <c r="N462" s="44">
        <f t="shared" ca="1" si="122"/>
        <v>10</v>
      </c>
      <c r="O462" s="94">
        <f t="shared" ca="1" si="123"/>
        <v>2.855590707781452</v>
      </c>
      <c r="P462" s="94">
        <f t="shared" ca="1" si="124"/>
        <v>28.555907077814521</v>
      </c>
      <c r="Q462" s="94">
        <f t="shared" ca="1" si="125"/>
        <v>28.555907077814521</v>
      </c>
      <c r="R462" s="94">
        <f t="shared" ca="1" si="126"/>
        <v>2.855590707781452</v>
      </c>
      <c r="S462" s="94">
        <f t="shared" ca="1" si="127"/>
        <v>2.855590707781452</v>
      </c>
      <c r="T462" s="4">
        <f t="shared" ca="1" si="128"/>
        <v>0</v>
      </c>
      <c r="U462" s="46">
        <f t="shared" ca="1" si="129"/>
        <v>1468.276501057248</v>
      </c>
      <c r="V462" s="4">
        <f t="shared" ca="1" si="130"/>
        <v>0</v>
      </c>
      <c r="W462" s="13">
        <f t="shared" ca="1" si="131"/>
        <v>6556.1159458687498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100</v>
      </c>
      <c r="M463" s="7">
        <f t="shared" ca="1" si="121"/>
        <v>900</v>
      </c>
      <c r="N463" s="44">
        <f t="shared" ca="1" si="122"/>
        <v>10</v>
      </c>
      <c r="O463" s="94">
        <f t="shared" ca="1" si="123"/>
        <v>2.855590707781452</v>
      </c>
      <c r="P463" s="94">
        <f t="shared" ca="1" si="124"/>
        <v>28.555907077814521</v>
      </c>
      <c r="Q463" s="94">
        <f t="shared" ca="1" si="125"/>
        <v>28.555907077814521</v>
      </c>
      <c r="R463" s="94">
        <f t="shared" ca="1" si="126"/>
        <v>2.855590707781452</v>
      </c>
      <c r="S463" s="94">
        <f t="shared" ca="1" si="127"/>
        <v>2.855590707781452</v>
      </c>
      <c r="T463" s="4">
        <f t="shared" ca="1" si="128"/>
        <v>0</v>
      </c>
      <c r="U463" s="46">
        <f t="shared" ca="1" si="129"/>
        <v>1468.276501057248</v>
      </c>
      <c r="V463" s="4">
        <f t="shared" ca="1" si="130"/>
        <v>0</v>
      </c>
      <c r="W463" s="13">
        <f t="shared" ca="1" si="131"/>
        <v>4370.7439639125005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100</v>
      </c>
      <c r="M464" s="7">
        <f t="shared" ca="1" si="121"/>
        <v>900</v>
      </c>
      <c r="N464" s="44">
        <f t="shared" ca="1" si="122"/>
        <v>10</v>
      </c>
      <c r="O464" s="94">
        <f t="shared" ca="1" si="123"/>
        <v>2.855590707781452</v>
      </c>
      <c r="P464" s="94">
        <f t="shared" ca="1" si="124"/>
        <v>28.555907077814521</v>
      </c>
      <c r="Q464" s="94">
        <f t="shared" ca="1" si="125"/>
        <v>28.555907077814521</v>
      </c>
      <c r="R464" s="94">
        <f t="shared" ca="1" si="126"/>
        <v>2.855590707781452</v>
      </c>
      <c r="S464" s="94">
        <f t="shared" ca="1" si="127"/>
        <v>2.855590707781452</v>
      </c>
      <c r="T464" s="4">
        <f t="shared" ca="1" si="128"/>
        <v>0</v>
      </c>
      <c r="U464" s="46">
        <f t="shared" ca="1" si="129"/>
        <v>1468.276501057248</v>
      </c>
      <c r="V464" s="4">
        <f t="shared" ca="1" si="130"/>
        <v>0</v>
      </c>
      <c r="W464" s="13">
        <f t="shared" ca="1" si="131"/>
        <v>2185.3719819562502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100</v>
      </c>
      <c r="M465" s="7">
        <f t="shared" ca="1" si="121"/>
        <v>900</v>
      </c>
      <c r="N465" s="44">
        <f t="shared" ca="1" si="122"/>
        <v>10</v>
      </c>
      <c r="O465" s="94">
        <f t="shared" ca="1" si="123"/>
        <v>2.855590707781452</v>
      </c>
      <c r="P465" s="94">
        <f t="shared" ca="1" si="124"/>
        <v>28.555907077814521</v>
      </c>
      <c r="Q465" s="94">
        <f t="shared" ca="1" si="125"/>
        <v>28.555907077814521</v>
      </c>
      <c r="R465" s="94">
        <f t="shared" ca="1" si="126"/>
        <v>2.855590707781452</v>
      </c>
      <c r="S465" s="94">
        <f t="shared" ca="1" si="127"/>
        <v>2.855590707781452</v>
      </c>
      <c r="T465" s="4">
        <f t="shared" ca="1" si="128"/>
        <v>0</v>
      </c>
      <c r="U465" s="46">
        <f t="shared" ca="1" si="129"/>
        <v>1468.276501057248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285</v>
      </c>
      <c r="M466" s="7">
        <f t="shared" ref="M466:M529" ca="1" si="140">MAX(Set1MinTP-(L466+Set1Regain), 0)</f>
        <v>715</v>
      </c>
      <c r="N466" s="44">
        <f t="shared" ref="N466:N529" ca="1" si="141">CEILING(M466/Set1MeleeTP, 1)</f>
        <v>8</v>
      </c>
      <c r="O466" s="94">
        <f t="shared" ref="O466:O529" ca="1" si="142">VLOOKUP(N466,AvgRoundsSet1,2)</f>
        <v>2.3721134347108093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23.721134347108087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23.721134347108087</v>
      </c>
      <c r="R466" s="94">
        <f t="shared" ref="R466:R529" ca="1" si="145">(P466+Q466)/20</f>
        <v>2.3721134347108088</v>
      </c>
      <c r="S466" s="94">
        <f t="shared" ref="S466:S529" ca="1" si="146">R466*Set1ConserveTP + O466*(1-Set1ConserveTP)</f>
        <v>2.3721134347108093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1461.8387274667198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19639.172433464904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268</v>
      </c>
      <c r="M467" s="7">
        <f t="shared" ca="1" si="140"/>
        <v>732</v>
      </c>
      <c r="N467" s="44">
        <f t="shared" ca="1" si="141"/>
        <v>8</v>
      </c>
      <c r="O467" s="94">
        <f t="shared" ca="1" si="142"/>
        <v>2.3721134347108093</v>
      </c>
      <c r="P467" s="94">
        <f t="shared" ca="1" si="143"/>
        <v>23.721134347108087</v>
      </c>
      <c r="Q467" s="94">
        <f t="shared" ca="1" si="144"/>
        <v>23.721134347108087</v>
      </c>
      <c r="R467" s="94">
        <f t="shared" ca="1" si="145"/>
        <v>2.3721134347108088</v>
      </c>
      <c r="S467" s="94">
        <f t="shared" ca="1" si="146"/>
        <v>2.3721134347108093</v>
      </c>
      <c r="T467" s="4">
        <f t="shared" ca="1" si="147"/>
        <v>0</v>
      </c>
      <c r="U467" s="46">
        <f t="shared" ca="1" si="148"/>
        <v>1444.8387274667198</v>
      </c>
      <c r="V467" s="4">
        <f t="shared" ca="1" si="149"/>
        <v>0</v>
      </c>
      <c r="W467" s="13">
        <f t="shared" ca="1" si="150"/>
        <v>17453.800451508654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251</v>
      </c>
      <c r="M468" s="7">
        <f t="shared" ca="1" si="140"/>
        <v>749</v>
      </c>
      <c r="N468" s="44">
        <f t="shared" ca="1" si="141"/>
        <v>8</v>
      </c>
      <c r="O468" s="94">
        <f t="shared" ca="1" si="142"/>
        <v>2.3721134347108093</v>
      </c>
      <c r="P468" s="94">
        <f t="shared" ca="1" si="143"/>
        <v>23.721134347108087</v>
      </c>
      <c r="Q468" s="94">
        <f t="shared" ca="1" si="144"/>
        <v>23.721134347108087</v>
      </c>
      <c r="R468" s="94">
        <f t="shared" ca="1" si="145"/>
        <v>2.3721134347108088</v>
      </c>
      <c r="S468" s="94">
        <f t="shared" ca="1" si="146"/>
        <v>2.3721134347108093</v>
      </c>
      <c r="T468" s="4">
        <f t="shared" ca="1" si="147"/>
        <v>0</v>
      </c>
      <c r="U468" s="46">
        <f t="shared" ca="1" si="148"/>
        <v>1427.8387274667198</v>
      </c>
      <c r="V468" s="4">
        <f t="shared" ca="1" si="149"/>
        <v>0</v>
      </c>
      <c r="W468" s="13">
        <f t="shared" ca="1" si="150"/>
        <v>15268.428469552406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234</v>
      </c>
      <c r="M469" s="7">
        <f t="shared" ca="1" si="140"/>
        <v>766</v>
      </c>
      <c r="N469" s="44">
        <f t="shared" ca="1" si="141"/>
        <v>8</v>
      </c>
      <c r="O469" s="94">
        <f t="shared" ca="1" si="142"/>
        <v>2.3721134347108093</v>
      </c>
      <c r="P469" s="94">
        <f t="shared" ca="1" si="143"/>
        <v>23.721134347108087</v>
      </c>
      <c r="Q469" s="94">
        <f t="shared" ca="1" si="144"/>
        <v>23.721134347108087</v>
      </c>
      <c r="R469" s="94">
        <f t="shared" ca="1" si="145"/>
        <v>2.3721134347108088</v>
      </c>
      <c r="S469" s="94">
        <f t="shared" ca="1" si="146"/>
        <v>2.3721134347108093</v>
      </c>
      <c r="T469" s="4">
        <f t="shared" ca="1" si="147"/>
        <v>0</v>
      </c>
      <c r="U469" s="46">
        <f t="shared" ca="1" si="148"/>
        <v>1410.8387274667198</v>
      </c>
      <c r="V469" s="4">
        <f t="shared" ca="1" si="149"/>
        <v>0</v>
      </c>
      <c r="W469" s="13">
        <f t="shared" ca="1" si="150"/>
        <v>13083.056487596155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217</v>
      </c>
      <c r="M470" s="7">
        <f t="shared" ca="1" si="140"/>
        <v>783</v>
      </c>
      <c r="N470" s="44">
        <f t="shared" ca="1" si="141"/>
        <v>9</v>
      </c>
      <c r="O470" s="94">
        <f t="shared" ca="1" si="142"/>
        <v>2.6080912058901573</v>
      </c>
      <c r="P470" s="94">
        <f t="shared" ca="1" si="143"/>
        <v>26.080912058901578</v>
      </c>
      <c r="Q470" s="94">
        <f t="shared" ca="1" si="144"/>
        <v>24.665045431825479</v>
      </c>
      <c r="R470" s="94">
        <f t="shared" ca="1" si="145"/>
        <v>2.5372978745363528</v>
      </c>
      <c r="S470" s="94">
        <f t="shared" ca="1" si="146"/>
        <v>2.6080912058901573</v>
      </c>
      <c r="T470" s="4">
        <f t="shared" ca="1" si="147"/>
        <v>0</v>
      </c>
      <c r="U470" s="46">
        <f t="shared" ca="1" si="148"/>
        <v>1487.2765406745989</v>
      </c>
      <c r="V470" s="4">
        <f t="shared" ca="1" si="149"/>
        <v>0</v>
      </c>
      <c r="W470" s="13">
        <f t="shared" ca="1" si="150"/>
        <v>10897.684505639903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200</v>
      </c>
      <c r="M471" s="7">
        <f t="shared" ca="1" si="140"/>
        <v>800</v>
      </c>
      <c r="N471" s="44">
        <f t="shared" ca="1" si="141"/>
        <v>9</v>
      </c>
      <c r="O471" s="94">
        <f t="shared" ca="1" si="142"/>
        <v>2.6080912058901573</v>
      </c>
      <c r="P471" s="94">
        <f t="shared" ca="1" si="143"/>
        <v>26.080912058901578</v>
      </c>
      <c r="Q471" s="94">
        <f t="shared" ca="1" si="144"/>
        <v>26.080912058901578</v>
      </c>
      <c r="R471" s="94">
        <f t="shared" ca="1" si="145"/>
        <v>2.6080912058901577</v>
      </c>
      <c r="S471" s="94">
        <f t="shared" ca="1" si="146"/>
        <v>2.6080912058901573</v>
      </c>
      <c r="T471" s="4">
        <f t="shared" ca="1" si="147"/>
        <v>0</v>
      </c>
      <c r="U471" s="46">
        <f t="shared" ca="1" si="148"/>
        <v>1470.2765406745989</v>
      </c>
      <c r="V471" s="4">
        <f t="shared" ca="1" si="149"/>
        <v>0</v>
      </c>
      <c r="W471" s="13">
        <f t="shared" ca="1" si="150"/>
        <v>8712.3125236836549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183</v>
      </c>
      <c r="M472" s="7">
        <f t="shared" ca="1" si="140"/>
        <v>817</v>
      </c>
      <c r="N472" s="44">
        <f t="shared" ca="1" si="141"/>
        <v>9</v>
      </c>
      <c r="O472" s="94">
        <f t="shared" ca="1" si="142"/>
        <v>2.6080912058901573</v>
      </c>
      <c r="P472" s="94">
        <f t="shared" ca="1" si="143"/>
        <v>26.080912058901578</v>
      </c>
      <c r="Q472" s="94">
        <f t="shared" ca="1" si="144"/>
        <v>26.080912058901578</v>
      </c>
      <c r="R472" s="94">
        <f t="shared" ca="1" si="145"/>
        <v>2.6080912058901577</v>
      </c>
      <c r="S472" s="94">
        <f t="shared" ca="1" si="146"/>
        <v>2.6080912058901573</v>
      </c>
      <c r="T472" s="4">
        <f t="shared" ca="1" si="147"/>
        <v>0</v>
      </c>
      <c r="U472" s="46">
        <f t="shared" ca="1" si="148"/>
        <v>1453.2765406745989</v>
      </c>
      <c r="V472" s="4">
        <f t="shared" ca="1" si="149"/>
        <v>0</v>
      </c>
      <c r="W472" s="13">
        <f t="shared" ca="1" si="150"/>
        <v>6526.9405417274047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166</v>
      </c>
      <c r="M473" s="7">
        <f t="shared" ca="1" si="140"/>
        <v>834</v>
      </c>
      <c r="N473" s="44">
        <f t="shared" ca="1" si="141"/>
        <v>9</v>
      </c>
      <c r="O473" s="94">
        <f t="shared" ca="1" si="142"/>
        <v>2.6080912058901573</v>
      </c>
      <c r="P473" s="94">
        <f t="shared" ca="1" si="143"/>
        <v>26.080912058901578</v>
      </c>
      <c r="Q473" s="94">
        <f t="shared" ca="1" si="144"/>
        <v>26.080912058901578</v>
      </c>
      <c r="R473" s="94">
        <f t="shared" ca="1" si="145"/>
        <v>2.6080912058901577</v>
      </c>
      <c r="S473" s="94">
        <f t="shared" ca="1" si="146"/>
        <v>2.6080912058901573</v>
      </c>
      <c r="T473" s="4">
        <f t="shared" ca="1" si="147"/>
        <v>0</v>
      </c>
      <c r="U473" s="46">
        <f t="shared" ca="1" si="148"/>
        <v>1436.2765406745989</v>
      </c>
      <c r="V473" s="4">
        <f t="shared" ca="1" si="149"/>
        <v>0</v>
      </c>
      <c r="W473" s="13">
        <f t="shared" ca="1" si="150"/>
        <v>4341.5685597711545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202</v>
      </c>
      <c r="M474" s="7">
        <f t="shared" ca="1" si="140"/>
        <v>798</v>
      </c>
      <c r="N474" s="44">
        <f t="shared" ca="1" si="141"/>
        <v>9</v>
      </c>
      <c r="O474" s="94">
        <f t="shared" ca="1" si="142"/>
        <v>2.6080912058901573</v>
      </c>
      <c r="P474" s="94">
        <f t="shared" ca="1" si="143"/>
        <v>26.080912058901578</v>
      </c>
      <c r="Q474" s="94">
        <f t="shared" ca="1" si="144"/>
        <v>26.080912058901578</v>
      </c>
      <c r="R474" s="94">
        <f t="shared" ca="1" si="145"/>
        <v>2.6080912058901577</v>
      </c>
      <c r="S474" s="94">
        <f t="shared" ca="1" si="146"/>
        <v>2.6080912058901573</v>
      </c>
      <c r="T474" s="4">
        <f t="shared" ca="1" si="147"/>
        <v>0</v>
      </c>
      <c r="U474" s="46">
        <f t="shared" ca="1" si="148"/>
        <v>1472.2765406745989</v>
      </c>
      <c r="V474" s="4">
        <f t="shared" ca="1" si="149"/>
        <v>0</v>
      </c>
      <c r="W474" s="13">
        <f t="shared" ca="1" si="150"/>
        <v>17482.975855650002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185</v>
      </c>
      <c r="M475" s="7">
        <f t="shared" ca="1" si="140"/>
        <v>815</v>
      </c>
      <c r="N475" s="44">
        <f t="shared" ca="1" si="141"/>
        <v>9</v>
      </c>
      <c r="O475" s="94">
        <f t="shared" ca="1" si="142"/>
        <v>2.6080912058901573</v>
      </c>
      <c r="P475" s="94">
        <f t="shared" ca="1" si="143"/>
        <v>26.080912058901578</v>
      </c>
      <c r="Q475" s="94">
        <f t="shared" ca="1" si="144"/>
        <v>26.080912058901578</v>
      </c>
      <c r="R475" s="94">
        <f t="shared" ca="1" si="145"/>
        <v>2.6080912058901577</v>
      </c>
      <c r="S475" s="94">
        <f t="shared" ca="1" si="146"/>
        <v>2.6080912058901573</v>
      </c>
      <c r="T475" s="4">
        <f t="shared" ca="1" si="147"/>
        <v>0</v>
      </c>
      <c r="U475" s="46">
        <f t="shared" ca="1" si="148"/>
        <v>1455.2765406745989</v>
      </c>
      <c r="V475" s="4">
        <f t="shared" ca="1" si="149"/>
        <v>0</v>
      </c>
      <c r="W475" s="13">
        <f t="shared" ca="1" si="150"/>
        <v>15297.60387369375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168</v>
      </c>
      <c r="M476" s="7">
        <f t="shared" ca="1" si="140"/>
        <v>832</v>
      </c>
      <c r="N476" s="44">
        <f t="shared" ca="1" si="141"/>
        <v>9</v>
      </c>
      <c r="O476" s="94">
        <f t="shared" ca="1" si="142"/>
        <v>2.6080912058901573</v>
      </c>
      <c r="P476" s="94">
        <f t="shared" ca="1" si="143"/>
        <v>26.080912058901578</v>
      </c>
      <c r="Q476" s="94">
        <f t="shared" ca="1" si="144"/>
        <v>26.080912058901578</v>
      </c>
      <c r="R476" s="94">
        <f t="shared" ca="1" si="145"/>
        <v>2.6080912058901577</v>
      </c>
      <c r="S476" s="94">
        <f t="shared" ca="1" si="146"/>
        <v>2.6080912058901573</v>
      </c>
      <c r="T476" s="4">
        <f t="shared" ca="1" si="147"/>
        <v>0</v>
      </c>
      <c r="U476" s="46">
        <f t="shared" ca="1" si="148"/>
        <v>1438.2765406745989</v>
      </c>
      <c r="V476" s="4">
        <f t="shared" ca="1" si="149"/>
        <v>0</v>
      </c>
      <c r="W476" s="13">
        <f t="shared" ca="1" si="150"/>
        <v>13112.231891737501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151</v>
      </c>
      <c r="M477" s="7">
        <f t="shared" ca="1" si="140"/>
        <v>849</v>
      </c>
      <c r="N477" s="44">
        <f t="shared" ca="1" si="141"/>
        <v>9</v>
      </c>
      <c r="O477" s="94">
        <f t="shared" ca="1" si="142"/>
        <v>2.6080912058901573</v>
      </c>
      <c r="P477" s="94">
        <f t="shared" ca="1" si="143"/>
        <v>26.080912058901578</v>
      </c>
      <c r="Q477" s="94">
        <f t="shared" ca="1" si="144"/>
        <v>26.080912058901578</v>
      </c>
      <c r="R477" s="94">
        <f t="shared" ca="1" si="145"/>
        <v>2.6080912058901577</v>
      </c>
      <c r="S477" s="94">
        <f t="shared" ca="1" si="146"/>
        <v>2.6080912058901573</v>
      </c>
      <c r="T477" s="4">
        <f t="shared" ca="1" si="147"/>
        <v>0</v>
      </c>
      <c r="U477" s="46">
        <f t="shared" ca="1" si="148"/>
        <v>1421.2765406745989</v>
      </c>
      <c r="V477" s="4">
        <f t="shared" ca="1" si="149"/>
        <v>0</v>
      </c>
      <c r="W477" s="13">
        <f t="shared" ca="1" si="150"/>
        <v>10926.859909781251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134</v>
      </c>
      <c r="M478" s="7">
        <f t="shared" ca="1" si="140"/>
        <v>866</v>
      </c>
      <c r="N478" s="44">
        <f t="shared" ca="1" si="141"/>
        <v>10</v>
      </c>
      <c r="O478" s="94">
        <f t="shared" ca="1" si="142"/>
        <v>2.855590707781452</v>
      </c>
      <c r="P478" s="94">
        <f t="shared" ca="1" si="143"/>
        <v>26.328411560792873</v>
      </c>
      <c r="Q478" s="94">
        <f t="shared" ca="1" si="144"/>
        <v>26.080912058901578</v>
      </c>
      <c r="R478" s="94">
        <f t="shared" ca="1" si="145"/>
        <v>2.6204661809847223</v>
      </c>
      <c r="S478" s="94">
        <f t="shared" ca="1" si="146"/>
        <v>2.855590707781452</v>
      </c>
      <c r="T478" s="4">
        <f t="shared" ca="1" si="147"/>
        <v>0</v>
      </c>
      <c r="U478" s="46">
        <f t="shared" ca="1" si="148"/>
        <v>1502.276501057248</v>
      </c>
      <c r="V478" s="4">
        <f t="shared" ca="1" si="149"/>
        <v>0</v>
      </c>
      <c r="W478" s="13">
        <f t="shared" ca="1" si="150"/>
        <v>8741.487927825001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117</v>
      </c>
      <c r="M479" s="7">
        <f t="shared" ca="1" si="140"/>
        <v>883</v>
      </c>
      <c r="N479" s="44">
        <f t="shared" ca="1" si="141"/>
        <v>10</v>
      </c>
      <c r="O479" s="94">
        <f t="shared" ca="1" si="142"/>
        <v>2.855590707781452</v>
      </c>
      <c r="P479" s="94">
        <f t="shared" ca="1" si="143"/>
        <v>28.555907077814521</v>
      </c>
      <c r="Q479" s="94">
        <f t="shared" ca="1" si="144"/>
        <v>28.060908074031932</v>
      </c>
      <c r="R479" s="94">
        <f t="shared" ca="1" si="145"/>
        <v>2.8308407575923225</v>
      </c>
      <c r="S479" s="94">
        <f t="shared" ca="1" si="146"/>
        <v>2.855590707781452</v>
      </c>
      <c r="T479" s="4">
        <f t="shared" ca="1" si="147"/>
        <v>0</v>
      </c>
      <c r="U479" s="46">
        <f t="shared" ca="1" si="148"/>
        <v>1485.276501057248</v>
      </c>
      <c r="V479" s="4">
        <f t="shared" ca="1" si="149"/>
        <v>0</v>
      </c>
      <c r="W479" s="13">
        <f t="shared" ca="1" si="150"/>
        <v>6556.1159458687507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100</v>
      </c>
      <c r="M480" s="7">
        <f t="shared" ca="1" si="140"/>
        <v>900</v>
      </c>
      <c r="N480" s="44">
        <f t="shared" ca="1" si="141"/>
        <v>10</v>
      </c>
      <c r="O480" s="94">
        <f t="shared" ca="1" si="142"/>
        <v>2.855590707781452</v>
      </c>
      <c r="P480" s="94">
        <f t="shared" ca="1" si="143"/>
        <v>28.555907077814521</v>
      </c>
      <c r="Q480" s="94">
        <f t="shared" ca="1" si="144"/>
        <v>28.555907077814521</v>
      </c>
      <c r="R480" s="94">
        <f t="shared" ca="1" si="145"/>
        <v>2.855590707781452</v>
      </c>
      <c r="S480" s="94">
        <f t="shared" ca="1" si="146"/>
        <v>2.855590707781452</v>
      </c>
      <c r="T480" s="4">
        <f t="shared" ca="1" si="147"/>
        <v>0</v>
      </c>
      <c r="U480" s="46">
        <f t="shared" ca="1" si="148"/>
        <v>1468.276501057248</v>
      </c>
      <c r="V480" s="4">
        <f t="shared" ca="1" si="149"/>
        <v>0</v>
      </c>
      <c r="W480" s="13">
        <f t="shared" ca="1" si="150"/>
        <v>4370.7439639125005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100</v>
      </c>
      <c r="M481" s="7">
        <f t="shared" ca="1" si="140"/>
        <v>900</v>
      </c>
      <c r="N481" s="44">
        <f t="shared" ca="1" si="141"/>
        <v>10</v>
      </c>
      <c r="O481" s="94">
        <f t="shared" ca="1" si="142"/>
        <v>2.855590707781452</v>
      </c>
      <c r="P481" s="94">
        <f t="shared" ca="1" si="143"/>
        <v>28.555907077814521</v>
      </c>
      <c r="Q481" s="94">
        <f t="shared" ca="1" si="144"/>
        <v>28.555907077814521</v>
      </c>
      <c r="R481" s="94">
        <f t="shared" ca="1" si="145"/>
        <v>2.855590707781452</v>
      </c>
      <c r="S481" s="94">
        <f t="shared" ca="1" si="146"/>
        <v>2.855590707781452</v>
      </c>
      <c r="T481" s="4">
        <f t="shared" ca="1" si="147"/>
        <v>0</v>
      </c>
      <c r="U481" s="46">
        <f t="shared" ca="1" si="148"/>
        <v>1468.276501057248</v>
      </c>
      <c r="V481" s="4">
        <f t="shared" ca="1" si="149"/>
        <v>0</v>
      </c>
      <c r="W481" s="13">
        <f t="shared" ca="1" si="150"/>
        <v>2185.3719819562502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202</v>
      </c>
      <c r="M482" s="7">
        <f t="shared" ca="1" si="140"/>
        <v>798</v>
      </c>
      <c r="N482" s="44">
        <f t="shared" ca="1" si="141"/>
        <v>9</v>
      </c>
      <c r="O482" s="94">
        <f t="shared" ca="1" si="142"/>
        <v>2.6080912058901573</v>
      </c>
      <c r="P482" s="94">
        <f t="shared" ca="1" si="143"/>
        <v>26.080912058901578</v>
      </c>
      <c r="Q482" s="94">
        <f t="shared" ca="1" si="144"/>
        <v>26.080912058901578</v>
      </c>
      <c r="R482" s="94">
        <f t="shared" ca="1" si="145"/>
        <v>2.6080912058901577</v>
      </c>
      <c r="S482" s="94">
        <f t="shared" ca="1" si="146"/>
        <v>2.6080912058901573</v>
      </c>
      <c r="T482" s="4">
        <f t="shared" ca="1" si="147"/>
        <v>0</v>
      </c>
      <c r="U482" s="46">
        <f t="shared" ca="1" si="148"/>
        <v>1472.2765406745989</v>
      </c>
      <c r="V482" s="4">
        <f t="shared" ca="1" si="149"/>
        <v>0</v>
      </c>
      <c r="W482" s="13">
        <f t="shared" ca="1" si="150"/>
        <v>17453.800451508654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185</v>
      </c>
      <c r="M483" s="7">
        <f t="shared" ca="1" si="140"/>
        <v>815</v>
      </c>
      <c r="N483" s="44">
        <f t="shared" ca="1" si="141"/>
        <v>9</v>
      </c>
      <c r="O483" s="94">
        <f t="shared" ca="1" si="142"/>
        <v>2.6080912058901573</v>
      </c>
      <c r="P483" s="94">
        <f t="shared" ca="1" si="143"/>
        <v>26.080912058901578</v>
      </c>
      <c r="Q483" s="94">
        <f t="shared" ca="1" si="144"/>
        <v>26.080912058901578</v>
      </c>
      <c r="R483" s="94">
        <f t="shared" ca="1" si="145"/>
        <v>2.6080912058901577</v>
      </c>
      <c r="S483" s="94">
        <f t="shared" ca="1" si="146"/>
        <v>2.6080912058901573</v>
      </c>
      <c r="T483" s="4">
        <f t="shared" ca="1" si="147"/>
        <v>0</v>
      </c>
      <c r="U483" s="46">
        <f t="shared" ca="1" si="148"/>
        <v>1455.2765406745989</v>
      </c>
      <c r="V483" s="4">
        <f t="shared" ca="1" si="149"/>
        <v>0</v>
      </c>
      <c r="W483" s="13">
        <f t="shared" ca="1" si="150"/>
        <v>15268.428469552404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168</v>
      </c>
      <c r="M484" s="7">
        <f t="shared" ca="1" si="140"/>
        <v>832</v>
      </c>
      <c r="N484" s="44">
        <f t="shared" ca="1" si="141"/>
        <v>9</v>
      </c>
      <c r="O484" s="94">
        <f t="shared" ca="1" si="142"/>
        <v>2.6080912058901573</v>
      </c>
      <c r="P484" s="94">
        <f t="shared" ca="1" si="143"/>
        <v>26.080912058901578</v>
      </c>
      <c r="Q484" s="94">
        <f t="shared" ca="1" si="144"/>
        <v>26.080912058901578</v>
      </c>
      <c r="R484" s="94">
        <f t="shared" ca="1" si="145"/>
        <v>2.6080912058901577</v>
      </c>
      <c r="S484" s="94">
        <f t="shared" ca="1" si="146"/>
        <v>2.6080912058901573</v>
      </c>
      <c r="T484" s="4">
        <f t="shared" ca="1" si="147"/>
        <v>0</v>
      </c>
      <c r="U484" s="46">
        <f t="shared" ca="1" si="148"/>
        <v>1438.2765406745989</v>
      </c>
      <c r="V484" s="4">
        <f t="shared" ca="1" si="149"/>
        <v>0</v>
      </c>
      <c r="W484" s="13">
        <f t="shared" ca="1" si="150"/>
        <v>13083.056487596155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151</v>
      </c>
      <c r="M485" s="7">
        <f t="shared" ca="1" si="140"/>
        <v>849</v>
      </c>
      <c r="N485" s="44">
        <f t="shared" ca="1" si="141"/>
        <v>9</v>
      </c>
      <c r="O485" s="94">
        <f t="shared" ca="1" si="142"/>
        <v>2.6080912058901573</v>
      </c>
      <c r="P485" s="94">
        <f t="shared" ca="1" si="143"/>
        <v>26.080912058901578</v>
      </c>
      <c r="Q485" s="94">
        <f t="shared" ca="1" si="144"/>
        <v>26.080912058901578</v>
      </c>
      <c r="R485" s="94">
        <f t="shared" ca="1" si="145"/>
        <v>2.6080912058901577</v>
      </c>
      <c r="S485" s="94">
        <f t="shared" ca="1" si="146"/>
        <v>2.6080912058901573</v>
      </c>
      <c r="T485" s="4">
        <f t="shared" ca="1" si="147"/>
        <v>0</v>
      </c>
      <c r="U485" s="46">
        <f t="shared" ca="1" si="148"/>
        <v>1421.2765406745989</v>
      </c>
      <c r="V485" s="4">
        <f t="shared" ca="1" si="149"/>
        <v>0</v>
      </c>
      <c r="W485" s="13">
        <f t="shared" ca="1" si="150"/>
        <v>10897.684505639905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134</v>
      </c>
      <c r="M486" s="7">
        <f t="shared" ca="1" si="140"/>
        <v>866</v>
      </c>
      <c r="N486" s="44">
        <f t="shared" ca="1" si="141"/>
        <v>10</v>
      </c>
      <c r="O486" s="94">
        <f t="shared" ca="1" si="142"/>
        <v>2.855590707781452</v>
      </c>
      <c r="P486" s="94">
        <f t="shared" ca="1" si="143"/>
        <v>26.328411560792873</v>
      </c>
      <c r="Q486" s="94">
        <f t="shared" ca="1" si="144"/>
        <v>26.080912058901578</v>
      </c>
      <c r="R486" s="94">
        <f t="shared" ca="1" si="145"/>
        <v>2.6204661809847223</v>
      </c>
      <c r="S486" s="94">
        <f t="shared" ca="1" si="146"/>
        <v>2.855590707781452</v>
      </c>
      <c r="T486" s="4">
        <f t="shared" ca="1" si="147"/>
        <v>0</v>
      </c>
      <c r="U486" s="46">
        <f t="shared" ca="1" si="148"/>
        <v>1502.276501057248</v>
      </c>
      <c r="V486" s="4">
        <f t="shared" ca="1" si="149"/>
        <v>0</v>
      </c>
      <c r="W486" s="13">
        <f t="shared" ca="1" si="150"/>
        <v>8712.3125236836531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117</v>
      </c>
      <c r="M487" s="7">
        <f t="shared" ca="1" si="140"/>
        <v>883</v>
      </c>
      <c r="N487" s="44">
        <f t="shared" ca="1" si="141"/>
        <v>10</v>
      </c>
      <c r="O487" s="94">
        <f t="shared" ca="1" si="142"/>
        <v>2.855590707781452</v>
      </c>
      <c r="P487" s="94">
        <f t="shared" ca="1" si="143"/>
        <v>28.555907077814521</v>
      </c>
      <c r="Q487" s="94">
        <f t="shared" ca="1" si="144"/>
        <v>28.060908074031932</v>
      </c>
      <c r="R487" s="94">
        <f t="shared" ca="1" si="145"/>
        <v>2.8308407575923225</v>
      </c>
      <c r="S487" s="94">
        <f t="shared" ca="1" si="146"/>
        <v>2.855590707781452</v>
      </c>
      <c r="T487" s="4">
        <f t="shared" ca="1" si="147"/>
        <v>0</v>
      </c>
      <c r="U487" s="46">
        <f t="shared" ca="1" si="148"/>
        <v>1485.276501057248</v>
      </c>
      <c r="V487" s="4">
        <f t="shared" ca="1" si="149"/>
        <v>0</v>
      </c>
      <c r="W487" s="13">
        <f t="shared" ca="1" si="150"/>
        <v>6526.9405417274047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100</v>
      </c>
      <c r="M488" s="7">
        <f t="shared" ca="1" si="140"/>
        <v>900</v>
      </c>
      <c r="N488" s="44">
        <f t="shared" ca="1" si="141"/>
        <v>10</v>
      </c>
      <c r="O488" s="94">
        <f t="shared" ca="1" si="142"/>
        <v>2.855590707781452</v>
      </c>
      <c r="P488" s="94">
        <f t="shared" ca="1" si="143"/>
        <v>28.555907077814521</v>
      </c>
      <c r="Q488" s="94">
        <f t="shared" ca="1" si="144"/>
        <v>28.555907077814521</v>
      </c>
      <c r="R488" s="94">
        <f t="shared" ca="1" si="145"/>
        <v>2.855590707781452</v>
      </c>
      <c r="S488" s="94">
        <f t="shared" ca="1" si="146"/>
        <v>2.855590707781452</v>
      </c>
      <c r="T488" s="4">
        <f t="shared" ca="1" si="147"/>
        <v>0</v>
      </c>
      <c r="U488" s="46">
        <f t="shared" ca="1" si="148"/>
        <v>1468.276501057248</v>
      </c>
      <c r="V488" s="4">
        <f t="shared" ca="1" si="149"/>
        <v>0</v>
      </c>
      <c r="W488" s="13">
        <f t="shared" ca="1" si="150"/>
        <v>4341.5685597711545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100</v>
      </c>
      <c r="M489" s="7">
        <f t="shared" ca="1" si="140"/>
        <v>900</v>
      </c>
      <c r="N489" s="44">
        <f t="shared" ca="1" si="141"/>
        <v>10</v>
      </c>
      <c r="O489" s="94">
        <f t="shared" ca="1" si="142"/>
        <v>2.855590707781452</v>
      </c>
      <c r="P489" s="94">
        <f t="shared" ca="1" si="143"/>
        <v>28.555907077814521</v>
      </c>
      <c r="Q489" s="94">
        <f t="shared" ca="1" si="144"/>
        <v>28.555907077814521</v>
      </c>
      <c r="R489" s="94">
        <f t="shared" ca="1" si="145"/>
        <v>2.855590707781452</v>
      </c>
      <c r="S489" s="94">
        <f t="shared" ca="1" si="146"/>
        <v>2.855590707781452</v>
      </c>
      <c r="T489" s="4">
        <f t="shared" ca="1" si="147"/>
        <v>0</v>
      </c>
      <c r="U489" s="46">
        <f t="shared" ca="1" si="148"/>
        <v>1468.276501057248</v>
      </c>
      <c r="V489" s="4">
        <f t="shared" ca="1" si="149"/>
        <v>0</v>
      </c>
      <c r="W489" s="13">
        <f t="shared" ca="1" si="150"/>
        <v>2156.1965778149038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119</v>
      </c>
      <c r="M490" s="7">
        <f t="shared" ca="1" si="140"/>
        <v>881</v>
      </c>
      <c r="N490" s="44">
        <f t="shared" ca="1" si="141"/>
        <v>10</v>
      </c>
      <c r="O490" s="94">
        <f t="shared" ca="1" si="142"/>
        <v>2.855590707781452</v>
      </c>
      <c r="P490" s="94">
        <f t="shared" ca="1" si="143"/>
        <v>28.555907077814521</v>
      </c>
      <c r="Q490" s="94">
        <f t="shared" ca="1" si="144"/>
        <v>27.565909070249344</v>
      </c>
      <c r="R490" s="94">
        <f t="shared" ca="1" si="145"/>
        <v>2.8060908074031934</v>
      </c>
      <c r="S490" s="94">
        <f t="shared" ca="1" si="146"/>
        <v>2.855590707781452</v>
      </c>
      <c r="T490" s="4">
        <f t="shared" ca="1" si="147"/>
        <v>0</v>
      </c>
      <c r="U490" s="46">
        <f t="shared" ca="1" si="148"/>
        <v>1487.276501057248</v>
      </c>
      <c r="V490" s="4">
        <f t="shared" ca="1" si="149"/>
        <v>0</v>
      </c>
      <c r="W490" s="13">
        <f t="shared" ca="1" si="150"/>
        <v>15297.60387369375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102</v>
      </c>
      <c r="M491" s="7">
        <f t="shared" ca="1" si="140"/>
        <v>898</v>
      </c>
      <c r="N491" s="44">
        <f t="shared" ca="1" si="141"/>
        <v>10</v>
      </c>
      <c r="O491" s="94">
        <f t="shared" ca="1" si="142"/>
        <v>2.855590707781452</v>
      </c>
      <c r="P491" s="94">
        <f t="shared" ca="1" si="143"/>
        <v>28.555907077814521</v>
      </c>
      <c r="Q491" s="94">
        <f t="shared" ca="1" si="144"/>
        <v>28.555907077814521</v>
      </c>
      <c r="R491" s="94">
        <f t="shared" ca="1" si="145"/>
        <v>2.855590707781452</v>
      </c>
      <c r="S491" s="94">
        <f t="shared" ca="1" si="146"/>
        <v>2.855590707781452</v>
      </c>
      <c r="T491" s="4">
        <f t="shared" ca="1" si="147"/>
        <v>0</v>
      </c>
      <c r="U491" s="46">
        <f t="shared" ca="1" si="148"/>
        <v>1470.276501057248</v>
      </c>
      <c r="V491" s="4">
        <f t="shared" ca="1" si="149"/>
        <v>0</v>
      </c>
      <c r="W491" s="13">
        <f t="shared" ca="1" si="150"/>
        <v>13112.2318917375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10</v>
      </c>
      <c r="O492" s="94">
        <f t="shared" ca="1" si="142"/>
        <v>2.855590707781452</v>
      </c>
      <c r="P492" s="94">
        <f t="shared" ca="1" si="143"/>
        <v>28.555907077814521</v>
      </c>
      <c r="Q492" s="94">
        <f t="shared" ca="1" si="144"/>
        <v>28.555907077814521</v>
      </c>
      <c r="R492" s="94">
        <f t="shared" ca="1" si="145"/>
        <v>2.855590707781452</v>
      </c>
      <c r="S492" s="94">
        <f t="shared" ca="1" si="146"/>
        <v>2.855590707781452</v>
      </c>
      <c r="T492" s="4">
        <f t="shared" ca="1" si="147"/>
        <v>0</v>
      </c>
      <c r="U492" s="46">
        <f t="shared" ca="1" si="148"/>
        <v>1468.276501057248</v>
      </c>
      <c r="V492" s="4">
        <f t="shared" ca="1" si="149"/>
        <v>0</v>
      </c>
      <c r="W492" s="13">
        <f t="shared" ca="1" si="150"/>
        <v>10926.859909781251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100</v>
      </c>
      <c r="M493" s="7">
        <f t="shared" ca="1" si="140"/>
        <v>900</v>
      </c>
      <c r="N493" s="44">
        <f t="shared" ca="1" si="141"/>
        <v>10</v>
      </c>
      <c r="O493" s="94">
        <f t="shared" ca="1" si="142"/>
        <v>2.855590707781452</v>
      </c>
      <c r="P493" s="94">
        <f t="shared" ca="1" si="143"/>
        <v>28.555907077814521</v>
      </c>
      <c r="Q493" s="94">
        <f t="shared" ca="1" si="144"/>
        <v>28.555907077814521</v>
      </c>
      <c r="R493" s="94">
        <f t="shared" ca="1" si="145"/>
        <v>2.855590707781452</v>
      </c>
      <c r="S493" s="94">
        <f t="shared" ca="1" si="146"/>
        <v>2.855590707781452</v>
      </c>
      <c r="T493" s="4">
        <f t="shared" ca="1" si="147"/>
        <v>0</v>
      </c>
      <c r="U493" s="46">
        <f t="shared" ca="1" si="148"/>
        <v>1468.276501057248</v>
      </c>
      <c r="V493" s="4">
        <f t="shared" ca="1" si="149"/>
        <v>0</v>
      </c>
      <c r="W493" s="13">
        <f t="shared" ca="1" si="150"/>
        <v>8741.487927825001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100</v>
      </c>
      <c r="M494" s="7">
        <f t="shared" ca="1" si="140"/>
        <v>900</v>
      </c>
      <c r="N494" s="44">
        <f t="shared" ca="1" si="141"/>
        <v>10</v>
      </c>
      <c r="O494" s="94">
        <f t="shared" ca="1" si="142"/>
        <v>2.855590707781452</v>
      </c>
      <c r="P494" s="94">
        <f t="shared" ca="1" si="143"/>
        <v>28.555907077814521</v>
      </c>
      <c r="Q494" s="94">
        <f t="shared" ca="1" si="144"/>
        <v>28.555907077814521</v>
      </c>
      <c r="R494" s="94">
        <f t="shared" ca="1" si="145"/>
        <v>2.855590707781452</v>
      </c>
      <c r="S494" s="94">
        <f t="shared" ca="1" si="146"/>
        <v>2.855590707781452</v>
      </c>
      <c r="T494" s="4">
        <f t="shared" ca="1" si="147"/>
        <v>0</v>
      </c>
      <c r="U494" s="46">
        <f t="shared" ca="1" si="148"/>
        <v>1468.276501057248</v>
      </c>
      <c r="V494" s="4">
        <f t="shared" ca="1" si="149"/>
        <v>0</v>
      </c>
      <c r="W494" s="13">
        <f t="shared" ca="1" si="150"/>
        <v>6556.1159458687498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100</v>
      </c>
      <c r="M495" s="7">
        <f t="shared" ca="1" si="140"/>
        <v>900</v>
      </c>
      <c r="N495" s="44">
        <f t="shared" ca="1" si="141"/>
        <v>10</v>
      </c>
      <c r="O495" s="94">
        <f t="shared" ca="1" si="142"/>
        <v>2.855590707781452</v>
      </c>
      <c r="P495" s="94">
        <f t="shared" ca="1" si="143"/>
        <v>28.555907077814521</v>
      </c>
      <c r="Q495" s="94">
        <f t="shared" ca="1" si="144"/>
        <v>28.555907077814521</v>
      </c>
      <c r="R495" s="94">
        <f t="shared" ca="1" si="145"/>
        <v>2.855590707781452</v>
      </c>
      <c r="S495" s="94">
        <f t="shared" ca="1" si="146"/>
        <v>2.855590707781452</v>
      </c>
      <c r="T495" s="4">
        <f t="shared" ca="1" si="147"/>
        <v>0</v>
      </c>
      <c r="U495" s="46">
        <f t="shared" ca="1" si="148"/>
        <v>1468.276501057248</v>
      </c>
      <c r="V495" s="4">
        <f t="shared" ca="1" si="149"/>
        <v>0</v>
      </c>
      <c r="W495" s="13">
        <f t="shared" ca="1" si="150"/>
        <v>4370.7439639125005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100</v>
      </c>
      <c r="M496" s="7">
        <f t="shared" ca="1" si="140"/>
        <v>900</v>
      </c>
      <c r="N496" s="44">
        <f t="shared" ca="1" si="141"/>
        <v>10</v>
      </c>
      <c r="O496" s="94">
        <f t="shared" ca="1" si="142"/>
        <v>2.855590707781452</v>
      </c>
      <c r="P496" s="94">
        <f t="shared" ca="1" si="143"/>
        <v>28.555907077814521</v>
      </c>
      <c r="Q496" s="94">
        <f t="shared" ca="1" si="144"/>
        <v>28.555907077814521</v>
      </c>
      <c r="R496" s="94">
        <f t="shared" ca="1" si="145"/>
        <v>2.855590707781452</v>
      </c>
      <c r="S496" s="94">
        <f t="shared" ca="1" si="146"/>
        <v>2.855590707781452</v>
      </c>
      <c r="T496" s="4">
        <f t="shared" ca="1" si="147"/>
        <v>0</v>
      </c>
      <c r="U496" s="46">
        <f t="shared" ca="1" si="148"/>
        <v>1468.276501057248</v>
      </c>
      <c r="V496" s="4">
        <f t="shared" ca="1" si="149"/>
        <v>0</v>
      </c>
      <c r="W496" s="13">
        <f t="shared" ca="1" si="150"/>
        <v>2185.3719819562502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100</v>
      </c>
      <c r="M497" s="7">
        <f t="shared" ca="1" si="140"/>
        <v>900</v>
      </c>
      <c r="N497" s="44">
        <f t="shared" ca="1" si="141"/>
        <v>10</v>
      </c>
      <c r="O497" s="94">
        <f t="shared" ca="1" si="142"/>
        <v>2.855590707781452</v>
      </c>
      <c r="P497" s="94">
        <f t="shared" ca="1" si="143"/>
        <v>28.555907077814521</v>
      </c>
      <c r="Q497" s="94">
        <f t="shared" ca="1" si="144"/>
        <v>28.555907077814521</v>
      </c>
      <c r="R497" s="94">
        <f t="shared" ca="1" si="145"/>
        <v>2.855590707781452</v>
      </c>
      <c r="S497" s="94">
        <f t="shared" ca="1" si="146"/>
        <v>2.855590707781452</v>
      </c>
      <c r="T497" s="4">
        <f t="shared" ca="1" si="147"/>
        <v>0</v>
      </c>
      <c r="U497" s="46">
        <f t="shared" ca="1" si="148"/>
        <v>1468.276501057248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285</v>
      </c>
      <c r="M498" s="7">
        <f t="shared" ca="1" si="140"/>
        <v>715</v>
      </c>
      <c r="N498" s="44">
        <f t="shared" ca="1" si="141"/>
        <v>8</v>
      </c>
      <c r="O498" s="94">
        <f t="shared" ca="1" si="142"/>
        <v>2.3721134347108093</v>
      </c>
      <c r="P498" s="94">
        <f t="shared" ca="1" si="143"/>
        <v>23.721134347108087</v>
      </c>
      <c r="Q498" s="94">
        <f t="shared" ca="1" si="144"/>
        <v>23.721134347108087</v>
      </c>
      <c r="R498" s="94">
        <f t="shared" ca="1" si="145"/>
        <v>2.3721134347108088</v>
      </c>
      <c r="S498" s="94">
        <f t="shared" ca="1" si="146"/>
        <v>2.3721134347108093</v>
      </c>
      <c r="T498" s="4">
        <f t="shared" ca="1" si="147"/>
        <v>0</v>
      </c>
      <c r="U498" s="46">
        <f t="shared" ca="1" si="148"/>
        <v>1461.8387274667198</v>
      </c>
      <c r="V498" s="4">
        <f t="shared" ca="1" si="149"/>
        <v>0</v>
      </c>
      <c r="W498" s="13">
        <f t="shared" ca="1" si="150"/>
        <v>19639.172433464904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268</v>
      </c>
      <c r="M499" s="7">
        <f t="shared" ca="1" si="140"/>
        <v>732</v>
      </c>
      <c r="N499" s="44">
        <f t="shared" ca="1" si="141"/>
        <v>8</v>
      </c>
      <c r="O499" s="94">
        <f t="shared" ca="1" si="142"/>
        <v>2.3721134347108093</v>
      </c>
      <c r="P499" s="94">
        <f t="shared" ca="1" si="143"/>
        <v>23.721134347108087</v>
      </c>
      <c r="Q499" s="94">
        <f t="shared" ca="1" si="144"/>
        <v>23.721134347108087</v>
      </c>
      <c r="R499" s="94">
        <f t="shared" ca="1" si="145"/>
        <v>2.3721134347108088</v>
      </c>
      <c r="S499" s="94">
        <f t="shared" ca="1" si="146"/>
        <v>2.3721134347108093</v>
      </c>
      <c r="T499" s="4">
        <f t="shared" ca="1" si="147"/>
        <v>0</v>
      </c>
      <c r="U499" s="46">
        <f t="shared" ca="1" si="148"/>
        <v>1444.8387274667198</v>
      </c>
      <c r="V499" s="4">
        <f t="shared" ca="1" si="149"/>
        <v>0</v>
      </c>
      <c r="W499" s="13">
        <f t="shared" ca="1" si="150"/>
        <v>17453.800451508654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251</v>
      </c>
      <c r="M500" s="7">
        <f t="shared" ca="1" si="140"/>
        <v>749</v>
      </c>
      <c r="N500" s="44">
        <f t="shared" ca="1" si="141"/>
        <v>8</v>
      </c>
      <c r="O500" s="94">
        <f t="shared" ca="1" si="142"/>
        <v>2.3721134347108093</v>
      </c>
      <c r="P500" s="94">
        <f t="shared" ca="1" si="143"/>
        <v>23.721134347108087</v>
      </c>
      <c r="Q500" s="94">
        <f t="shared" ca="1" si="144"/>
        <v>23.721134347108087</v>
      </c>
      <c r="R500" s="94">
        <f t="shared" ca="1" si="145"/>
        <v>2.3721134347108088</v>
      </c>
      <c r="S500" s="94">
        <f t="shared" ca="1" si="146"/>
        <v>2.3721134347108093</v>
      </c>
      <c r="T500" s="4">
        <f t="shared" ca="1" si="147"/>
        <v>0</v>
      </c>
      <c r="U500" s="46">
        <f t="shared" ca="1" si="148"/>
        <v>1427.8387274667198</v>
      </c>
      <c r="V500" s="4">
        <f t="shared" ca="1" si="149"/>
        <v>0</v>
      </c>
      <c r="W500" s="13">
        <f t="shared" ca="1" si="150"/>
        <v>15268.428469552406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234</v>
      </c>
      <c r="M501" s="7">
        <f t="shared" ca="1" si="140"/>
        <v>766</v>
      </c>
      <c r="N501" s="44">
        <f t="shared" ca="1" si="141"/>
        <v>8</v>
      </c>
      <c r="O501" s="94">
        <f t="shared" ca="1" si="142"/>
        <v>2.3721134347108093</v>
      </c>
      <c r="P501" s="94">
        <f t="shared" ca="1" si="143"/>
        <v>23.721134347108087</v>
      </c>
      <c r="Q501" s="94">
        <f t="shared" ca="1" si="144"/>
        <v>23.721134347108087</v>
      </c>
      <c r="R501" s="94">
        <f t="shared" ca="1" si="145"/>
        <v>2.3721134347108088</v>
      </c>
      <c r="S501" s="94">
        <f t="shared" ca="1" si="146"/>
        <v>2.3721134347108093</v>
      </c>
      <c r="T501" s="4">
        <f t="shared" ca="1" si="147"/>
        <v>0</v>
      </c>
      <c r="U501" s="46">
        <f t="shared" ca="1" si="148"/>
        <v>1410.8387274667198</v>
      </c>
      <c r="V501" s="4">
        <f t="shared" ca="1" si="149"/>
        <v>0</v>
      </c>
      <c r="W501" s="13">
        <f t="shared" ca="1" si="150"/>
        <v>13083.056487596155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217</v>
      </c>
      <c r="M502" s="7">
        <f t="shared" ca="1" si="140"/>
        <v>783</v>
      </c>
      <c r="N502" s="44">
        <f t="shared" ca="1" si="141"/>
        <v>9</v>
      </c>
      <c r="O502" s="94">
        <f t="shared" ca="1" si="142"/>
        <v>2.6080912058901573</v>
      </c>
      <c r="P502" s="94">
        <f t="shared" ca="1" si="143"/>
        <v>26.080912058901578</v>
      </c>
      <c r="Q502" s="94">
        <f t="shared" ca="1" si="144"/>
        <v>24.665045431825479</v>
      </c>
      <c r="R502" s="94">
        <f t="shared" ca="1" si="145"/>
        <v>2.5372978745363528</v>
      </c>
      <c r="S502" s="94">
        <f t="shared" ca="1" si="146"/>
        <v>2.6080912058901573</v>
      </c>
      <c r="T502" s="4">
        <f t="shared" ca="1" si="147"/>
        <v>0</v>
      </c>
      <c r="U502" s="46">
        <f t="shared" ca="1" si="148"/>
        <v>1487.2765406745989</v>
      </c>
      <c r="V502" s="4">
        <f t="shared" ca="1" si="149"/>
        <v>0</v>
      </c>
      <c r="W502" s="13">
        <f t="shared" ca="1" si="150"/>
        <v>10897.684505639903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200</v>
      </c>
      <c r="M503" s="7">
        <f t="shared" ca="1" si="140"/>
        <v>800</v>
      </c>
      <c r="N503" s="44">
        <f t="shared" ca="1" si="141"/>
        <v>9</v>
      </c>
      <c r="O503" s="94">
        <f t="shared" ca="1" si="142"/>
        <v>2.6080912058901573</v>
      </c>
      <c r="P503" s="94">
        <f t="shared" ca="1" si="143"/>
        <v>26.080912058901578</v>
      </c>
      <c r="Q503" s="94">
        <f t="shared" ca="1" si="144"/>
        <v>26.080912058901578</v>
      </c>
      <c r="R503" s="94">
        <f t="shared" ca="1" si="145"/>
        <v>2.6080912058901577</v>
      </c>
      <c r="S503" s="94">
        <f t="shared" ca="1" si="146"/>
        <v>2.6080912058901573</v>
      </c>
      <c r="T503" s="4">
        <f t="shared" ca="1" si="147"/>
        <v>0</v>
      </c>
      <c r="U503" s="46">
        <f t="shared" ca="1" si="148"/>
        <v>1470.2765406745989</v>
      </c>
      <c r="V503" s="4">
        <f t="shared" ca="1" si="149"/>
        <v>0</v>
      </c>
      <c r="W503" s="13">
        <f t="shared" ca="1" si="150"/>
        <v>8712.3125236836549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183</v>
      </c>
      <c r="M504" s="7">
        <f t="shared" ca="1" si="140"/>
        <v>817</v>
      </c>
      <c r="N504" s="44">
        <f t="shared" ca="1" si="141"/>
        <v>9</v>
      </c>
      <c r="O504" s="94">
        <f t="shared" ca="1" si="142"/>
        <v>2.6080912058901573</v>
      </c>
      <c r="P504" s="94">
        <f t="shared" ca="1" si="143"/>
        <v>26.080912058901578</v>
      </c>
      <c r="Q504" s="94">
        <f t="shared" ca="1" si="144"/>
        <v>26.080912058901578</v>
      </c>
      <c r="R504" s="94">
        <f t="shared" ca="1" si="145"/>
        <v>2.6080912058901577</v>
      </c>
      <c r="S504" s="94">
        <f t="shared" ca="1" si="146"/>
        <v>2.6080912058901573</v>
      </c>
      <c r="T504" s="4">
        <f t="shared" ca="1" si="147"/>
        <v>0</v>
      </c>
      <c r="U504" s="46">
        <f t="shared" ca="1" si="148"/>
        <v>1453.2765406745989</v>
      </c>
      <c r="V504" s="4">
        <f t="shared" ca="1" si="149"/>
        <v>0</v>
      </c>
      <c r="W504" s="13">
        <f t="shared" ca="1" si="150"/>
        <v>6526.9405417274047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166</v>
      </c>
      <c r="M505" s="7">
        <f t="shared" ca="1" si="140"/>
        <v>834</v>
      </c>
      <c r="N505" s="44">
        <f t="shared" ca="1" si="141"/>
        <v>9</v>
      </c>
      <c r="O505" s="94">
        <f t="shared" ca="1" si="142"/>
        <v>2.6080912058901573</v>
      </c>
      <c r="P505" s="94">
        <f t="shared" ca="1" si="143"/>
        <v>26.080912058901578</v>
      </c>
      <c r="Q505" s="94">
        <f t="shared" ca="1" si="144"/>
        <v>26.080912058901578</v>
      </c>
      <c r="R505" s="94">
        <f t="shared" ca="1" si="145"/>
        <v>2.6080912058901577</v>
      </c>
      <c r="S505" s="94">
        <f t="shared" ca="1" si="146"/>
        <v>2.6080912058901573</v>
      </c>
      <c r="T505" s="4">
        <f t="shared" ca="1" si="147"/>
        <v>0</v>
      </c>
      <c r="U505" s="46">
        <f t="shared" ca="1" si="148"/>
        <v>1436.2765406745989</v>
      </c>
      <c r="V505" s="4">
        <f t="shared" ca="1" si="149"/>
        <v>0</v>
      </c>
      <c r="W505" s="13">
        <f t="shared" ca="1" si="150"/>
        <v>4341.5685597711545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202</v>
      </c>
      <c r="M506" s="7">
        <f t="shared" ca="1" si="140"/>
        <v>798</v>
      </c>
      <c r="N506" s="44">
        <f t="shared" ca="1" si="141"/>
        <v>9</v>
      </c>
      <c r="O506" s="94">
        <f t="shared" ca="1" si="142"/>
        <v>2.6080912058901573</v>
      </c>
      <c r="P506" s="94">
        <f t="shared" ca="1" si="143"/>
        <v>26.080912058901578</v>
      </c>
      <c r="Q506" s="94">
        <f t="shared" ca="1" si="144"/>
        <v>26.080912058901578</v>
      </c>
      <c r="R506" s="94">
        <f t="shared" ca="1" si="145"/>
        <v>2.6080912058901577</v>
      </c>
      <c r="S506" s="94">
        <f t="shared" ca="1" si="146"/>
        <v>2.6080912058901573</v>
      </c>
      <c r="T506" s="4">
        <f t="shared" ca="1" si="147"/>
        <v>0</v>
      </c>
      <c r="U506" s="46">
        <f t="shared" ca="1" si="148"/>
        <v>1472.2765406745989</v>
      </c>
      <c r="V506" s="4">
        <f t="shared" ca="1" si="149"/>
        <v>0</v>
      </c>
      <c r="W506" s="13">
        <f t="shared" ca="1" si="150"/>
        <v>17482.975855650002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185</v>
      </c>
      <c r="M507" s="7">
        <f t="shared" ca="1" si="140"/>
        <v>815</v>
      </c>
      <c r="N507" s="44">
        <f t="shared" ca="1" si="141"/>
        <v>9</v>
      </c>
      <c r="O507" s="94">
        <f t="shared" ca="1" si="142"/>
        <v>2.6080912058901573</v>
      </c>
      <c r="P507" s="94">
        <f t="shared" ca="1" si="143"/>
        <v>26.080912058901578</v>
      </c>
      <c r="Q507" s="94">
        <f t="shared" ca="1" si="144"/>
        <v>26.080912058901578</v>
      </c>
      <c r="R507" s="94">
        <f t="shared" ca="1" si="145"/>
        <v>2.6080912058901577</v>
      </c>
      <c r="S507" s="94">
        <f t="shared" ca="1" si="146"/>
        <v>2.6080912058901573</v>
      </c>
      <c r="T507" s="4">
        <f t="shared" ca="1" si="147"/>
        <v>0</v>
      </c>
      <c r="U507" s="46">
        <f t="shared" ca="1" si="148"/>
        <v>1455.2765406745989</v>
      </c>
      <c r="V507" s="4">
        <f t="shared" ca="1" si="149"/>
        <v>0</v>
      </c>
      <c r="W507" s="13">
        <f t="shared" ca="1" si="150"/>
        <v>15297.60387369375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168</v>
      </c>
      <c r="M508" s="7">
        <f t="shared" ca="1" si="140"/>
        <v>832</v>
      </c>
      <c r="N508" s="44">
        <f t="shared" ca="1" si="141"/>
        <v>9</v>
      </c>
      <c r="O508" s="94">
        <f t="shared" ca="1" si="142"/>
        <v>2.6080912058901573</v>
      </c>
      <c r="P508" s="94">
        <f t="shared" ca="1" si="143"/>
        <v>26.080912058901578</v>
      </c>
      <c r="Q508" s="94">
        <f t="shared" ca="1" si="144"/>
        <v>26.080912058901578</v>
      </c>
      <c r="R508" s="94">
        <f t="shared" ca="1" si="145"/>
        <v>2.6080912058901577</v>
      </c>
      <c r="S508" s="94">
        <f t="shared" ca="1" si="146"/>
        <v>2.6080912058901573</v>
      </c>
      <c r="T508" s="4">
        <f t="shared" ca="1" si="147"/>
        <v>0</v>
      </c>
      <c r="U508" s="46">
        <f t="shared" ca="1" si="148"/>
        <v>1438.2765406745989</v>
      </c>
      <c r="V508" s="4">
        <f t="shared" ca="1" si="149"/>
        <v>0</v>
      </c>
      <c r="W508" s="13">
        <f t="shared" ca="1" si="150"/>
        <v>13112.231891737501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151</v>
      </c>
      <c r="M509" s="7">
        <f t="shared" ca="1" si="140"/>
        <v>849</v>
      </c>
      <c r="N509" s="44">
        <f t="shared" ca="1" si="141"/>
        <v>9</v>
      </c>
      <c r="O509" s="94">
        <f t="shared" ca="1" si="142"/>
        <v>2.6080912058901573</v>
      </c>
      <c r="P509" s="94">
        <f t="shared" ca="1" si="143"/>
        <v>26.080912058901578</v>
      </c>
      <c r="Q509" s="94">
        <f t="shared" ca="1" si="144"/>
        <v>26.080912058901578</v>
      </c>
      <c r="R509" s="94">
        <f t="shared" ca="1" si="145"/>
        <v>2.6080912058901577</v>
      </c>
      <c r="S509" s="94">
        <f t="shared" ca="1" si="146"/>
        <v>2.6080912058901573</v>
      </c>
      <c r="T509" s="4">
        <f t="shared" ca="1" si="147"/>
        <v>0</v>
      </c>
      <c r="U509" s="46">
        <f t="shared" ca="1" si="148"/>
        <v>1421.2765406745989</v>
      </c>
      <c r="V509" s="4">
        <f t="shared" ca="1" si="149"/>
        <v>0</v>
      </c>
      <c r="W509" s="13">
        <f t="shared" ca="1" si="150"/>
        <v>10926.859909781251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134</v>
      </c>
      <c r="M510" s="7">
        <f t="shared" ca="1" si="140"/>
        <v>866</v>
      </c>
      <c r="N510" s="44">
        <f t="shared" ca="1" si="141"/>
        <v>10</v>
      </c>
      <c r="O510" s="94">
        <f t="shared" ca="1" si="142"/>
        <v>2.855590707781452</v>
      </c>
      <c r="P510" s="94">
        <f t="shared" ca="1" si="143"/>
        <v>26.328411560792873</v>
      </c>
      <c r="Q510" s="94">
        <f t="shared" ca="1" si="144"/>
        <v>26.080912058901578</v>
      </c>
      <c r="R510" s="94">
        <f t="shared" ca="1" si="145"/>
        <v>2.6204661809847223</v>
      </c>
      <c r="S510" s="94">
        <f t="shared" ca="1" si="146"/>
        <v>2.855590707781452</v>
      </c>
      <c r="T510" s="4">
        <f t="shared" ca="1" si="147"/>
        <v>0</v>
      </c>
      <c r="U510" s="46">
        <f t="shared" ca="1" si="148"/>
        <v>1502.276501057248</v>
      </c>
      <c r="V510" s="4">
        <f t="shared" ca="1" si="149"/>
        <v>0</v>
      </c>
      <c r="W510" s="13">
        <f t="shared" ca="1" si="150"/>
        <v>8741.487927825001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117</v>
      </c>
      <c r="M511" s="7">
        <f t="shared" ca="1" si="140"/>
        <v>883</v>
      </c>
      <c r="N511" s="44">
        <f t="shared" ca="1" si="141"/>
        <v>10</v>
      </c>
      <c r="O511" s="94">
        <f t="shared" ca="1" si="142"/>
        <v>2.855590707781452</v>
      </c>
      <c r="P511" s="94">
        <f t="shared" ca="1" si="143"/>
        <v>28.555907077814521</v>
      </c>
      <c r="Q511" s="94">
        <f t="shared" ca="1" si="144"/>
        <v>28.060908074031932</v>
      </c>
      <c r="R511" s="94">
        <f t="shared" ca="1" si="145"/>
        <v>2.8308407575923225</v>
      </c>
      <c r="S511" s="94">
        <f t="shared" ca="1" si="146"/>
        <v>2.855590707781452</v>
      </c>
      <c r="T511" s="4">
        <f t="shared" ca="1" si="147"/>
        <v>0</v>
      </c>
      <c r="U511" s="46">
        <f t="shared" ca="1" si="148"/>
        <v>1485.276501057248</v>
      </c>
      <c r="V511" s="4">
        <f t="shared" ca="1" si="149"/>
        <v>0</v>
      </c>
      <c r="W511" s="13">
        <f t="shared" ca="1" si="150"/>
        <v>6556.1159458687507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100</v>
      </c>
      <c r="M512" s="7">
        <f t="shared" ca="1" si="140"/>
        <v>900</v>
      </c>
      <c r="N512" s="44">
        <f t="shared" ca="1" si="141"/>
        <v>10</v>
      </c>
      <c r="O512" s="94">
        <f t="shared" ca="1" si="142"/>
        <v>2.855590707781452</v>
      </c>
      <c r="P512" s="94">
        <f t="shared" ca="1" si="143"/>
        <v>28.555907077814521</v>
      </c>
      <c r="Q512" s="94">
        <f t="shared" ca="1" si="144"/>
        <v>28.555907077814521</v>
      </c>
      <c r="R512" s="94">
        <f t="shared" ca="1" si="145"/>
        <v>2.855590707781452</v>
      </c>
      <c r="S512" s="94">
        <f t="shared" ca="1" si="146"/>
        <v>2.855590707781452</v>
      </c>
      <c r="T512" s="4">
        <f t="shared" ca="1" si="147"/>
        <v>0</v>
      </c>
      <c r="U512" s="46">
        <f t="shared" ca="1" si="148"/>
        <v>1468.276501057248</v>
      </c>
      <c r="V512" s="4">
        <f t="shared" ca="1" si="149"/>
        <v>0</v>
      </c>
      <c r="W512" s="13">
        <f t="shared" ca="1" si="150"/>
        <v>4370.7439639125005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100</v>
      </c>
      <c r="M513" s="7">
        <f t="shared" ca="1" si="140"/>
        <v>900</v>
      </c>
      <c r="N513" s="44">
        <f t="shared" ca="1" si="141"/>
        <v>10</v>
      </c>
      <c r="O513" s="94">
        <f t="shared" ca="1" si="142"/>
        <v>2.855590707781452</v>
      </c>
      <c r="P513" s="94">
        <f t="shared" ca="1" si="143"/>
        <v>28.555907077814521</v>
      </c>
      <c r="Q513" s="94">
        <f t="shared" ca="1" si="144"/>
        <v>28.555907077814521</v>
      </c>
      <c r="R513" s="94">
        <f t="shared" ca="1" si="145"/>
        <v>2.855590707781452</v>
      </c>
      <c r="S513" s="94">
        <f t="shared" ca="1" si="146"/>
        <v>2.855590707781452</v>
      </c>
      <c r="T513" s="4">
        <f t="shared" ca="1" si="147"/>
        <v>0</v>
      </c>
      <c r="U513" s="46">
        <f t="shared" ca="1" si="148"/>
        <v>1468.276501057248</v>
      </c>
      <c r="V513" s="4">
        <f t="shared" ca="1" si="149"/>
        <v>0</v>
      </c>
      <c r="W513" s="13">
        <f t="shared" ca="1" si="150"/>
        <v>2185.3719819562502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202</v>
      </c>
      <c r="M514" s="7">
        <f t="shared" ca="1" si="140"/>
        <v>798</v>
      </c>
      <c r="N514" s="44">
        <f t="shared" ca="1" si="141"/>
        <v>9</v>
      </c>
      <c r="O514" s="94">
        <f t="shared" ca="1" si="142"/>
        <v>2.6080912058901573</v>
      </c>
      <c r="P514" s="94">
        <f t="shared" ca="1" si="143"/>
        <v>26.080912058901578</v>
      </c>
      <c r="Q514" s="94">
        <f t="shared" ca="1" si="144"/>
        <v>26.080912058901578</v>
      </c>
      <c r="R514" s="94">
        <f t="shared" ca="1" si="145"/>
        <v>2.6080912058901577</v>
      </c>
      <c r="S514" s="94">
        <f t="shared" ca="1" si="146"/>
        <v>2.6080912058901573</v>
      </c>
      <c r="T514" s="4">
        <f t="shared" ca="1" si="147"/>
        <v>0</v>
      </c>
      <c r="U514" s="46">
        <f t="shared" ca="1" si="148"/>
        <v>1472.2765406745989</v>
      </c>
      <c r="V514" s="4">
        <f t="shared" ca="1" si="149"/>
        <v>0</v>
      </c>
      <c r="W514" s="13">
        <f t="shared" ca="1" si="150"/>
        <v>17453.800451508654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185</v>
      </c>
      <c r="M515" s="7">
        <f t="shared" ca="1" si="140"/>
        <v>815</v>
      </c>
      <c r="N515" s="44">
        <f t="shared" ca="1" si="141"/>
        <v>9</v>
      </c>
      <c r="O515" s="94">
        <f t="shared" ca="1" si="142"/>
        <v>2.6080912058901573</v>
      </c>
      <c r="P515" s="94">
        <f t="shared" ca="1" si="143"/>
        <v>26.080912058901578</v>
      </c>
      <c r="Q515" s="94">
        <f t="shared" ca="1" si="144"/>
        <v>26.080912058901578</v>
      </c>
      <c r="R515" s="94">
        <f t="shared" ca="1" si="145"/>
        <v>2.6080912058901577</v>
      </c>
      <c r="S515" s="94">
        <f t="shared" ca="1" si="146"/>
        <v>2.6080912058901573</v>
      </c>
      <c r="T515" s="4">
        <f t="shared" ca="1" si="147"/>
        <v>0</v>
      </c>
      <c r="U515" s="46">
        <f t="shared" ca="1" si="148"/>
        <v>1455.2765406745989</v>
      </c>
      <c r="V515" s="4">
        <f t="shared" ca="1" si="149"/>
        <v>0</v>
      </c>
      <c r="W515" s="13">
        <f t="shared" ca="1" si="150"/>
        <v>15268.428469552404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168</v>
      </c>
      <c r="M516" s="7">
        <f t="shared" ca="1" si="140"/>
        <v>832</v>
      </c>
      <c r="N516" s="44">
        <f t="shared" ca="1" si="141"/>
        <v>9</v>
      </c>
      <c r="O516" s="94">
        <f t="shared" ca="1" si="142"/>
        <v>2.6080912058901573</v>
      </c>
      <c r="P516" s="94">
        <f t="shared" ca="1" si="143"/>
        <v>26.080912058901578</v>
      </c>
      <c r="Q516" s="94">
        <f t="shared" ca="1" si="144"/>
        <v>26.080912058901578</v>
      </c>
      <c r="R516" s="94">
        <f t="shared" ca="1" si="145"/>
        <v>2.6080912058901577</v>
      </c>
      <c r="S516" s="94">
        <f t="shared" ca="1" si="146"/>
        <v>2.6080912058901573</v>
      </c>
      <c r="T516" s="4">
        <f t="shared" ca="1" si="147"/>
        <v>0</v>
      </c>
      <c r="U516" s="46">
        <f t="shared" ca="1" si="148"/>
        <v>1438.2765406745989</v>
      </c>
      <c r="V516" s="4">
        <f t="shared" ca="1" si="149"/>
        <v>0</v>
      </c>
      <c r="W516" s="13">
        <f t="shared" ca="1" si="150"/>
        <v>13083.056487596155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151</v>
      </c>
      <c r="M517" s="7">
        <f t="shared" ca="1" si="140"/>
        <v>849</v>
      </c>
      <c r="N517" s="44">
        <f t="shared" ca="1" si="141"/>
        <v>9</v>
      </c>
      <c r="O517" s="94">
        <f t="shared" ca="1" si="142"/>
        <v>2.6080912058901573</v>
      </c>
      <c r="P517" s="94">
        <f t="shared" ca="1" si="143"/>
        <v>26.080912058901578</v>
      </c>
      <c r="Q517" s="94">
        <f t="shared" ca="1" si="144"/>
        <v>26.080912058901578</v>
      </c>
      <c r="R517" s="94">
        <f t="shared" ca="1" si="145"/>
        <v>2.6080912058901577</v>
      </c>
      <c r="S517" s="94">
        <f t="shared" ca="1" si="146"/>
        <v>2.6080912058901573</v>
      </c>
      <c r="T517" s="4">
        <f t="shared" ca="1" si="147"/>
        <v>0</v>
      </c>
      <c r="U517" s="46">
        <f t="shared" ca="1" si="148"/>
        <v>1421.2765406745989</v>
      </c>
      <c r="V517" s="4">
        <f t="shared" ca="1" si="149"/>
        <v>0</v>
      </c>
      <c r="W517" s="13">
        <f t="shared" ca="1" si="150"/>
        <v>10897.684505639905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134</v>
      </c>
      <c r="M518" s="7">
        <f t="shared" ca="1" si="140"/>
        <v>866</v>
      </c>
      <c r="N518" s="44">
        <f t="shared" ca="1" si="141"/>
        <v>10</v>
      </c>
      <c r="O518" s="94">
        <f t="shared" ca="1" si="142"/>
        <v>2.855590707781452</v>
      </c>
      <c r="P518" s="94">
        <f t="shared" ca="1" si="143"/>
        <v>26.328411560792873</v>
      </c>
      <c r="Q518" s="94">
        <f t="shared" ca="1" si="144"/>
        <v>26.080912058901578</v>
      </c>
      <c r="R518" s="94">
        <f t="shared" ca="1" si="145"/>
        <v>2.6204661809847223</v>
      </c>
      <c r="S518" s="94">
        <f t="shared" ca="1" si="146"/>
        <v>2.855590707781452</v>
      </c>
      <c r="T518" s="4">
        <f t="shared" ca="1" si="147"/>
        <v>0</v>
      </c>
      <c r="U518" s="46">
        <f t="shared" ca="1" si="148"/>
        <v>1502.276501057248</v>
      </c>
      <c r="V518" s="4">
        <f t="shared" ca="1" si="149"/>
        <v>0</v>
      </c>
      <c r="W518" s="13">
        <f t="shared" ca="1" si="150"/>
        <v>8712.3125236836531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117</v>
      </c>
      <c r="M519" s="7">
        <f t="shared" ca="1" si="140"/>
        <v>883</v>
      </c>
      <c r="N519" s="44">
        <f t="shared" ca="1" si="141"/>
        <v>10</v>
      </c>
      <c r="O519" s="94">
        <f t="shared" ca="1" si="142"/>
        <v>2.855590707781452</v>
      </c>
      <c r="P519" s="94">
        <f t="shared" ca="1" si="143"/>
        <v>28.555907077814521</v>
      </c>
      <c r="Q519" s="94">
        <f t="shared" ca="1" si="144"/>
        <v>28.060908074031932</v>
      </c>
      <c r="R519" s="94">
        <f t="shared" ca="1" si="145"/>
        <v>2.8308407575923225</v>
      </c>
      <c r="S519" s="94">
        <f t="shared" ca="1" si="146"/>
        <v>2.855590707781452</v>
      </c>
      <c r="T519" s="4">
        <f t="shared" ca="1" si="147"/>
        <v>0</v>
      </c>
      <c r="U519" s="46">
        <f t="shared" ca="1" si="148"/>
        <v>1485.276501057248</v>
      </c>
      <c r="V519" s="4">
        <f t="shared" ca="1" si="149"/>
        <v>0</v>
      </c>
      <c r="W519" s="13">
        <f t="shared" ca="1" si="150"/>
        <v>6526.9405417274047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100</v>
      </c>
      <c r="M520" s="7">
        <f t="shared" ca="1" si="140"/>
        <v>900</v>
      </c>
      <c r="N520" s="44">
        <f t="shared" ca="1" si="141"/>
        <v>10</v>
      </c>
      <c r="O520" s="94">
        <f t="shared" ca="1" si="142"/>
        <v>2.855590707781452</v>
      </c>
      <c r="P520" s="94">
        <f t="shared" ca="1" si="143"/>
        <v>28.555907077814521</v>
      </c>
      <c r="Q520" s="94">
        <f t="shared" ca="1" si="144"/>
        <v>28.555907077814521</v>
      </c>
      <c r="R520" s="94">
        <f t="shared" ca="1" si="145"/>
        <v>2.855590707781452</v>
      </c>
      <c r="S520" s="94">
        <f t="shared" ca="1" si="146"/>
        <v>2.855590707781452</v>
      </c>
      <c r="T520" s="4">
        <f t="shared" ca="1" si="147"/>
        <v>0</v>
      </c>
      <c r="U520" s="46">
        <f t="shared" ca="1" si="148"/>
        <v>1468.276501057248</v>
      </c>
      <c r="V520" s="4">
        <f t="shared" ca="1" si="149"/>
        <v>0</v>
      </c>
      <c r="W520" s="13">
        <f t="shared" ca="1" si="150"/>
        <v>4341.5685597711545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100</v>
      </c>
      <c r="M521" s="7">
        <f t="shared" ca="1" si="140"/>
        <v>900</v>
      </c>
      <c r="N521" s="44">
        <f t="shared" ca="1" si="141"/>
        <v>10</v>
      </c>
      <c r="O521" s="94">
        <f t="shared" ca="1" si="142"/>
        <v>2.855590707781452</v>
      </c>
      <c r="P521" s="94">
        <f t="shared" ca="1" si="143"/>
        <v>28.555907077814521</v>
      </c>
      <c r="Q521" s="94">
        <f t="shared" ca="1" si="144"/>
        <v>28.555907077814521</v>
      </c>
      <c r="R521" s="94">
        <f t="shared" ca="1" si="145"/>
        <v>2.855590707781452</v>
      </c>
      <c r="S521" s="94">
        <f t="shared" ca="1" si="146"/>
        <v>2.855590707781452</v>
      </c>
      <c r="T521" s="4">
        <f t="shared" ca="1" si="147"/>
        <v>0</v>
      </c>
      <c r="U521" s="46">
        <f t="shared" ca="1" si="148"/>
        <v>1468.276501057248</v>
      </c>
      <c r="V521" s="4">
        <f t="shared" ca="1" si="149"/>
        <v>0</v>
      </c>
      <c r="W521" s="13">
        <f t="shared" ca="1" si="150"/>
        <v>2156.1965778149038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119</v>
      </c>
      <c r="M522" s="7">
        <f t="shared" ca="1" si="140"/>
        <v>881</v>
      </c>
      <c r="N522" s="44">
        <f t="shared" ca="1" si="141"/>
        <v>10</v>
      </c>
      <c r="O522" s="94">
        <f t="shared" ca="1" si="142"/>
        <v>2.855590707781452</v>
      </c>
      <c r="P522" s="94">
        <f t="shared" ca="1" si="143"/>
        <v>28.555907077814521</v>
      </c>
      <c r="Q522" s="94">
        <f t="shared" ca="1" si="144"/>
        <v>27.565909070249344</v>
      </c>
      <c r="R522" s="94">
        <f t="shared" ca="1" si="145"/>
        <v>2.8060908074031934</v>
      </c>
      <c r="S522" s="94">
        <f t="shared" ca="1" si="146"/>
        <v>2.855590707781452</v>
      </c>
      <c r="T522" s="4">
        <f t="shared" ca="1" si="147"/>
        <v>0</v>
      </c>
      <c r="U522" s="46">
        <f t="shared" ca="1" si="148"/>
        <v>1487.276501057248</v>
      </c>
      <c r="V522" s="4">
        <f t="shared" ca="1" si="149"/>
        <v>0</v>
      </c>
      <c r="W522" s="13">
        <f t="shared" ca="1" si="150"/>
        <v>15297.60387369375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102</v>
      </c>
      <c r="M523" s="7">
        <f t="shared" ca="1" si="140"/>
        <v>898</v>
      </c>
      <c r="N523" s="44">
        <f t="shared" ca="1" si="141"/>
        <v>10</v>
      </c>
      <c r="O523" s="94">
        <f t="shared" ca="1" si="142"/>
        <v>2.855590707781452</v>
      </c>
      <c r="P523" s="94">
        <f t="shared" ca="1" si="143"/>
        <v>28.555907077814521</v>
      </c>
      <c r="Q523" s="94">
        <f t="shared" ca="1" si="144"/>
        <v>28.555907077814521</v>
      </c>
      <c r="R523" s="94">
        <f t="shared" ca="1" si="145"/>
        <v>2.855590707781452</v>
      </c>
      <c r="S523" s="94">
        <f t="shared" ca="1" si="146"/>
        <v>2.855590707781452</v>
      </c>
      <c r="T523" s="4">
        <f t="shared" ca="1" si="147"/>
        <v>0</v>
      </c>
      <c r="U523" s="46">
        <f t="shared" ca="1" si="148"/>
        <v>1470.276501057248</v>
      </c>
      <c r="V523" s="4">
        <f t="shared" ca="1" si="149"/>
        <v>0</v>
      </c>
      <c r="W523" s="13">
        <f t="shared" ca="1" si="150"/>
        <v>13112.2318917375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10</v>
      </c>
      <c r="O524" s="94">
        <f t="shared" ca="1" si="142"/>
        <v>2.855590707781452</v>
      </c>
      <c r="P524" s="94">
        <f t="shared" ca="1" si="143"/>
        <v>28.555907077814521</v>
      </c>
      <c r="Q524" s="94">
        <f t="shared" ca="1" si="144"/>
        <v>28.555907077814521</v>
      </c>
      <c r="R524" s="94">
        <f t="shared" ca="1" si="145"/>
        <v>2.855590707781452</v>
      </c>
      <c r="S524" s="94">
        <f t="shared" ca="1" si="146"/>
        <v>2.855590707781452</v>
      </c>
      <c r="T524" s="4">
        <f t="shared" ca="1" si="147"/>
        <v>0</v>
      </c>
      <c r="U524" s="46">
        <f t="shared" ca="1" si="148"/>
        <v>1468.276501057248</v>
      </c>
      <c r="V524" s="4">
        <f t="shared" ca="1" si="149"/>
        <v>0</v>
      </c>
      <c r="W524" s="13">
        <f t="shared" ca="1" si="150"/>
        <v>10926.859909781251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100</v>
      </c>
      <c r="M525" s="7">
        <f t="shared" ca="1" si="140"/>
        <v>900</v>
      </c>
      <c r="N525" s="44">
        <f t="shared" ca="1" si="141"/>
        <v>10</v>
      </c>
      <c r="O525" s="94">
        <f t="shared" ca="1" si="142"/>
        <v>2.855590707781452</v>
      </c>
      <c r="P525" s="94">
        <f t="shared" ca="1" si="143"/>
        <v>28.555907077814521</v>
      </c>
      <c r="Q525" s="94">
        <f t="shared" ca="1" si="144"/>
        <v>28.555907077814521</v>
      </c>
      <c r="R525" s="94">
        <f t="shared" ca="1" si="145"/>
        <v>2.855590707781452</v>
      </c>
      <c r="S525" s="94">
        <f t="shared" ca="1" si="146"/>
        <v>2.855590707781452</v>
      </c>
      <c r="T525" s="4">
        <f t="shared" ca="1" si="147"/>
        <v>0</v>
      </c>
      <c r="U525" s="46">
        <f t="shared" ca="1" si="148"/>
        <v>1468.276501057248</v>
      </c>
      <c r="V525" s="4">
        <f t="shared" ca="1" si="149"/>
        <v>0</v>
      </c>
      <c r="W525" s="13">
        <f t="shared" ca="1" si="150"/>
        <v>8741.487927825001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100</v>
      </c>
      <c r="M526" s="7">
        <f t="shared" ca="1" si="140"/>
        <v>900</v>
      </c>
      <c r="N526" s="44">
        <f t="shared" ca="1" si="141"/>
        <v>10</v>
      </c>
      <c r="O526" s="94">
        <f t="shared" ca="1" si="142"/>
        <v>2.855590707781452</v>
      </c>
      <c r="P526" s="94">
        <f t="shared" ca="1" si="143"/>
        <v>28.555907077814521</v>
      </c>
      <c r="Q526" s="94">
        <f t="shared" ca="1" si="144"/>
        <v>28.555907077814521</v>
      </c>
      <c r="R526" s="94">
        <f t="shared" ca="1" si="145"/>
        <v>2.855590707781452</v>
      </c>
      <c r="S526" s="94">
        <f t="shared" ca="1" si="146"/>
        <v>2.855590707781452</v>
      </c>
      <c r="T526" s="4">
        <f t="shared" ca="1" si="147"/>
        <v>0</v>
      </c>
      <c r="U526" s="46">
        <f t="shared" ca="1" si="148"/>
        <v>1468.276501057248</v>
      </c>
      <c r="V526" s="4">
        <f t="shared" ca="1" si="149"/>
        <v>0</v>
      </c>
      <c r="W526" s="13">
        <f t="shared" ca="1" si="150"/>
        <v>6556.1159458687498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100</v>
      </c>
      <c r="M527" s="7">
        <f t="shared" ca="1" si="140"/>
        <v>900</v>
      </c>
      <c r="N527" s="44">
        <f t="shared" ca="1" si="141"/>
        <v>10</v>
      </c>
      <c r="O527" s="94">
        <f t="shared" ca="1" si="142"/>
        <v>2.855590707781452</v>
      </c>
      <c r="P527" s="94">
        <f t="shared" ca="1" si="143"/>
        <v>28.555907077814521</v>
      </c>
      <c r="Q527" s="94">
        <f t="shared" ca="1" si="144"/>
        <v>28.555907077814521</v>
      </c>
      <c r="R527" s="94">
        <f t="shared" ca="1" si="145"/>
        <v>2.855590707781452</v>
      </c>
      <c r="S527" s="94">
        <f t="shared" ca="1" si="146"/>
        <v>2.855590707781452</v>
      </c>
      <c r="T527" s="4">
        <f t="shared" ca="1" si="147"/>
        <v>0</v>
      </c>
      <c r="U527" s="46">
        <f t="shared" ca="1" si="148"/>
        <v>1468.276501057248</v>
      </c>
      <c r="V527" s="4">
        <f t="shared" ca="1" si="149"/>
        <v>0</v>
      </c>
      <c r="W527" s="13">
        <f t="shared" ca="1" si="150"/>
        <v>4370.7439639125005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100</v>
      </c>
      <c r="M528" s="7">
        <f t="shared" ca="1" si="140"/>
        <v>900</v>
      </c>
      <c r="N528" s="44">
        <f t="shared" ca="1" si="141"/>
        <v>10</v>
      </c>
      <c r="O528" s="94">
        <f t="shared" ca="1" si="142"/>
        <v>2.855590707781452</v>
      </c>
      <c r="P528" s="94">
        <f t="shared" ca="1" si="143"/>
        <v>28.555907077814521</v>
      </c>
      <c r="Q528" s="94">
        <f t="shared" ca="1" si="144"/>
        <v>28.555907077814521</v>
      </c>
      <c r="R528" s="94">
        <f t="shared" ca="1" si="145"/>
        <v>2.855590707781452</v>
      </c>
      <c r="S528" s="94">
        <f t="shared" ca="1" si="146"/>
        <v>2.855590707781452</v>
      </c>
      <c r="T528" s="4">
        <f t="shared" ca="1" si="147"/>
        <v>0</v>
      </c>
      <c r="U528" s="46">
        <f t="shared" ca="1" si="148"/>
        <v>1468.276501057248</v>
      </c>
      <c r="V528" s="4">
        <f t="shared" ca="1" si="149"/>
        <v>0</v>
      </c>
      <c r="W528" s="13">
        <f t="shared" ca="1" si="150"/>
        <v>2185.3719819562502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100</v>
      </c>
      <c r="M529" s="7">
        <f t="shared" ca="1" si="140"/>
        <v>900</v>
      </c>
      <c r="N529" s="44">
        <f t="shared" ca="1" si="141"/>
        <v>10</v>
      </c>
      <c r="O529" s="94">
        <f t="shared" ca="1" si="142"/>
        <v>2.855590707781452</v>
      </c>
      <c r="P529" s="94">
        <f t="shared" ca="1" si="143"/>
        <v>28.555907077814521</v>
      </c>
      <c r="Q529" s="94">
        <f t="shared" ca="1" si="144"/>
        <v>28.555907077814521</v>
      </c>
      <c r="R529" s="94">
        <f t="shared" ca="1" si="145"/>
        <v>2.855590707781452</v>
      </c>
      <c r="S529" s="94">
        <f t="shared" ca="1" si="146"/>
        <v>2.855590707781452</v>
      </c>
      <c r="T529" s="4">
        <f t="shared" ca="1" si="147"/>
        <v>0</v>
      </c>
      <c r="U529" s="46">
        <f t="shared" ca="1" si="148"/>
        <v>1468.276501057248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350</v>
      </c>
      <c r="K531" s="40">
        <f ca="1">SUM(K18:K529)</f>
        <v>0.99999999999999967</v>
      </c>
      <c r="O531" s="44"/>
      <c r="P531" s="44"/>
      <c r="Q531" s="44"/>
      <c r="R531" s="44"/>
      <c r="S531" s="44" t="s">
        <v>351</v>
      </c>
      <c r="T531" s="4">
        <f ca="1">SUM(T18:T529)</f>
        <v>2.3915356145640292</v>
      </c>
      <c r="U531" t="s">
        <v>171</v>
      </c>
      <c r="V531" s="4">
        <f ca="1">SUM(V18:V529)</f>
        <v>1424.8811402345709</v>
      </c>
      <c r="W531" t="s">
        <v>352</v>
      </c>
      <c r="X531" s="4">
        <f ca="1">SUM(X18:X529)</f>
        <v>14407.607262098561</v>
      </c>
      <c r="AE531" s="4"/>
    </row>
    <row r="534" spans="1:31">
      <c r="A534" t="s">
        <v>381</v>
      </c>
      <c r="Q534" s="44"/>
      <c r="R534" s="44"/>
    </row>
    <row r="535" spans="1:31">
      <c r="A535" s="9" t="str">
        <f>Setup!C21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414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113</v>
      </c>
      <c r="D536" t="s">
        <v>43</v>
      </c>
      <c r="E536" s="2">
        <f ca="1">Set2DA</f>
        <v>0.29000000000000004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102</v>
      </c>
      <c r="D537" t="s">
        <v>162</v>
      </c>
      <c r="E537" s="2">
        <f ca="1">Set2TA</f>
        <v>0.18</v>
      </c>
      <c r="F537" s="2"/>
      <c r="I537" t="s">
        <v>106</v>
      </c>
      <c r="J537">
        <f ca="1">TRUNC(J535*K535+J536*K536)</f>
        <v>351</v>
      </c>
    </row>
    <row r="538" spans="1:31">
      <c r="A538" t="s">
        <v>377</v>
      </c>
      <c r="B538">
        <f ca="1">Set2WSStoreTP</f>
        <v>93</v>
      </c>
      <c r="D538" t="s">
        <v>324</v>
      </c>
      <c r="E538" s="2">
        <f ca="1">Set2QA</f>
        <v>0</v>
      </c>
      <c r="I538" t="s">
        <v>107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581</v>
      </c>
      <c r="N538" s="147">
        <f ca="1">(MIN(MAX((J540-1000), 0), 1000)/1000)*VLOOKUP($A$535, WeaponskillData, MATCH("Att1", WeaponskillDataCols, 0), 0) + (MIN(MAX((J540-2000), 0), 1000)/1000)*VLOOKUP($A$535, WeaponskillData, MATCH("Att2", WeaponskillDataCols, 0), 0)</f>
        <v>1.0840000000000001</v>
      </c>
    </row>
    <row r="539" spans="1:31">
      <c r="A539" t="s">
        <v>325</v>
      </c>
      <c r="B539">
        <f ca="1">TRUNC(10*(1+B538/100))</f>
        <v>19</v>
      </c>
      <c r="D539" t="s">
        <v>455</v>
      </c>
      <c r="E539" s="2">
        <f ca="1">Melee!B65</f>
        <v>0</v>
      </c>
      <c r="I539" s="30" t="s">
        <v>326</v>
      </c>
      <c r="J539" s="3">
        <f ca="1">J538+Set2FTP</f>
        <v>1.1953125</v>
      </c>
      <c r="K539" s="3">
        <f ca="1">K538+Set2FTP</f>
        <v>1.1953125</v>
      </c>
      <c r="L539" s="3">
        <f ca="1">L538+Set2FTP</f>
        <v>1.1953125</v>
      </c>
      <c r="M539" s="6"/>
    </row>
    <row r="540" spans="1:31">
      <c r="A540" t="s">
        <v>52</v>
      </c>
      <c r="B540" s="5">
        <f ca="1">Set2WSHitRate</f>
        <v>0.99</v>
      </c>
      <c r="D540" t="s">
        <v>456</v>
      </c>
      <c r="E540" s="2">
        <f ca="1">Melee!B66</f>
        <v>0</v>
      </c>
      <c r="I540" t="s">
        <v>171</v>
      </c>
      <c r="J540" s="4">
        <f ca="1">MIN(TRUNC(V1064+Set2TPBonus), 3000)</f>
        <v>2042</v>
      </c>
      <c r="K540" t="s">
        <v>327</v>
      </c>
      <c r="L540" s="3">
        <f ca="1">IF(J540&lt;1000, 0, IF(J540&lt;2000, J539+(J540-1000)/1000*(K539-J539), K539+(J540-2000)/1000*(L539-K539)))</f>
        <v>1.1953125</v>
      </c>
    </row>
    <row r="541" spans="1:31">
      <c r="D541" t="s">
        <v>457</v>
      </c>
      <c r="E541" s="2">
        <f ca="1">Melee!B67</f>
        <v>0</v>
      </c>
      <c r="I541" t="s">
        <v>329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330</v>
      </c>
      <c r="Q541" s="4">
        <f>Set2OverTP</f>
        <v>0.6</v>
      </c>
    </row>
    <row r="542" spans="1:31">
      <c r="A542" t="s">
        <v>328</v>
      </c>
      <c r="B542">
        <f>VLOOKUP($A$535, WeaponskillData, MATCH("Extra Hits", WeaponskillDataCols, 0), 0)</f>
        <v>4</v>
      </c>
      <c r="K542" t="s">
        <v>151</v>
      </c>
      <c r="L542" t="s">
        <v>108</v>
      </c>
      <c r="M542" t="s">
        <v>116</v>
      </c>
      <c r="P542" t="s">
        <v>359</v>
      </c>
      <c r="Q542" s="2">
        <f ca="1">Set2ConserveTP</f>
        <v>0</v>
      </c>
    </row>
    <row r="543" spans="1:31">
      <c r="A543" t="s">
        <v>331</v>
      </c>
      <c r="B543">
        <f>IF(VLOOKUP($A$535, WeaponskillData, MATCH("Offhand", WeaponskillDataCols, 0), 0) = 1, IF(ISBLANK(Gear!Z4), 0, 1), 0)</f>
        <v>1</v>
      </c>
      <c r="I543" t="s">
        <v>332</v>
      </c>
      <c r="J543">
        <f ca="1">Data!E112</f>
        <v>165</v>
      </c>
      <c r="K543">
        <f ca="1">FLOOR((J543+J537)*L540, 1)</f>
        <v>616</v>
      </c>
      <c r="L543" s="1">
        <f>IF(J541=0, 0, MAX(MIN($J$541+$K$541+Data!E237, 100%), 1%))</f>
        <v>0</v>
      </c>
      <c r="M543" s="2">
        <f ca="1">Data!E240</f>
        <v>1</v>
      </c>
      <c r="P543" t="s">
        <v>358</v>
      </c>
      <c r="Q543">
        <f ca="1">Set2SaveTP</f>
        <v>100</v>
      </c>
    </row>
    <row r="544" spans="1:31">
      <c r="I544" t="s">
        <v>150</v>
      </c>
      <c r="J544">
        <f ca="1">Data!E112</f>
        <v>165</v>
      </c>
      <c r="K544">
        <f ca="1">IF(J544&gt;0, FLOOR((J544+$J$537) * IF(VLOOKUP($A$535, WeaponskillData, MATCH("FTPCarry", WeaponskillDataCols, 0), 0)=1, $L$540, 1), 1), 0)</f>
        <v>616</v>
      </c>
      <c r="L544" s="1">
        <f>IF(J541=0, 0, MAX(MIN($J$541+$K$541+Data!E237, 100%), 1%))</f>
        <v>0</v>
      </c>
      <c r="M544" s="2">
        <f ca="1">Data!E240</f>
        <v>1</v>
      </c>
      <c r="P544" t="s">
        <v>371</v>
      </c>
      <c r="Q544">
        <f>Set2MinTP</f>
        <v>1000</v>
      </c>
    </row>
    <row r="545" spans="1:24">
      <c r="I545" t="s">
        <v>333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MAX(MIN($J$541+$K$541+Data!E237, 100%), 1%))</f>
        <v>0</v>
      </c>
      <c r="P545" t="s">
        <v>407</v>
      </c>
      <c r="Q545" s="89">
        <f ca="1">Set2WSDmg</f>
        <v>1</v>
      </c>
      <c r="V545" s="35"/>
    </row>
    <row r="546" spans="1:24">
      <c r="I546" t="s">
        <v>149</v>
      </c>
      <c r="J546">
        <f ca="1">Data!E173</f>
        <v>141</v>
      </c>
      <c r="K546">
        <f ca="1">IF(J546&gt;0, FLOOR((J546+$J$537) * IF(VLOOKUP($A$535, WeaponskillData, MATCH("FTPCarry", WeaponskillDataCols, 0), 0)=1, $L$540, 1), 1), 0)</f>
        <v>588</v>
      </c>
      <c r="L546" s="1">
        <f>IF(J541=0, 0, MAX(MIN($J$541+$K$541+Data!E238, 100%), 1%))</f>
        <v>0</v>
      </c>
    </row>
    <row r="547" spans="1:24">
      <c r="I547" t="s">
        <v>37</v>
      </c>
      <c r="J547" s="6">
        <f ca="1">Data!E74</f>
        <v>3.25</v>
      </c>
      <c r="K547" s="31" t="s">
        <v>579</v>
      </c>
      <c r="L547" s="6">
        <f ca="1">Data!E90</f>
        <v>3.2193749999999999</v>
      </c>
      <c r="M547" s="6">
        <f ca="1">Data!E106</f>
        <v>4.2393749999999999</v>
      </c>
    </row>
    <row r="548" spans="1:24">
      <c r="I548" t="s">
        <v>125</v>
      </c>
      <c r="J548" s="7">
        <f ca="1">Set2Regain</f>
        <v>0</v>
      </c>
      <c r="K548" s="31" t="s">
        <v>580</v>
      </c>
      <c r="L548" s="6">
        <f ca="1">Data!E151</f>
        <v>3.2193749999999999</v>
      </c>
      <c r="M548" s="6">
        <f ca="1">Data!E167</f>
        <v>4.2393749999999999</v>
      </c>
    </row>
    <row r="550" spans="1:24">
      <c r="A550" t="s">
        <v>378</v>
      </c>
      <c r="B550" t="s">
        <v>379</v>
      </c>
      <c r="C550" t="s">
        <v>44</v>
      </c>
      <c r="D550" s="30" t="s">
        <v>335</v>
      </c>
      <c r="E550" t="s">
        <v>334</v>
      </c>
      <c r="F550" t="s">
        <v>380</v>
      </c>
      <c r="G550" t="s">
        <v>336</v>
      </c>
      <c r="H550" t="s">
        <v>337</v>
      </c>
      <c r="I550" t="s">
        <v>338</v>
      </c>
      <c r="J550" t="s">
        <v>339</v>
      </c>
      <c r="K550" s="2" t="s">
        <v>340</v>
      </c>
      <c r="L550" t="s">
        <v>341</v>
      </c>
      <c r="M550" t="s">
        <v>372</v>
      </c>
      <c r="N550" s="44" t="s">
        <v>373</v>
      </c>
      <c r="O550" s="19" t="s">
        <v>342</v>
      </c>
      <c r="P550" s="19" t="s">
        <v>343</v>
      </c>
      <c r="Q550" s="19" t="s">
        <v>344</v>
      </c>
      <c r="R550" s="19" t="s">
        <v>345</v>
      </c>
      <c r="S550" s="19" t="s">
        <v>346</v>
      </c>
      <c r="T550" s="24" t="s">
        <v>347</v>
      </c>
      <c r="U550" s="24" t="s">
        <v>170</v>
      </c>
      <c r="V550" s="24" t="s">
        <v>348</v>
      </c>
      <c r="W550" s="24" t="s">
        <v>63</v>
      </c>
      <c r="X550" s="24" t="s">
        <v>349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 t="shared" ref="E551:E614" si="154">MIN(A551, C551-(1+$B$543+$B$542))</f>
        <v>0</v>
      </c>
      <c r="F551" s="100">
        <f t="shared" ref="F551:F614" ca="1" si="155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0.33895684000000004</v>
      </c>
      <c r="G551">
        <v>1</v>
      </c>
      <c r="H551">
        <v>1</v>
      </c>
      <c r="I551">
        <v>7</v>
      </c>
      <c r="J551" s="1">
        <f t="shared" ref="J551:J614" ca="1" si="156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7">F551*J551</f>
        <v>0</v>
      </c>
      <c r="L551" s="13">
        <f t="shared" ref="L551:L614" ca="1" si="158">MAX((G551+H551)*Set2WSTP + I551*$B$539, Set2SaveTP)</f>
        <v>337</v>
      </c>
      <c r="M551" s="7">
        <f t="shared" ref="M551:M614" ca="1" si="159">MAX(Set2MinTP-(L551+Set2Regain), 0)</f>
        <v>663</v>
      </c>
      <c r="N551" s="44">
        <f t="shared" ref="N551:N614" ca="1" si="160">CEILING(M551/Set2MeleeTP, 1)</f>
        <v>6</v>
      </c>
      <c r="O551" s="94">
        <f t="shared" ref="O551:O614" ca="1" si="161">VLOOKUP(N551, AvgRoundsSet2, 2)</f>
        <v>1.9922775034029279</v>
      </c>
      <c r="P551" s="94">
        <f t="shared" ref="P551:P614" ca="1" si="162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19.922775034029279</v>
      </c>
      <c r="Q551" s="94">
        <f t="shared" ref="Q551:Q614" ca="1" si="163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19.922775034029279</v>
      </c>
      <c r="R551" s="94">
        <f t="shared" ref="R551:R614" ca="1" si="164">(P551+Q551)/20</f>
        <v>1.9922775034029279</v>
      </c>
      <c r="S551" s="94">
        <f t="shared" ref="S551:S614" ca="1" si="165">R551*Set2ConserveTP + O551*(1-Set2ConserveTP)</f>
        <v>1.9922775034029279</v>
      </c>
      <c r="T551" s="4">
        <f t="shared" ref="T551:T614" ca="1" si="166">K551*S551</f>
        <v>0</v>
      </c>
      <c r="U551" s="46">
        <f t="shared" ref="U551:U614" ca="1" si="167">MIN(L551+(S551+Set2OverTP)*AvgHitsPerRound2*Set2MeleeTP + Set2Regain + 10.5*Set2ConserveTP, 3000)</f>
        <v>1472.3253840141317</v>
      </c>
      <c r="V551" s="4">
        <f t="shared" ref="V551:V614" ca="1" si="168">U551*K551</f>
        <v>0</v>
      </c>
      <c r="W551" s="13">
        <f t="shared" ref="W551:W614" ca="1" si="169">G551*$K$543*((1-$L$543)*$L$547 + $L$543*$M$547*$M$543)*Set2WSDmg + H551*$K$546*((1-$L$546)*$L$548 + $L$546*$M$548*$M$544) + I551*$K$544*((1-$L$544)*$L$547 + $L$544*$M$547*$M$544) + E551*$K$545*$L$545*$M$543</f>
        <v>17758.072499999998</v>
      </c>
      <c r="X551" s="4">
        <f t="shared" ref="X551:X614" ca="1" si="170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si="154"/>
        <v>0</v>
      </c>
      <c r="F552" s="100">
        <f t="shared" ca="1" si="155"/>
        <v>0.33895684000000004</v>
      </c>
      <c r="G552">
        <v>1</v>
      </c>
      <c r="H552">
        <v>1</v>
      </c>
      <c r="I552">
        <v>6</v>
      </c>
      <c r="J552" s="1">
        <f t="shared" ca="1" si="156"/>
        <v>0</v>
      </c>
      <c r="K552" s="1">
        <f t="shared" ca="1" si="157"/>
        <v>0</v>
      </c>
      <c r="L552" s="13">
        <f t="shared" ca="1" si="158"/>
        <v>318</v>
      </c>
      <c r="M552" s="7">
        <f t="shared" ca="1" si="159"/>
        <v>682</v>
      </c>
      <c r="N552" s="44">
        <f t="shared" ca="1" si="160"/>
        <v>7</v>
      </c>
      <c r="O552" s="94">
        <f t="shared" ca="1" si="161"/>
        <v>2.2444549919727916</v>
      </c>
      <c r="P552" s="94">
        <f t="shared" ca="1" si="162"/>
        <v>20.679307499738869</v>
      </c>
      <c r="Q552" s="94">
        <f t="shared" ca="1" si="163"/>
        <v>19.922775034029279</v>
      </c>
      <c r="R552" s="94">
        <f t="shared" ca="1" si="164"/>
        <v>2.0301041266884075</v>
      </c>
      <c r="S552" s="94">
        <f t="shared" ca="1" si="165"/>
        <v>2.2444549919727916</v>
      </c>
      <c r="T552" s="4">
        <f t="shared" ca="1" si="166"/>
        <v>0</v>
      </c>
      <c r="U552" s="46">
        <f t="shared" ca="1" si="167"/>
        <v>1563.7701584159711</v>
      </c>
      <c r="V552" s="4">
        <f t="shared" ca="1" si="168"/>
        <v>0</v>
      </c>
      <c r="W552" s="13">
        <f t="shared" ca="1" si="169"/>
        <v>15774.9375</v>
      </c>
      <c r="X552" s="4">
        <f t="shared" ca="1" si="170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54"/>
        <v>0</v>
      </c>
      <c r="F553" s="100">
        <f t="shared" ca="1" si="155"/>
        <v>0.33895684000000004</v>
      </c>
      <c r="G553">
        <v>1</v>
      </c>
      <c r="H553">
        <v>1</v>
      </c>
      <c r="I553">
        <v>5</v>
      </c>
      <c r="J553" s="1">
        <f t="shared" ca="1" si="156"/>
        <v>0</v>
      </c>
      <c r="K553" s="1">
        <f t="shared" ca="1" si="157"/>
        <v>0</v>
      </c>
      <c r="L553" s="13">
        <f t="shared" ca="1" si="158"/>
        <v>299</v>
      </c>
      <c r="M553" s="7">
        <f t="shared" ca="1" si="159"/>
        <v>701</v>
      </c>
      <c r="N553" s="44">
        <f t="shared" ca="1" si="160"/>
        <v>7</v>
      </c>
      <c r="O553" s="94">
        <f t="shared" ca="1" si="161"/>
        <v>2.2444549919727916</v>
      </c>
      <c r="P553" s="94">
        <f t="shared" ca="1" si="162"/>
        <v>22.444549919727915</v>
      </c>
      <c r="Q553" s="94">
        <f t="shared" ca="1" si="163"/>
        <v>22.444549919727915</v>
      </c>
      <c r="R553" s="94">
        <f t="shared" ca="1" si="164"/>
        <v>2.2444549919727916</v>
      </c>
      <c r="S553" s="94">
        <f t="shared" ca="1" si="165"/>
        <v>2.2444549919727916</v>
      </c>
      <c r="T553" s="4">
        <f t="shared" ca="1" si="166"/>
        <v>0</v>
      </c>
      <c r="U553" s="46">
        <f t="shared" ca="1" si="167"/>
        <v>1544.7701584159711</v>
      </c>
      <c r="V553" s="4">
        <f t="shared" ca="1" si="168"/>
        <v>0</v>
      </c>
      <c r="W553" s="13">
        <f t="shared" ca="1" si="169"/>
        <v>13791.802499999998</v>
      </c>
      <c r="X553" s="4">
        <f t="shared" ca="1" si="170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54"/>
        <v>0</v>
      </c>
      <c r="F554" s="100">
        <f t="shared" ca="1" si="155"/>
        <v>0.33895684000000004</v>
      </c>
      <c r="G554">
        <v>1</v>
      </c>
      <c r="H554">
        <v>1</v>
      </c>
      <c r="I554">
        <v>4</v>
      </c>
      <c r="J554" s="1">
        <f t="shared" ca="1" si="156"/>
        <v>0.90344054740499991</v>
      </c>
      <c r="K554" s="1">
        <f t="shared" ca="1" si="157"/>
        <v>0.30622735307626903</v>
      </c>
      <c r="L554" s="13">
        <f t="shared" ca="1" si="158"/>
        <v>280</v>
      </c>
      <c r="M554" s="7">
        <f t="shared" ca="1" si="159"/>
        <v>720</v>
      </c>
      <c r="N554" s="44">
        <f t="shared" ca="1" si="160"/>
        <v>7</v>
      </c>
      <c r="O554" s="94">
        <f t="shared" ca="1" si="161"/>
        <v>2.2444549919727916</v>
      </c>
      <c r="P554" s="94">
        <f t="shared" ca="1" si="162"/>
        <v>22.444549919727915</v>
      </c>
      <c r="Q554" s="94">
        <f t="shared" ca="1" si="163"/>
        <v>22.444549919727915</v>
      </c>
      <c r="R554" s="94">
        <f t="shared" ca="1" si="164"/>
        <v>2.2444549919727916</v>
      </c>
      <c r="S554" s="94">
        <f t="shared" ca="1" si="165"/>
        <v>2.2444549919727916</v>
      </c>
      <c r="T554" s="4">
        <f t="shared" ca="1" si="166"/>
        <v>0.68731351129064666</v>
      </c>
      <c r="U554" s="46">
        <f t="shared" ca="1" si="167"/>
        <v>1525.7701584159711</v>
      </c>
      <c r="V554" s="4">
        <f t="shared" ca="1" si="168"/>
        <v>467.2325570144825</v>
      </c>
      <c r="W554" s="13">
        <f t="shared" ca="1" si="169"/>
        <v>11808.6675</v>
      </c>
      <c r="X554" s="4">
        <f t="shared" ca="1" si="170"/>
        <v>3616.1369918827631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54"/>
        <v>0</v>
      </c>
      <c r="F555" s="100">
        <f t="shared" ca="1" si="155"/>
        <v>0.33895684000000004</v>
      </c>
      <c r="G555">
        <v>1</v>
      </c>
      <c r="H555">
        <v>1</v>
      </c>
      <c r="I555">
        <v>3</v>
      </c>
      <c r="J555" s="1">
        <f t="shared" ca="1" si="156"/>
        <v>3.650264838000003E-2</v>
      </c>
      <c r="K555" s="1">
        <f t="shared" ca="1" si="157"/>
        <v>1.2372822346515931E-2</v>
      </c>
      <c r="L555" s="13">
        <f t="shared" ca="1" si="158"/>
        <v>261</v>
      </c>
      <c r="M555" s="7">
        <f t="shared" ca="1" si="159"/>
        <v>739</v>
      </c>
      <c r="N555" s="44">
        <f t="shared" ca="1" si="160"/>
        <v>7</v>
      </c>
      <c r="O555" s="94">
        <f t="shared" ca="1" si="161"/>
        <v>2.2444549919727916</v>
      </c>
      <c r="P555" s="94">
        <f t="shared" ca="1" si="162"/>
        <v>22.444549919727915</v>
      </c>
      <c r="Q555" s="94">
        <f t="shared" ca="1" si="163"/>
        <v>22.444549919727915</v>
      </c>
      <c r="R555" s="94">
        <f t="shared" ca="1" si="164"/>
        <v>2.2444549919727916</v>
      </c>
      <c r="S555" s="94">
        <f t="shared" ca="1" si="165"/>
        <v>2.2444549919727916</v>
      </c>
      <c r="T555" s="4">
        <f t="shared" ca="1" si="166"/>
        <v>2.7770242880430191E-2</v>
      </c>
      <c r="U555" s="46">
        <f t="shared" ca="1" si="167"/>
        <v>1506.7701584159711</v>
      </c>
      <c r="V555" s="4">
        <f t="shared" ca="1" si="168"/>
        <v>18.642999487112476</v>
      </c>
      <c r="W555" s="13">
        <f t="shared" ca="1" si="169"/>
        <v>9825.5324999999993</v>
      </c>
      <c r="X555" s="4">
        <f t="shared" ca="1" si="170"/>
        <v>121.56956808241853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54"/>
        <v>0</v>
      </c>
      <c r="F556" s="100">
        <f t="shared" ca="1" si="155"/>
        <v>0.33895684000000004</v>
      </c>
      <c r="G556">
        <v>1</v>
      </c>
      <c r="H556">
        <v>1</v>
      </c>
      <c r="I556">
        <v>2</v>
      </c>
      <c r="J556" s="1">
        <f t="shared" ca="1" si="156"/>
        <v>5.5307043000000101E-4</v>
      </c>
      <c r="K556" s="1">
        <f t="shared" ca="1" si="157"/>
        <v>1.8746700525024157E-4</v>
      </c>
      <c r="L556" s="13">
        <f t="shared" ca="1" si="158"/>
        <v>242</v>
      </c>
      <c r="M556" s="7">
        <f t="shared" ca="1" si="159"/>
        <v>758</v>
      </c>
      <c r="N556" s="44">
        <f t="shared" ca="1" si="160"/>
        <v>7</v>
      </c>
      <c r="O556" s="94">
        <f t="shared" ca="1" si="161"/>
        <v>2.2444549919727916</v>
      </c>
      <c r="P556" s="94">
        <f t="shared" ca="1" si="162"/>
        <v>22.444549919727915</v>
      </c>
      <c r="Q556" s="94">
        <f t="shared" ca="1" si="163"/>
        <v>22.444549919727915</v>
      </c>
      <c r="R556" s="94">
        <f t="shared" ca="1" si="164"/>
        <v>2.2444549919727916</v>
      </c>
      <c r="S556" s="94">
        <f t="shared" ca="1" si="165"/>
        <v>2.2444549919727916</v>
      </c>
      <c r="T556" s="4">
        <f t="shared" ca="1" si="166"/>
        <v>4.2076125576409422E-4</v>
      </c>
      <c r="U556" s="46">
        <f t="shared" ca="1" si="167"/>
        <v>1487.7701584159711</v>
      </c>
      <c r="V556" s="4">
        <f t="shared" ca="1" si="168"/>
        <v>0.27890781609891957</v>
      </c>
      <c r="W556" s="13">
        <f t="shared" ca="1" si="169"/>
        <v>7842.3974999999991</v>
      </c>
      <c r="X556" s="4">
        <f t="shared" ca="1" si="170"/>
        <v>1.4701907733069812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54"/>
        <v>0</v>
      </c>
      <c r="F557" s="100">
        <f t="shared" ca="1" si="155"/>
        <v>0.33895684000000004</v>
      </c>
      <c r="G557">
        <v>1</v>
      </c>
      <c r="H557">
        <v>1</v>
      </c>
      <c r="I557">
        <v>1</v>
      </c>
      <c r="J557" s="1">
        <f t="shared" ca="1" si="156"/>
        <v>3.7243800000000099E-6</v>
      </c>
      <c r="K557" s="1">
        <f t="shared" ca="1" si="157"/>
        <v>1.2624040757592035E-6</v>
      </c>
      <c r="L557" s="13">
        <f t="shared" ca="1" si="158"/>
        <v>223</v>
      </c>
      <c r="M557" s="7">
        <f t="shared" ca="1" si="159"/>
        <v>777</v>
      </c>
      <c r="N557" s="44">
        <f t="shared" ca="1" si="160"/>
        <v>7</v>
      </c>
      <c r="O557" s="94">
        <f t="shared" ca="1" si="161"/>
        <v>2.2444549919727916</v>
      </c>
      <c r="P557" s="94">
        <f t="shared" ca="1" si="162"/>
        <v>22.444549919727915</v>
      </c>
      <c r="Q557" s="94">
        <f t="shared" ca="1" si="163"/>
        <v>22.444549919727915</v>
      </c>
      <c r="R557" s="94">
        <f t="shared" ca="1" si="164"/>
        <v>2.2444549919727916</v>
      </c>
      <c r="S557" s="94">
        <f t="shared" ca="1" si="165"/>
        <v>2.2444549919727916</v>
      </c>
      <c r="T557" s="4">
        <f t="shared" ca="1" si="166"/>
        <v>2.8334091297245425E-6</v>
      </c>
      <c r="U557" s="46">
        <f t="shared" ca="1" si="167"/>
        <v>1468.7701584159711</v>
      </c>
      <c r="V557" s="4">
        <f t="shared" ca="1" si="168"/>
        <v>1.854181434337813E-3</v>
      </c>
      <c r="W557" s="13">
        <f t="shared" ca="1" si="169"/>
        <v>5859.2624999999998</v>
      </c>
      <c r="X557" s="4">
        <f t="shared" ca="1" si="170"/>
        <v>7.3967568609430599E-3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54"/>
        <v>0</v>
      </c>
      <c r="F558" s="100">
        <f t="shared" ca="1" si="155"/>
        <v>0.33895684000000004</v>
      </c>
      <c r="G558">
        <v>1</v>
      </c>
      <c r="H558">
        <v>1</v>
      </c>
      <c r="I558">
        <v>0</v>
      </c>
      <c r="J558" s="1">
        <f t="shared" ca="1" si="156"/>
        <v>9.4050000000000352E-9</v>
      </c>
      <c r="K558" s="1">
        <f t="shared" ca="1" si="157"/>
        <v>3.1878890802000121E-9</v>
      </c>
      <c r="L558" s="13">
        <f t="shared" ca="1" si="158"/>
        <v>204</v>
      </c>
      <c r="M558" s="7">
        <f t="shared" ca="1" si="159"/>
        <v>796</v>
      </c>
      <c r="N558" s="44">
        <f t="shared" ca="1" si="160"/>
        <v>8</v>
      </c>
      <c r="O558" s="94">
        <f t="shared" ca="1" si="161"/>
        <v>2.4908891993879614</v>
      </c>
      <c r="P558" s="94">
        <f t="shared" ca="1" si="162"/>
        <v>23.430286749388593</v>
      </c>
      <c r="Q558" s="94">
        <f t="shared" ca="1" si="163"/>
        <v>22.444549919727915</v>
      </c>
      <c r="R558" s="94">
        <f t="shared" ca="1" si="164"/>
        <v>2.2937418334558251</v>
      </c>
      <c r="S558" s="94">
        <f t="shared" ca="1" si="165"/>
        <v>2.4908891993879614</v>
      </c>
      <c r="T558" s="4">
        <f t="shared" ca="1" si="166"/>
        <v>7.9406784787170331E-9</v>
      </c>
      <c r="U558" s="46">
        <f t="shared" ca="1" si="167"/>
        <v>1557.6995798612329</v>
      </c>
      <c r="V558" s="4">
        <f t="shared" ca="1" si="168"/>
        <v>4.9657734808717709E-6</v>
      </c>
      <c r="W558" s="13">
        <f t="shared" ca="1" si="169"/>
        <v>3876.1274999999996</v>
      </c>
      <c r="X558" s="4">
        <f t="shared" ca="1" si="170"/>
        <v>1.2356664530712972E-5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54"/>
        <v>0</v>
      </c>
      <c r="F559" s="100">
        <f t="shared" ca="1" si="155"/>
        <v>0.33895684000000004</v>
      </c>
      <c r="G559">
        <v>1</v>
      </c>
      <c r="H559">
        <v>0</v>
      </c>
      <c r="I559">
        <v>7</v>
      </c>
      <c r="J559" s="1">
        <f t="shared" ca="1" si="156"/>
        <v>0</v>
      </c>
      <c r="K559" s="1">
        <f t="shared" ca="1" si="157"/>
        <v>0</v>
      </c>
      <c r="L559" s="13">
        <f t="shared" ca="1" si="158"/>
        <v>235</v>
      </c>
      <c r="M559" s="7">
        <f t="shared" ca="1" si="159"/>
        <v>765</v>
      </c>
      <c r="N559" s="44">
        <f t="shared" ca="1" si="160"/>
        <v>7</v>
      </c>
      <c r="O559" s="94">
        <f t="shared" ca="1" si="161"/>
        <v>2.2444549919727916</v>
      </c>
      <c r="P559" s="94">
        <f t="shared" ca="1" si="162"/>
        <v>22.444549919727915</v>
      </c>
      <c r="Q559" s="94">
        <f t="shared" ca="1" si="163"/>
        <v>22.444549919727915</v>
      </c>
      <c r="R559" s="94">
        <f t="shared" ca="1" si="164"/>
        <v>2.2444549919727916</v>
      </c>
      <c r="S559" s="94">
        <f t="shared" ca="1" si="165"/>
        <v>2.2444549919727916</v>
      </c>
      <c r="T559" s="4">
        <f t="shared" ca="1" si="166"/>
        <v>0</v>
      </c>
      <c r="U559" s="46">
        <f t="shared" ca="1" si="167"/>
        <v>1480.7701584159711</v>
      </c>
      <c r="V559" s="4">
        <f t="shared" ca="1" si="168"/>
        <v>0</v>
      </c>
      <c r="W559" s="13">
        <f t="shared" ca="1" si="169"/>
        <v>15865.08</v>
      </c>
      <c r="X559" s="4">
        <f t="shared" ca="1" si="170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54"/>
        <v>0</v>
      </c>
      <c r="F560" s="100">
        <f t="shared" ca="1" si="155"/>
        <v>0.33895684000000004</v>
      </c>
      <c r="G560">
        <v>1</v>
      </c>
      <c r="H560">
        <v>0</v>
      </c>
      <c r="I560">
        <v>6</v>
      </c>
      <c r="J560" s="1">
        <f t="shared" ca="1" si="156"/>
        <v>0</v>
      </c>
      <c r="K560" s="1">
        <f t="shared" ca="1" si="157"/>
        <v>0</v>
      </c>
      <c r="L560" s="13">
        <f t="shared" ca="1" si="158"/>
        <v>216</v>
      </c>
      <c r="M560" s="7">
        <f t="shared" ca="1" si="159"/>
        <v>784</v>
      </c>
      <c r="N560" s="44">
        <f t="shared" ca="1" si="160"/>
        <v>7</v>
      </c>
      <c r="O560" s="94">
        <f t="shared" ca="1" si="161"/>
        <v>2.2444549919727916</v>
      </c>
      <c r="P560" s="94">
        <f t="shared" ca="1" si="162"/>
        <v>22.444549919727915</v>
      </c>
      <c r="Q560" s="94">
        <f t="shared" ca="1" si="163"/>
        <v>22.444549919727915</v>
      </c>
      <c r="R560" s="94">
        <f t="shared" ca="1" si="164"/>
        <v>2.2444549919727916</v>
      </c>
      <c r="S560" s="94">
        <f t="shared" ca="1" si="165"/>
        <v>2.2444549919727916</v>
      </c>
      <c r="T560" s="4">
        <f t="shared" ca="1" si="166"/>
        <v>0</v>
      </c>
      <c r="U560" s="46">
        <f t="shared" ca="1" si="167"/>
        <v>1461.7701584159711</v>
      </c>
      <c r="V560" s="4">
        <f t="shared" ca="1" si="168"/>
        <v>0</v>
      </c>
      <c r="W560" s="13">
        <f t="shared" ca="1" si="169"/>
        <v>13881.945</v>
      </c>
      <c r="X560" s="4">
        <f t="shared" ca="1" si="170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54"/>
        <v>0</v>
      </c>
      <c r="F561" s="100">
        <f t="shared" ca="1" si="155"/>
        <v>0.33895684000000004</v>
      </c>
      <c r="G561">
        <v>1</v>
      </c>
      <c r="H561">
        <v>0</v>
      </c>
      <c r="I561">
        <v>5</v>
      </c>
      <c r="J561" s="1">
        <f t="shared" ca="1" si="156"/>
        <v>0</v>
      </c>
      <c r="K561" s="1">
        <f t="shared" ca="1" si="157"/>
        <v>0</v>
      </c>
      <c r="L561" s="13">
        <f t="shared" ca="1" si="158"/>
        <v>197</v>
      </c>
      <c r="M561" s="7">
        <f t="shared" ca="1" si="159"/>
        <v>803</v>
      </c>
      <c r="N561" s="44">
        <f t="shared" ca="1" si="160"/>
        <v>8</v>
      </c>
      <c r="O561" s="94">
        <f t="shared" ca="1" si="161"/>
        <v>2.4908891993879614</v>
      </c>
      <c r="P561" s="94">
        <f t="shared" ca="1" si="162"/>
        <v>24.908891993879614</v>
      </c>
      <c r="Q561" s="94">
        <f t="shared" ca="1" si="163"/>
        <v>22.690984127143082</v>
      </c>
      <c r="R561" s="94">
        <f t="shared" ca="1" si="164"/>
        <v>2.379993806051135</v>
      </c>
      <c r="S561" s="94">
        <f t="shared" ca="1" si="165"/>
        <v>2.4908891993879614</v>
      </c>
      <c r="T561" s="4">
        <f t="shared" ca="1" si="166"/>
        <v>0</v>
      </c>
      <c r="U561" s="46">
        <f t="shared" ca="1" si="167"/>
        <v>1550.6995798612329</v>
      </c>
      <c r="V561" s="4">
        <f t="shared" ca="1" si="168"/>
        <v>0</v>
      </c>
      <c r="W561" s="13">
        <f t="shared" ca="1" si="169"/>
        <v>11898.81</v>
      </c>
      <c r="X561" s="4">
        <f t="shared" ca="1" si="170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54"/>
        <v>0</v>
      </c>
      <c r="F562" s="100">
        <f t="shared" ca="1" si="155"/>
        <v>0.33895684000000004</v>
      </c>
      <c r="G562">
        <v>1</v>
      </c>
      <c r="H562">
        <v>0</v>
      </c>
      <c r="I562">
        <v>4</v>
      </c>
      <c r="J562" s="1">
        <f t="shared" ca="1" si="156"/>
        <v>9.1256620950000075E-3</v>
      </c>
      <c r="K562" s="1">
        <f t="shared" ca="1" si="157"/>
        <v>3.0932055866289827E-3</v>
      </c>
      <c r="L562" s="13">
        <f t="shared" ca="1" si="158"/>
        <v>178</v>
      </c>
      <c r="M562" s="7">
        <f t="shared" ca="1" si="159"/>
        <v>822</v>
      </c>
      <c r="N562" s="44">
        <f t="shared" ca="1" si="160"/>
        <v>8</v>
      </c>
      <c r="O562" s="94">
        <f t="shared" ca="1" si="161"/>
        <v>2.4908891993879614</v>
      </c>
      <c r="P562" s="94">
        <f t="shared" ca="1" si="162"/>
        <v>24.908891993879614</v>
      </c>
      <c r="Q562" s="94">
        <f t="shared" ca="1" si="163"/>
        <v>24.908891993879614</v>
      </c>
      <c r="R562" s="94">
        <f t="shared" ca="1" si="164"/>
        <v>2.4908891993879614</v>
      </c>
      <c r="S562" s="94">
        <f t="shared" ca="1" si="165"/>
        <v>2.4908891993879614</v>
      </c>
      <c r="T562" s="4">
        <f t="shared" ca="1" si="166"/>
        <v>7.7048323872206358E-3</v>
      </c>
      <c r="U562" s="46">
        <f t="shared" ca="1" si="167"/>
        <v>1531.6995798612329</v>
      </c>
      <c r="V562" s="4">
        <f t="shared" ca="1" si="168"/>
        <v>4.7378616974640311</v>
      </c>
      <c r="W562" s="13">
        <f t="shared" ca="1" si="169"/>
        <v>9915.6749999999993</v>
      </c>
      <c r="X562" s="4">
        <f t="shared" ca="1" si="170"/>
        <v>30.671221305197335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54"/>
        <v>0</v>
      </c>
      <c r="F563" s="100">
        <f t="shared" ca="1" si="155"/>
        <v>0.33895684000000004</v>
      </c>
      <c r="G563">
        <v>1</v>
      </c>
      <c r="H563">
        <v>0</v>
      </c>
      <c r="I563">
        <v>3</v>
      </c>
      <c r="J563" s="1">
        <f t="shared" ca="1" si="156"/>
        <v>3.6871362000000067E-4</v>
      </c>
      <c r="K563" s="1">
        <f t="shared" ca="1" si="157"/>
        <v>1.2497800350016105E-4</v>
      </c>
      <c r="L563" s="13">
        <f t="shared" ca="1" si="158"/>
        <v>159</v>
      </c>
      <c r="M563" s="7">
        <f t="shared" ca="1" si="159"/>
        <v>841</v>
      </c>
      <c r="N563" s="44">
        <f t="shared" ca="1" si="160"/>
        <v>8</v>
      </c>
      <c r="O563" s="94">
        <f t="shared" ca="1" si="161"/>
        <v>2.4908891993879614</v>
      </c>
      <c r="P563" s="94">
        <f t="shared" ca="1" si="162"/>
        <v>24.908891993879614</v>
      </c>
      <c r="Q563" s="94">
        <f t="shared" ca="1" si="163"/>
        <v>24.908891993879614</v>
      </c>
      <c r="R563" s="94">
        <f t="shared" ca="1" si="164"/>
        <v>2.4908891993879614</v>
      </c>
      <c r="S563" s="94">
        <f t="shared" ca="1" si="165"/>
        <v>2.4908891993879614</v>
      </c>
      <c r="T563" s="4">
        <f t="shared" ca="1" si="166"/>
        <v>3.1130635907962201E-4</v>
      </c>
      <c r="U563" s="46">
        <f t="shared" ca="1" si="167"/>
        <v>1512.6995798612329</v>
      </c>
      <c r="V563" s="4">
        <f t="shared" ca="1" si="168"/>
        <v>0.18905417338658931</v>
      </c>
      <c r="W563" s="13">
        <f t="shared" ca="1" si="169"/>
        <v>7932.54</v>
      </c>
      <c r="X563" s="4">
        <f t="shared" ca="1" si="170"/>
        <v>0.9913930118851676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54"/>
        <v>0</v>
      </c>
      <c r="F564" s="100">
        <f t="shared" ca="1" si="155"/>
        <v>0.33895684000000004</v>
      </c>
      <c r="G564">
        <v>1</v>
      </c>
      <c r="H564">
        <v>0</v>
      </c>
      <c r="I564">
        <v>2</v>
      </c>
      <c r="J564" s="1">
        <f t="shared" ca="1" si="156"/>
        <v>5.5865700000000149E-6</v>
      </c>
      <c r="K564" s="1">
        <f t="shared" ca="1" si="157"/>
        <v>1.8936061136388052E-6</v>
      </c>
      <c r="L564" s="13">
        <f t="shared" ca="1" si="158"/>
        <v>140</v>
      </c>
      <c r="M564" s="7">
        <f t="shared" ca="1" si="159"/>
        <v>860</v>
      </c>
      <c r="N564" s="44">
        <f t="shared" ca="1" si="160"/>
        <v>8</v>
      </c>
      <c r="O564" s="94">
        <f t="shared" ca="1" si="161"/>
        <v>2.4908891993879614</v>
      </c>
      <c r="P564" s="94">
        <f t="shared" ca="1" si="162"/>
        <v>24.908891993879614</v>
      </c>
      <c r="Q564" s="94">
        <f t="shared" ca="1" si="163"/>
        <v>24.908891993879614</v>
      </c>
      <c r="R564" s="94">
        <f t="shared" ca="1" si="164"/>
        <v>2.4908891993879614</v>
      </c>
      <c r="S564" s="94">
        <f t="shared" ca="1" si="165"/>
        <v>2.4908891993879614</v>
      </c>
      <c r="T564" s="4">
        <f t="shared" ca="1" si="166"/>
        <v>4.7167630163579121E-6</v>
      </c>
      <c r="U564" s="46">
        <f t="shared" ca="1" si="167"/>
        <v>1493.6995798612329</v>
      </c>
      <c r="V564" s="4">
        <f t="shared" ca="1" si="168"/>
        <v>2.8284786563649452E-3</v>
      </c>
      <c r="W564" s="13">
        <f t="shared" ca="1" si="169"/>
        <v>5949.4049999999997</v>
      </c>
      <c r="X564" s="4">
        <f t="shared" ca="1" si="170"/>
        <v>1.1265829680513276E-2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54"/>
        <v>0</v>
      </c>
      <c r="F565" s="100">
        <f t="shared" ca="1" si="155"/>
        <v>0.33895684000000004</v>
      </c>
      <c r="G565">
        <v>1</v>
      </c>
      <c r="H565">
        <v>0</v>
      </c>
      <c r="I565">
        <v>1</v>
      </c>
      <c r="J565" s="1">
        <f t="shared" ca="1" si="156"/>
        <v>3.7620000000000134E-8</v>
      </c>
      <c r="K565" s="1">
        <f t="shared" ca="1" si="157"/>
        <v>1.2751556320800047E-8</v>
      </c>
      <c r="L565" s="13">
        <f t="shared" ca="1" si="158"/>
        <v>121</v>
      </c>
      <c r="M565" s="7">
        <f t="shared" ca="1" si="159"/>
        <v>879</v>
      </c>
      <c r="N565" s="44">
        <f t="shared" ca="1" si="160"/>
        <v>8</v>
      </c>
      <c r="O565" s="94">
        <f t="shared" ca="1" si="161"/>
        <v>2.4908891993879614</v>
      </c>
      <c r="P565" s="94">
        <f t="shared" ca="1" si="162"/>
        <v>24.908891993879614</v>
      </c>
      <c r="Q565" s="94">
        <f t="shared" ca="1" si="163"/>
        <v>24.908891993879614</v>
      </c>
      <c r="R565" s="94">
        <f t="shared" ca="1" si="164"/>
        <v>2.4908891993879614</v>
      </c>
      <c r="S565" s="94">
        <f t="shared" ca="1" si="165"/>
        <v>2.4908891993879614</v>
      </c>
      <c r="T565" s="4">
        <f t="shared" ca="1" si="166"/>
        <v>3.1762713914868126E-8</v>
      </c>
      <c r="U565" s="46">
        <f t="shared" ca="1" si="167"/>
        <v>1474.6995798612329</v>
      </c>
      <c r="V565" s="4">
        <f t="shared" ca="1" si="168"/>
        <v>1.8804714748860678E-5</v>
      </c>
      <c r="W565" s="13">
        <f t="shared" ca="1" si="169"/>
        <v>3966.27</v>
      </c>
      <c r="X565" s="4">
        <f t="shared" ca="1" si="170"/>
        <v>5.0576115288499604E-5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54"/>
        <v>0</v>
      </c>
      <c r="F566" s="100">
        <f t="shared" ca="1" si="155"/>
        <v>0.33895684000000004</v>
      </c>
      <c r="G566">
        <v>1</v>
      </c>
      <c r="H566">
        <v>0</v>
      </c>
      <c r="I566">
        <v>0</v>
      </c>
      <c r="J566" s="1">
        <f t="shared" ca="1" si="156"/>
        <v>9.5000000000000434E-11</v>
      </c>
      <c r="K566" s="1">
        <f t="shared" ca="1" si="157"/>
        <v>3.2200899800000154E-11</v>
      </c>
      <c r="L566" s="13">
        <f t="shared" ca="1" si="158"/>
        <v>102</v>
      </c>
      <c r="M566" s="7">
        <f t="shared" ca="1" si="159"/>
        <v>898</v>
      </c>
      <c r="N566" s="44">
        <f t="shared" ca="1" si="160"/>
        <v>8</v>
      </c>
      <c r="O566" s="94">
        <f t="shared" ca="1" si="161"/>
        <v>2.4908891993879614</v>
      </c>
      <c r="P566" s="94">
        <f t="shared" ca="1" si="162"/>
        <v>24.908891993879614</v>
      </c>
      <c r="Q566" s="94">
        <f t="shared" ca="1" si="163"/>
        <v>24.908891993879614</v>
      </c>
      <c r="R566" s="94">
        <f t="shared" ca="1" si="164"/>
        <v>2.4908891993879614</v>
      </c>
      <c r="S566" s="94">
        <f t="shared" ca="1" si="165"/>
        <v>2.4908891993879614</v>
      </c>
      <c r="T566" s="4">
        <f t="shared" ca="1" si="166"/>
        <v>8.020887352239435E-11</v>
      </c>
      <c r="U566" s="46">
        <f t="shared" ca="1" si="167"/>
        <v>1455.6995798612329</v>
      </c>
      <c r="V566" s="4">
        <f t="shared" ca="1" si="168"/>
        <v>4.6874836310013882E-8</v>
      </c>
      <c r="W566" s="13">
        <f t="shared" ca="1" si="169"/>
        <v>1983.135</v>
      </c>
      <c r="X566" s="4">
        <f t="shared" ca="1" si="170"/>
        <v>6.3858731424873308E-8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54"/>
        <v>0</v>
      </c>
      <c r="F567" s="100">
        <f t="shared" ca="1" si="155"/>
        <v>0.33895684000000004</v>
      </c>
      <c r="G567">
        <v>0</v>
      </c>
      <c r="H567">
        <v>1</v>
      </c>
      <c r="I567">
        <v>7</v>
      </c>
      <c r="J567" s="1">
        <f t="shared" ca="1" si="156"/>
        <v>0</v>
      </c>
      <c r="K567" s="1">
        <f t="shared" ca="1" si="157"/>
        <v>0</v>
      </c>
      <c r="L567" s="13">
        <f t="shared" ca="1" si="158"/>
        <v>235</v>
      </c>
      <c r="M567" s="7">
        <f t="shared" ca="1" si="159"/>
        <v>765</v>
      </c>
      <c r="N567" s="44">
        <f t="shared" ca="1" si="160"/>
        <v>7</v>
      </c>
      <c r="O567" s="94">
        <f t="shared" ca="1" si="161"/>
        <v>2.2444549919727916</v>
      </c>
      <c r="P567" s="94">
        <f t="shared" ca="1" si="162"/>
        <v>22.444549919727915</v>
      </c>
      <c r="Q567" s="94">
        <f t="shared" ca="1" si="163"/>
        <v>22.444549919727915</v>
      </c>
      <c r="R567" s="94">
        <f t="shared" ca="1" si="164"/>
        <v>2.2444549919727916</v>
      </c>
      <c r="S567" s="94">
        <f t="shared" ca="1" si="165"/>
        <v>2.2444549919727916</v>
      </c>
      <c r="T567" s="4">
        <f t="shared" ca="1" si="166"/>
        <v>0</v>
      </c>
      <c r="U567" s="46">
        <f t="shared" ca="1" si="167"/>
        <v>1480.7701584159711</v>
      </c>
      <c r="V567" s="4">
        <f t="shared" ca="1" si="168"/>
        <v>0</v>
      </c>
      <c r="W567" s="13">
        <f t="shared" ca="1" si="169"/>
        <v>15774.9375</v>
      </c>
      <c r="X567" s="4">
        <f t="shared" ca="1" si="170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54"/>
        <v>0</v>
      </c>
      <c r="F568" s="100">
        <f t="shared" ca="1" si="155"/>
        <v>0.33895684000000004</v>
      </c>
      <c r="G568">
        <v>0</v>
      </c>
      <c r="H568">
        <v>1</v>
      </c>
      <c r="I568">
        <v>6</v>
      </c>
      <c r="J568" s="1">
        <f t="shared" ca="1" si="156"/>
        <v>0</v>
      </c>
      <c r="K568" s="1">
        <f t="shared" ca="1" si="157"/>
        <v>0</v>
      </c>
      <c r="L568" s="13">
        <f t="shared" ca="1" si="158"/>
        <v>216</v>
      </c>
      <c r="M568" s="7">
        <f t="shared" ca="1" si="159"/>
        <v>784</v>
      </c>
      <c r="N568" s="44">
        <f t="shared" ca="1" si="160"/>
        <v>7</v>
      </c>
      <c r="O568" s="94">
        <f t="shared" ca="1" si="161"/>
        <v>2.2444549919727916</v>
      </c>
      <c r="P568" s="94">
        <f t="shared" ca="1" si="162"/>
        <v>22.444549919727915</v>
      </c>
      <c r="Q568" s="94">
        <f t="shared" ca="1" si="163"/>
        <v>22.444549919727915</v>
      </c>
      <c r="R568" s="94">
        <f t="shared" ca="1" si="164"/>
        <v>2.2444549919727916</v>
      </c>
      <c r="S568" s="94">
        <f t="shared" ca="1" si="165"/>
        <v>2.2444549919727916</v>
      </c>
      <c r="T568" s="4">
        <f t="shared" ca="1" si="166"/>
        <v>0</v>
      </c>
      <c r="U568" s="46">
        <f t="shared" ca="1" si="167"/>
        <v>1461.7701584159711</v>
      </c>
      <c r="V568" s="4">
        <f t="shared" ca="1" si="168"/>
        <v>0</v>
      </c>
      <c r="W568" s="13">
        <f t="shared" ca="1" si="169"/>
        <v>13791.8025</v>
      </c>
      <c r="X568" s="4">
        <f t="shared" ca="1" si="170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54"/>
        <v>0</v>
      </c>
      <c r="F569" s="100">
        <f t="shared" ca="1" si="155"/>
        <v>0.33895684000000004</v>
      </c>
      <c r="G569">
        <v>0</v>
      </c>
      <c r="H569">
        <v>1</v>
      </c>
      <c r="I569">
        <v>5</v>
      </c>
      <c r="J569" s="1">
        <f t="shared" ca="1" si="156"/>
        <v>0</v>
      </c>
      <c r="K569" s="1">
        <f t="shared" ca="1" si="157"/>
        <v>0</v>
      </c>
      <c r="L569" s="13">
        <f t="shared" ca="1" si="158"/>
        <v>197</v>
      </c>
      <c r="M569" s="7">
        <f t="shared" ca="1" si="159"/>
        <v>803</v>
      </c>
      <c r="N569" s="44">
        <f t="shared" ca="1" si="160"/>
        <v>8</v>
      </c>
      <c r="O569" s="94">
        <f t="shared" ca="1" si="161"/>
        <v>2.4908891993879614</v>
      </c>
      <c r="P569" s="94">
        <f t="shared" ca="1" si="162"/>
        <v>24.908891993879614</v>
      </c>
      <c r="Q569" s="94">
        <f t="shared" ca="1" si="163"/>
        <v>22.690984127143082</v>
      </c>
      <c r="R569" s="94">
        <f t="shared" ca="1" si="164"/>
        <v>2.379993806051135</v>
      </c>
      <c r="S569" s="94">
        <f t="shared" ca="1" si="165"/>
        <v>2.4908891993879614</v>
      </c>
      <c r="T569" s="4">
        <f t="shared" ca="1" si="166"/>
        <v>0</v>
      </c>
      <c r="U569" s="46">
        <f t="shared" ca="1" si="167"/>
        <v>1550.6995798612329</v>
      </c>
      <c r="V569" s="4">
        <f t="shared" ca="1" si="168"/>
        <v>0</v>
      </c>
      <c r="W569" s="13">
        <f t="shared" ca="1" si="169"/>
        <v>11808.6675</v>
      </c>
      <c r="X569" s="4">
        <f t="shared" ca="1" si="170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54"/>
        <v>0</v>
      </c>
      <c r="F570" s="100">
        <f t="shared" ca="1" si="155"/>
        <v>0.33895684000000004</v>
      </c>
      <c r="G570">
        <v>0</v>
      </c>
      <c r="H570">
        <v>1</v>
      </c>
      <c r="I570">
        <v>4</v>
      </c>
      <c r="J570" s="1">
        <f t="shared" ca="1" si="156"/>
        <v>4.7549502495E-2</v>
      </c>
      <c r="K570" s="1">
        <f t="shared" ca="1" si="157"/>
        <v>1.6117229109277317E-2</v>
      </c>
      <c r="L570" s="13">
        <f t="shared" ca="1" si="158"/>
        <v>178</v>
      </c>
      <c r="M570" s="7">
        <f t="shared" ca="1" si="159"/>
        <v>822</v>
      </c>
      <c r="N570" s="44">
        <f t="shared" ca="1" si="160"/>
        <v>8</v>
      </c>
      <c r="O570" s="94">
        <f t="shared" ca="1" si="161"/>
        <v>2.4908891993879614</v>
      </c>
      <c r="P570" s="94">
        <f t="shared" ca="1" si="162"/>
        <v>24.908891993879614</v>
      </c>
      <c r="Q570" s="94">
        <f t="shared" ca="1" si="163"/>
        <v>24.908891993879614</v>
      </c>
      <c r="R570" s="94">
        <f t="shared" ca="1" si="164"/>
        <v>2.4908891993879614</v>
      </c>
      <c r="S570" s="94">
        <f t="shared" ca="1" si="165"/>
        <v>2.4908891993879614</v>
      </c>
      <c r="T570" s="4">
        <f t="shared" ca="1" si="166"/>
        <v>4.0146231912360122E-2</v>
      </c>
      <c r="U570" s="46">
        <f t="shared" ca="1" si="167"/>
        <v>1531.6995798612329</v>
      </c>
      <c r="V570" s="4">
        <f t="shared" ca="1" si="168"/>
        <v>24.686753055207298</v>
      </c>
      <c r="W570" s="13">
        <f t="shared" ca="1" si="169"/>
        <v>9825.5324999999993</v>
      </c>
      <c r="X570" s="4">
        <f t="shared" ca="1" si="170"/>
        <v>158.3603584231503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54"/>
        <v>0</v>
      </c>
      <c r="F571" s="100">
        <f t="shared" ca="1" si="155"/>
        <v>0.33895684000000004</v>
      </c>
      <c r="G571">
        <v>0</v>
      </c>
      <c r="H571">
        <v>1</v>
      </c>
      <c r="I571">
        <v>3</v>
      </c>
      <c r="J571" s="1">
        <f t="shared" ca="1" si="156"/>
        <v>1.9211920200000018E-3</v>
      </c>
      <c r="K571" s="1">
        <f t="shared" ca="1" si="157"/>
        <v>6.5120117613241748E-4</v>
      </c>
      <c r="L571" s="13">
        <f t="shared" ca="1" si="158"/>
        <v>159</v>
      </c>
      <c r="M571" s="7">
        <f t="shared" ca="1" si="159"/>
        <v>841</v>
      </c>
      <c r="N571" s="44">
        <f t="shared" ca="1" si="160"/>
        <v>8</v>
      </c>
      <c r="O571" s="94">
        <f t="shared" ca="1" si="161"/>
        <v>2.4908891993879614</v>
      </c>
      <c r="P571" s="94">
        <f t="shared" ca="1" si="162"/>
        <v>24.908891993879614</v>
      </c>
      <c r="Q571" s="94">
        <f t="shared" ca="1" si="163"/>
        <v>24.908891993879614</v>
      </c>
      <c r="R571" s="94">
        <f t="shared" ca="1" si="164"/>
        <v>2.4908891993879614</v>
      </c>
      <c r="S571" s="94">
        <f t="shared" ca="1" si="165"/>
        <v>2.4908891993879614</v>
      </c>
      <c r="T571" s="4">
        <f t="shared" ca="1" si="166"/>
        <v>1.6220699762569762E-3</v>
      </c>
      <c r="U571" s="46">
        <f t="shared" ca="1" si="167"/>
        <v>1512.6995798612329</v>
      </c>
      <c r="V571" s="4">
        <f t="shared" ca="1" si="168"/>
        <v>0.98507174554064869</v>
      </c>
      <c r="W571" s="13">
        <f t="shared" ca="1" si="169"/>
        <v>7842.3974999999991</v>
      </c>
      <c r="X571" s="4">
        <f t="shared" ca="1" si="170"/>
        <v>5.1069784756979297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54"/>
        <v>0</v>
      </c>
      <c r="F572" s="100">
        <f t="shared" ca="1" si="155"/>
        <v>0.33895684000000004</v>
      </c>
      <c r="G572">
        <v>0</v>
      </c>
      <c r="H572">
        <v>1</v>
      </c>
      <c r="I572">
        <v>2</v>
      </c>
      <c r="J572" s="1">
        <f t="shared" ca="1" si="156"/>
        <v>2.9108970000000054E-5</v>
      </c>
      <c r="K572" s="1">
        <f t="shared" ca="1" si="157"/>
        <v>9.8666844868548186E-6</v>
      </c>
      <c r="L572" s="13">
        <f t="shared" ca="1" si="158"/>
        <v>140</v>
      </c>
      <c r="M572" s="7">
        <f t="shared" ca="1" si="159"/>
        <v>860</v>
      </c>
      <c r="N572" s="44">
        <f t="shared" ca="1" si="160"/>
        <v>8</v>
      </c>
      <c r="O572" s="94">
        <f t="shared" ca="1" si="161"/>
        <v>2.4908891993879614</v>
      </c>
      <c r="P572" s="94">
        <f t="shared" ca="1" si="162"/>
        <v>24.908891993879614</v>
      </c>
      <c r="Q572" s="94">
        <f t="shared" ca="1" si="163"/>
        <v>24.908891993879614</v>
      </c>
      <c r="R572" s="94">
        <f t="shared" ca="1" si="164"/>
        <v>2.4908891993879614</v>
      </c>
      <c r="S572" s="94">
        <f t="shared" ca="1" si="165"/>
        <v>2.4908891993879614</v>
      </c>
      <c r="T572" s="4">
        <f t="shared" ca="1" si="166"/>
        <v>2.4576817822075418E-5</v>
      </c>
      <c r="U572" s="46">
        <f t="shared" ca="1" si="167"/>
        <v>1493.6995798612329</v>
      </c>
      <c r="V572" s="4">
        <f t="shared" ca="1" si="168"/>
        <v>1.4737862472638388E-2</v>
      </c>
      <c r="W572" s="13">
        <f t="shared" ca="1" si="169"/>
        <v>5859.2624999999998</v>
      </c>
      <c r="X572" s="4">
        <f t="shared" ca="1" si="170"/>
        <v>5.7811494413160178E-2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54"/>
        <v>0</v>
      </c>
      <c r="F573" s="100">
        <f t="shared" ca="1" si="155"/>
        <v>0.33895684000000004</v>
      </c>
      <c r="G573">
        <v>0</v>
      </c>
      <c r="H573">
        <v>1</v>
      </c>
      <c r="I573">
        <v>1</v>
      </c>
      <c r="J573" s="1">
        <f t="shared" ca="1" si="156"/>
        <v>1.9602000000000053E-7</v>
      </c>
      <c r="K573" s="1">
        <f t="shared" ca="1" si="157"/>
        <v>6.6442319776800191E-8</v>
      </c>
      <c r="L573" s="13">
        <f t="shared" ca="1" si="158"/>
        <v>121</v>
      </c>
      <c r="M573" s="7">
        <f t="shared" ca="1" si="159"/>
        <v>879</v>
      </c>
      <c r="N573" s="44">
        <f t="shared" ca="1" si="160"/>
        <v>8</v>
      </c>
      <c r="O573" s="94">
        <f t="shared" ca="1" si="161"/>
        <v>2.4908891993879614</v>
      </c>
      <c r="P573" s="94">
        <f t="shared" ca="1" si="162"/>
        <v>24.908891993879614</v>
      </c>
      <c r="Q573" s="94">
        <f t="shared" ca="1" si="163"/>
        <v>24.908891993879614</v>
      </c>
      <c r="R573" s="94">
        <f t="shared" ca="1" si="164"/>
        <v>2.4908891993879614</v>
      </c>
      <c r="S573" s="94">
        <f t="shared" ca="1" si="165"/>
        <v>2.4908891993879614</v>
      </c>
      <c r="T573" s="4">
        <f t="shared" ca="1" si="166"/>
        <v>1.6550045671431274E-7</v>
      </c>
      <c r="U573" s="46">
        <f t="shared" ca="1" si="167"/>
        <v>1474.6995798612329</v>
      </c>
      <c r="V573" s="4">
        <f t="shared" ca="1" si="168"/>
        <v>9.7982461059852933E-5</v>
      </c>
      <c r="W573" s="13">
        <f t="shared" ca="1" si="169"/>
        <v>3876.1274999999996</v>
      </c>
      <c r="X573" s="4">
        <f t="shared" ca="1" si="170"/>
        <v>2.5753890285064903E-4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54"/>
        <v>0</v>
      </c>
      <c r="F574" s="100">
        <f t="shared" ca="1" si="155"/>
        <v>0.33895684000000004</v>
      </c>
      <c r="G574">
        <v>0</v>
      </c>
      <c r="H574">
        <v>1</v>
      </c>
      <c r="I574">
        <v>0</v>
      </c>
      <c r="J574" s="1">
        <f t="shared" ca="1" si="156"/>
        <v>4.9500000000000181E-10</v>
      </c>
      <c r="K574" s="1">
        <f t="shared" ca="1" si="157"/>
        <v>1.6778363580000062E-10</v>
      </c>
      <c r="L574" s="13">
        <f t="shared" ca="1" si="158"/>
        <v>102</v>
      </c>
      <c r="M574" s="7">
        <f t="shared" ca="1" si="159"/>
        <v>898</v>
      </c>
      <c r="N574" s="44">
        <f t="shared" ca="1" si="160"/>
        <v>8</v>
      </c>
      <c r="O574" s="94">
        <f t="shared" ca="1" si="161"/>
        <v>2.4908891993879614</v>
      </c>
      <c r="P574" s="94">
        <f t="shared" ca="1" si="162"/>
        <v>24.908891993879614</v>
      </c>
      <c r="Q574" s="94">
        <f t="shared" ca="1" si="163"/>
        <v>24.908891993879614</v>
      </c>
      <c r="R574" s="94">
        <f t="shared" ca="1" si="164"/>
        <v>2.4908891993879614</v>
      </c>
      <c r="S574" s="94">
        <f t="shared" ca="1" si="165"/>
        <v>2.4908891993879614</v>
      </c>
      <c r="T574" s="4">
        <f t="shared" ca="1" si="166"/>
        <v>4.1793044624826486E-10</v>
      </c>
      <c r="U574" s="46">
        <f t="shared" ca="1" si="167"/>
        <v>1455.6995798612329</v>
      </c>
      <c r="V574" s="4">
        <f t="shared" ca="1" si="168"/>
        <v>2.4424256814165103E-7</v>
      </c>
      <c r="W574" s="13">
        <f t="shared" ca="1" si="169"/>
        <v>1892.9924999999998</v>
      </c>
      <c r="X574" s="4">
        <f t="shared" ca="1" si="170"/>
        <v>3.1761316419213263E-7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54"/>
        <v>0</v>
      </c>
      <c r="F575" s="100">
        <f t="shared" ca="1" si="155"/>
        <v>0.33895684000000004</v>
      </c>
      <c r="G575">
        <v>0</v>
      </c>
      <c r="H575">
        <v>0</v>
      </c>
      <c r="I575">
        <v>7</v>
      </c>
      <c r="J575" s="1">
        <f t="shared" ca="1" si="156"/>
        <v>0</v>
      </c>
      <c r="K575" s="1">
        <f t="shared" ca="1" si="157"/>
        <v>0</v>
      </c>
      <c r="L575" s="13">
        <f t="shared" ca="1" si="158"/>
        <v>133</v>
      </c>
      <c r="M575" s="7">
        <f t="shared" ca="1" si="159"/>
        <v>867</v>
      </c>
      <c r="N575" s="44">
        <f t="shared" ca="1" si="160"/>
        <v>8</v>
      </c>
      <c r="O575" s="94">
        <f t="shared" ca="1" si="161"/>
        <v>2.4908891993879614</v>
      </c>
      <c r="P575" s="94">
        <f t="shared" ca="1" si="162"/>
        <v>24.908891993879614</v>
      </c>
      <c r="Q575" s="94">
        <f t="shared" ca="1" si="163"/>
        <v>24.908891993879614</v>
      </c>
      <c r="R575" s="94">
        <f t="shared" ca="1" si="164"/>
        <v>2.4908891993879614</v>
      </c>
      <c r="S575" s="94">
        <f t="shared" ca="1" si="165"/>
        <v>2.4908891993879614</v>
      </c>
      <c r="T575" s="4">
        <f t="shared" ca="1" si="166"/>
        <v>0</v>
      </c>
      <c r="U575" s="46">
        <f t="shared" ca="1" si="167"/>
        <v>1486.6995798612329</v>
      </c>
      <c r="V575" s="4">
        <f t="shared" ca="1" si="168"/>
        <v>0</v>
      </c>
      <c r="W575" s="13">
        <f t="shared" ca="1" si="169"/>
        <v>13881.945</v>
      </c>
      <c r="X575" s="4">
        <f t="shared" ca="1" si="170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54"/>
        <v>0</v>
      </c>
      <c r="F576" s="100">
        <f t="shared" ca="1" si="155"/>
        <v>0.33895684000000004</v>
      </c>
      <c r="G576">
        <v>0</v>
      </c>
      <c r="H576">
        <v>0</v>
      </c>
      <c r="I576">
        <v>6</v>
      </c>
      <c r="J576" s="1">
        <f t="shared" ca="1" si="156"/>
        <v>0</v>
      </c>
      <c r="K576" s="1">
        <f t="shared" ca="1" si="157"/>
        <v>0</v>
      </c>
      <c r="L576" s="13">
        <f t="shared" ca="1" si="158"/>
        <v>114</v>
      </c>
      <c r="M576" s="7">
        <f t="shared" ca="1" si="159"/>
        <v>886</v>
      </c>
      <c r="N576" s="44">
        <f t="shared" ca="1" si="160"/>
        <v>8</v>
      </c>
      <c r="O576" s="94">
        <f t="shared" ca="1" si="161"/>
        <v>2.4908891993879614</v>
      </c>
      <c r="P576" s="94">
        <f t="shared" ca="1" si="162"/>
        <v>24.908891993879614</v>
      </c>
      <c r="Q576" s="94">
        <f t="shared" ca="1" si="163"/>
        <v>24.908891993879614</v>
      </c>
      <c r="R576" s="94">
        <f t="shared" ca="1" si="164"/>
        <v>2.4908891993879614</v>
      </c>
      <c r="S576" s="94">
        <f t="shared" ca="1" si="165"/>
        <v>2.4908891993879614</v>
      </c>
      <c r="T576" s="4">
        <f t="shared" ca="1" si="166"/>
        <v>0</v>
      </c>
      <c r="U576" s="46">
        <f t="shared" ca="1" si="167"/>
        <v>1467.6995798612329</v>
      </c>
      <c r="V576" s="4">
        <f t="shared" ca="1" si="168"/>
        <v>0</v>
      </c>
      <c r="W576" s="13">
        <f t="shared" ca="1" si="169"/>
        <v>11898.81</v>
      </c>
      <c r="X576" s="4">
        <f t="shared" ca="1" si="170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54"/>
        <v>0</v>
      </c>
      <c r="F577" s="100">
        <f t="shared" ca="1" si="155"/>
        <v>0.33895684000000004</v>
      </c>
      <c r="G577">
        <v>0</v>
      </c>
      <c r="H577">
        <v>0</v>
      </c>
      <c r="I577">
        <v>5</v>
      </c>
      <c r="J577" s="1">
        <f t="shared" ca="1" si="156"/>
        <v>0</v>
      </c>
      <c r="K577" s="1">
        <f t="shared" ca="1" si="157"/>
        <v>0</v>
      </c>
      <c r="L577" s="13">
        <f t="shared" ca="1" si="158"/>
        <v>100</v>
      </c>
      <c r="M577" s="7">
        <f t="shared" ca="1" si="159"/>
        <v>900</v>
      </c>
      <c r="N577" s="44">
        <f t="shared" ca="1" si="160"/>
        <v>8</v>
      </c>
      <c r="O577" s="94">
        <f t="shared" ca="1" si="161"/>
        <v>2.4908891993879614</v>
      </c>
      <c r="P577" s="94">
        <f t="shared" ca="1" si="162"/>
        <v>24.908891993879614</v>
      </c>
      <c r="Q577" s="94">
        <f t="shared" ca="1" si="163"/>
        <v>24.908891993879614</v>
      </c>
      <c r="R577" s="94">
        <f t="shared" ca="1" si="164"/>
        <v>2.4908891993879614</v>
      </c>
      <c r="S577" s="94">
        <f t="shared" ca="1" si="165"/>
        <v>2.4908891993879614</v>
      </c>
      <c r="T577" s="4">
        <f t="shared" ca="1" si="166"/>
        <v>0</v>
      </c>
      <c r="U577" s="46">
        <f t="shared" ca="1" si="167"/>
        <v>1453.6995798612329</v>
      </c>
      <c r="V577" s="4">
        <f t="shared" ca="1" si="168"/>
        <v>0</v>
      </c>
      <c r="W577" s="13">
        <f t="shared" ca="1" si="169"/>
        <v>9915.6749999999993</v>
      </c>
      <c r="X577" s="4">
        <f t="shared" ca="1" si="170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54"/>
        <v>0</v>
      </c>
      <c r="F578" s="100">
        <f t="shared" ca="1" si="155"/>
        <v>0.33895684000000004</v>
      </c>
      <c r="G578">
        <v>0</v>
      </c>
      <c r="H578">
        <v>0</v>
      </c>
      <c r="I578">
        <v>4</v>
      </c>
      <c r="J578" s="1">
        <f t="shared" ca="1" si="156"/>
        <v>4.802980050000004E-4</v>
      </c>
      <c r="K578" s="1">
        <f t="shared" ca="1" si="157"/>
        <v>1.6280029403310434E-4</v>
      </c>
      <c r="L578" s="13">
        <f t="shared" ca="1" si="158"/>
        <v>100</v>
      </c>
      <c r="M578" s="7">
        <f t="shared" ca="1" si="159"/>
        <v>900</v>
      </c>
      <c r="N578" s="44">
        <f t="shared" ca="1" si="160"/>
        <v>8</v>
      </c>
      <c r="O578" s="94">
        <f t="shared" ca="1" si="161"/>
        <v>2.4908891993879614</v>
      </c>
      <c r="P578" s="94">
        <f t="shared" ca="1" si="162"/>
        <v>24.908891993879614</v>
      </c>
      <c r="Q578" s="94">
        <f t="shared" ca="1" si="163"/>
        <v>24.908891993879614</v>
      </c>
      <c r="R578" s="94">
        <f t="shared" ca="1" si="164"/>
        <v>2.4908891993879614</v>
      </c>
      <c r="S578" s="94">
        <f t="shared" ca="1" si="165"/>
        <v>2.4908891993879614</v>
      </c>
      <c r="T578" s="4">
        <f t="shared" ca="1" si="166"/>
        <v>4.0551749406424398E-4</v>
      </c>
      <c r="U578" s="46">
        <f t="shared" ca="1" si="167"/>
        <v>1453.6995798612329</v>
      </c>
      <c r="V578" s="4">
        <f t="shared" ca="1" si="168"/>
        <v>0.23666271903720895</v>
      </c>
      <c r="W578" s="13">
        <f t="shared" ca="1" si="169"/>
        <v>7932.54</v>
      </c>
      <c r="X578" s="4">
        <f t="shared" ca="1" si="170"/>
        <v>1.2914198444293614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54"/>
        <v>0</v>
      </c>
      <c r="F579" s="100">
        <f t="shared" ca="1" si="155"/>
        <v>0.33895684000000004</v>
      </c>
      <c r="G579">
        <v>0</v>
      </c>
      <c r="H579">
        <v>0</v>
      </c>
      <c r="I579">
        <v>3</v>
      </c>
      <c r="J579" s="1">
        <f t="shared" ca="1" si="156"/>
        <v>1.9405980000000033E-5</v>
      </c>
      <c r="K579" s="1">
        <f t="shared" ca="1" si="157"/>
        <v>6.5777896579032116E-6</v>
      </c>
      <c r="L579" s="13">
        <f t="shared" ca="1" si="158"/>
        <v>100</v>
      </c>
      <c r="M579" s="7">
        <f t="shared" ca="1" si="159"/>
        <v>900</v>
      </c>
      <c r="N579" s="44">
        <f t="shared" ca="1" si="160"/>
        <v>8</v>
      </c>
      <c r="O579" s="94">
        <f t="shared" ca="1" si="161"/>
        <v>2.4908891993879614</v>
      </c>
      <c r="P579" s="94">
        <f t="shared" ca="1" si="162"/>
        <v>24.908891993879614</v>
      </c>
      <c r="Q579" s="94">
        <f t="shared" ca="1" si="163"/>
        <v>24.908891993879614</v>
      </c>
      <c r="R579" s="94">
        <f t="shared" ca="1" si="164"/>
        <v>2.4908891993879614</v>
      </c>
      <c r="S579" s="94">
        <f t="shared" ca="1" si="165"/>
        <v>2.4908891993879614</v>
      </c>
      <c r="T579" s="4">
        <f t="shared" ca="1" si="166"/>
        <v>1.6384545214716942E-5</v>
      </c>
      <c r="U579" s="46">
        <f t="shared" ca="1" si="167"/>
        <v>1453.6995798612329</v>
      </c>
      <c r="V579" s="4">
        <f t="shared" ca="1" si="168"/>
        <v>9.562130062109462E-3</v>
      </c>
      <c r="W579" s="13">
        <f t="shared" ca="1" si="169"/>
        <v>5949.4049999999997</v>
      </c>
      <c r="X579" s="4">
        <f t="shared" ca="1" si="170"/>
        <v>3.9133934679677657E-2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54"/>
        <v>0</v>
      </c>
      <c r="F580" s="100">
        <f t="shared" ca="1" si="155"/>
        <v>0.33895684000000004</v>
      </c>
      <c r="G580">
        <v>0</v>
      </c>
      <c r="H580">
        <v>0</v>
      </c>
      <c r="I580">
        <v>2</v>
      </c>
      <c r="J580" s="1">
        <f t="shared" ca="1" si="156"/>
        <v>2.9403000000000079E-7</v>
      </c>
      <c r="K580" s="1">
        <f t="shared" ca="1" si="157"/>
        <v>9.966347966520028E-8</v>
      </c>
      <c r="L580" s="13">
        <f t="shared" ca="1" si="158"/>
        <v>100</v>
      </c>
      <c r="M580" s="7">
        <f t="shared" ca="1" si="159"/>
        <v>900</v>
      </c>
      <c r="N580" s="44">
        <f t="shared" ca="1" si="160"/>
        <v>8</v>
      </c>
      <c r="O580" s="94">
        <f t="shared" ca="1" si="161"/>
        <v>2.4908891993879614</v>
      </c>
      <c r="P580" s="94">
        <f t="shared" ca="1" si="162"/>
        <v>24.908891993879614</v>
      </c>
      <c r="Q580" s="94">
        <f t="shared" ca="1" si="163"/>
        <v>24.908891993879614</v>
      </c>
      <c r="R580" s="94">
        <f t="shared" ca="1" si="164"/>
        <v>2.4908891993879614</v>
      </c>
      <c r="S580" s="94">
        <f t="shared" ca="1" si="165"/>
        <v>2.4908891993879614</v>
      </c>
      <c r="T580" s="4">
        <f t="shared" ca="1" si="166"/>
        <v>2.4825068507146911E-7</v>
      </c>
      <c r="U580" s="46">
        <f t="shared" ca="1" si="167"/>
        <v>1453.6995798612329</v>
      </c>
      <c r="V580" s="4">
        <f t="shared" ca="1" si="168"/>
        <v>1.4488075851681019E-4</v>
      </c>
      <c r="W580" s="13">
        <f t="shared" ca="1" si="169"/>
        <v>3966.27</v>
      </c>
      <c r="X580" s="4">
        <f t="shared" ca="1" si="170"/>
        <v>3.9529226949169393E-4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54"/>
        <v>0</v>
      </c>
      <c r="F581" s="100">
        <f t="shared" ca="1" si="155"/>
        <v>0.33895684000000004</v>
      </c>
      <c r="G581">
        <v>0</v>
      </c>
      <c r="H581">
        <v>0</v>
      </c>
      <c r="I581">
        <v>1</v>
      </c>
      <c r="J581" s="1">
        <f t="shared" ca="1" si="156"/>
        <v>1.9800000000000068E-9</v>
      </c>
      <c r="K581" s="1">
        <f t="shared" ca="1" si="157"/>
        <v>6.7113454320000238E-10</v>
      </c>
      <c r="L581" s="13">
        <f t="shared" ca="1" si="158"/>
        <v>100</v>
      </c>
      <c r="M581" s="7">
        <f t="shared" ca="1" si="159"/>
        <v>900</v>
      </c>
      <c r="N581" s="44">
        <f t="shared" ca="1" si="160"/>
        <v>8</v>
      </c>
      <c r="O581" s="94">
        <f t="shared" ca="1" si="161"/>
        <v>2.4908891993879614</v>
      </c>
      <c r="P581" s="94">
        <f t="shared" ca="1" si="162"/>
        <v>24.908891993879614</v>
      </c>
      <c r="Q581" s="94">
        <f t="shared" ca="1" si="163"/>
        <v>24.908891993879614</v>
      </c>
      <c r="R581" s="94">
        <f t="shared" ca="1" si="164"/>
        <v>2.4908891993879614</v>
      </c>
      <c r="S581" s="94">
        <f t="shared" ca="1" si="165"/>
        <v>2.4908891993879614</v>
      </c>
      <c r="T581" s="4">
        <f t="shared" ca="1" si="166"/>
        <v>1.671721784993059E-9</v>
      </c>
      <c r="U581" s="46">
        <f t="shared" ca="1" si="167"/>
        <v>1453.6995798612329</v>
      </c>
      <c r="V581" s="4">
        <f t="shared" ca="1" si="168"/>
        <v>9.7562800348020401E-7</v>
      </c>
      <c r="W581" s="13">
        <f t="shared" ca="1" si="169"/>
        <v>1983.135</v>
      </c>
      <c r="X581" s="4">
        <f t="shared" ca="1" si="170"/>
        <v>1.3309504023289367E-6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54"/>
        <v>0</v>
      </c>
      <c r="F582" s="100">
        <f t="shared" ca="1" si="155"/>
        <v>0.33895684000000004</v>
      </c>
      <c r="G582">
        <v>0</v>
      </c>
      <c r="H582">
        <v>0</v>
      </c>
      <c r="I582">
        <v>0</v>
      </c>
      <c r="J582" s="1">
        <f t="shared" ca="1" si="156"/>
        <v>5.0000000000000231E-12</v>
      </c>
      <c r="K582" s="1">
        <f t="shared" ca="1" si="157"/>
        <v>1.6947842000000081E-12</v>
      </c>
      <c r="L582" s="13">
        <f t="shared" ca="1" si="158"/>
        <v>100</v>
      </c>
      <c r="M582" s="7">
        <f t="shared" ca="1" si="159"/>
        <v>900</v>
      </c>
      <c r="N582" s="44">
        <f t="shared" ca="1" si="160"/>
        <v>8</v>
      </c>
      <c r="O582" s="94">
        <f t="shared" ca="1" si="161"/>
        <v>2.4908891993879614</v>
      </c>
      <c r="P582" s="94">
        <f t="shared" ca="1" si="162"/>
        <v>24.908891993879614</v>
      </c>
      <c r="Q582" s="94">
        <f t="shared" ca="1" si="163"/>
        <v>24.908891993879614</v>
      </c>
      <c r="R582" s="94">
        <f t="shared" ca="1" si="164"/>
        <v>2.4908891993879614</v>
      </c>
      <c r="S582" s="94">
        <f t="shared" ca="1" si="165"/>
        <v>2.4908891993879614</v>
      </c>
      <c r="T582" s="4">
        <f t="shared" ca="1" si="166"/>
        <v>4.2215196590733863E-12</v>
      </c>
      <c r="U582" s="46">
        <f t="shared" ca="1" si="167"/>
        <v>1453.6995798612329</v>
      </c>
      <c r="V582" s="4">
        <f t="shared" ca="1" si="168"/>
        <v>2.4637070794954676E-9</v>
      </c>
      <c r="W582" s="13">
        <f t="shared" ca="1" si="169"/>
        <v>0</v>
      </c>
      <c r="X582" s="4">
        <f t="shared" ca="1" si="170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54"/>
        <v>0</v>
      </c>
      <c r="F583" s="100">
        <f t="shared" ca="1" si="155"/>
        <v>0.13844716000000004</v>
      </c>
      <c r="G583">
        <v>1</v>
      </c>
      <c r="H583">
        <v>1</v>
      </c>
      <c r="I583">
        <v>7</v>
      </c>
      <c r="J583" s="1">
        <f t="shared" ca="1" si="156"/>
        <v>0</v>
      </c>
      <c r="K583" s="1">
        <f t="shared" ca="1" si="157"/>
        <v>0</v>
      </c>
      <c r="L583" s="13">
        <f t="shared" ca="1" si="158"/>
        <v>337</v>
      </c>
      <c r="M583" s="7">
        <f t="shared" ca="1" si="159"/>
        <v>663</v>
      </c>
      <c r="N583" s="44">
        <f t="shared" ca="1" si="160"/>
        <v>6</v>
      </c>
      <c r="O583" s="94">
        <f t="shared" ca="1" si="161"/>
        <v>1.9922775034029279</v>
      </c>
      <c r="P583" s="94">
        <f t="shared" ca="1" si="162"/>
        <v>19.922775034029279</v>
      </c>
      <c r="Q583" s="94">
        <f t="shared" ca="1" si="163"/>
        <v>19.922775034029279</v>
      </c>
      <c r="R583" s="94">
        <f t="shared" ca="1" si="164"/>
        <v>1.9922775034029279</v>
      </c>
      <c r="S583" s="94">
        <f t="shared" ca="1" si="165"/>
        <v>1.9922775034029279</v>
      </c>
      <c r="T583" s="4">
        <f t="shared" ca="1" si="166"/>
        <v>0</v>
      </c>
      <c r="U583" s="46">
        <f t="shared" ca="1" si="167"/>
        <v>1472.3253840141317</v>
      </c>
      <c r="V583" s="4">
        <f t="shared" ca="1" si="168"/>
        <v>0</v>
      </c>
      <c r="W583" s="13">
        <f t="shared" ca="1" si="169"/>
        <v>17758.072499999998</v>
      </c>
      <c r="X583" s="4">
        <f t="shared" ca="1" si="170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54"/>
        <v>0</v>
      </c>
      <c r="F584" s="100">
        <f t="shared" ca="1" si="155"/>
        <v>0.13844716000000004</v>
      </c>
      <c r="G584">
        <v>1</v>
      </c>
      <c r="H584">
        <v>1</v>
      </c>
      <c r="I584">
        <v>6</v>
      </c>
      <c r="J584" s="1">
        <f t="shared" ca="1" si="156"/>
        <v>0</v>
      </c>
      <c r="K584" s="1">
        <f t="shared" ca="1" si="157"/>
        <v>0</v>
      </c>
      <c r="L584" s="13">
        <f t="shared" ca="1" si="158"/>
        <v>318</v>
      </c>
      <c r="M584" s="7">
        <f t="shared" ca="1" si="159"/>
        <v>682</v>
      </c>
      <c r="N584" s="44">
        <f t="shared" ca="1" si="160"/>
        <v>7</v>
      </c>
      <c r="O584" s="94">
        <f t="shared" ca="1" si="161"/>
        <v>2.2444549919727916</v>
      </c>
      <c r="P584" s="94">
        <f t="shared" ca="1" si="162"/>
        <v>20.679307499738869</v>
      </c>
      <c r="Q584" s="94">
        <f t="shared" ca="1" si="163"/>
        <v>19.922775034029279</v>
      </c>
      <c r="R584" s="94">
        <f t="shared" ca="1" si="164"/>
        <v>2.0301041266884075</v>
      </c>
      <c r="S584" s="94">
        <f t="shared" ca="1" si="165"/>
        <v>2.2444549919727916</v>
      </c>
      <c r="T584" s="4">
        <f t="shared" ca="1" si="166"/>
        <v>0</v>
      </c>
      <c r="U584" s="46">
        <f t="shared" ca="1" si="167"/>
        <v>1563.7701584159711</v>
      </c>
      <c r="V584" s="4">
        <f t="shared" ca="1" si="168"/>
        <v>0</v>
      </c>
      <c r="W584" s="13">
        <f t="shared" ca="1" si="169"/>
        <v>15774.9375</v>
      </c>
      <c r="X584" s="4">
        <f t="shared" ca="1" si="170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54"/>
        <v>0</v>
      </c>
      <c r="F585" s="100">
        <f t="shared" ca="1" si="155"/>
        <v>0.13844716000000004</v>
      </c>
      <c r="G585">
        <v>1</v>
      </c>
      <c r="H585">
        <v>1</v>
      </c>
      <c r="I585">
        <v>5</v>
      </c>
      <c r="J585" s="1">
        <f t="shared" ca="1" si="156"/>
        <v>0.89440614193094992</v>
      </c>
      <c r="K585" s="1">
        <f t="shared" ca="1" si="157"/>
        <v>0.12382799023689697</v>
      </c>
      <c r="L585" s="13">
        <f t="shared" ca="1" si="158"/>
        <v>299</v>
      </c>
      <c r="M585" s="7">
        <f t="shared" ca="1" si="159"/>
        <v>701</v>
      </c>
      <c r="N585" s="44">
        <f t="shared" ca="1" si="160"/>
        <v>7</v>
      </c>
      <c r="O585" s="94">
        <f t="shared" ca="1" si="161"/>
        <v>2.2444549919727916</v>
      </c>
      <c r="P585" s="94">
        <f t="shared" ca="1" si="162"/>
        <v>22.444549919727915</v>
      </c>
      <c r="Q585" s="94">
        <f t="shared" ca="1" si="163"/>
        <v>22.444549919727915</v>
      </c>
      <c r="R585" s="94">
        <f t="shared" ca="1" si="164"/>
        <v>2.2444549919727916</v>
      </c>
      <c r="S585" s="94">
        <f t="shared" ca="1" si="165"/>
        <v>2.2444549919727916</v>
      </c>
      <c r="T585" s="4">
        <f t="shared" ca="1" si="166"/>
        <v>0.27792635083316153</v>
      </c>
      <c r="U585" s="46">
        <f t="shared" ca="1" si="167"/>
        <v>1544.7701584159711</v>
      </c>
      <c r="V585" s="4">
        <f t="shared" ca="1" si="168"/>
        <v>191.28578409458265</v>
      </c>
      <c r="W585" s="13">
        <f t="shared" ca="1" si="169"/>
        <v>13791.802499999998</v>
      </c>
      <c r="X585" s="4">
        <f t="shared" ca="1" si="170"/>
        <v>1707.8111853192111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54"/>
        <v>0</v>
      </c>
      <c r="F586" s="100">
        <f t="shared" ca="1" si="155"/>
        <v>0.13844716000000004</v>
      </c>
      <c r="G586">
        <v>1</v>
      </c>
      <c r="H586">
        <v>1</v>
      </c>
      <c r="I586">
        <v>4</v>
      </c>
      <c r="J586" s="1">
        <f t="shared" ca="1" si="156"/>
        <v>4.5172027370250036E-2</v>
      </c>
      <c r="K586" s="1">
        <f t="shared" ca="1" si="157"/>
        <v>6.2539389008533881E-3</v>
      </c>
      <c r="L586" s="13">
        <f t="shared" ca="1" si="158"/>
        <v>280</v>
      </c>
      <c r="M586" s="7">
        <f t="shared" ca="1" si="159"/>
        <v>720</v>
      </c>
      <c r="N586" s="44">
        <f t="shared" ca="1" si="160"/>
        <v>7</v>
      </c>
      <c r="O586" s="94">
        <f t="shared" ca="1" si="161"/>
        <v>2.2444549919727916</v>
      </c>
      <c r="P586" s="94">
        <f t="shared" ca="1" si="162"/>
        <v>22.444549919727915</v>
      </c>
      <c r="Q586" s="94">
        <f t="shared" ca="1" si="163"/>
        <v>22.444549919727915</v>
      </c>
      <c r="R586" s="94">
        <f t="shared" ca="1" si="164"/>
        <v>2.2444549919727916</v>
      </c>
      <c r="S586" s="94">
        <f t="shared" ca="1" si="165"/>
        <v>2.2444549919727916</v>
      </c>
      <c r="T586" s="4">
        <f t="shared" ca="1" si="166"/>
        <v>1.4036684385513221E-2</v>
      </c>
      <c r="U586" s="46">
        <f t="shared" ca="1" si="167"/>
        <v>1525.7701584159711</v>
      </c>
      <c r="V586" s="4">
        <f t="shared" ca="1" si="168"/>
        <v>9.5420733474788779</v>
      </c>
      <c r="W586" s="13">
        <f t="shared" ca="1" si="169"/>
        <v>11808.6675</v>
      </c>
      <c r="X586" s="4">
        <f t="shared" ca="1" si="170"/>
        <v>73.850685045493123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54"/>
        <v>0</v>
      </c>
      <c r="F587" s="100">
        <f t="shared" ca="1" si="155"/>
        <v>0.13844716000000004</v>
      </c>
      <c r="G587">
        <v>1</v>
      </c>
      <c r="H587">
        <v>1</v>
      </c>
      <c r="I587">
        <v>3</v>
      </c>
      <c r="J587" s="1">
        <f t="shared" ca="1" si="156"/>
        <v>9.1256620950000162E-4</v>
      </c>
      <c r="K587" s="1">
        <f t="shared" ca="1" si="157"/>
        <v>1.2634220001724028E-4</v>
      </c>
      <c r="L587" s="13">
        <f t="shared" ca="1" si="158"/>
        <v>261</v>
      </c>
      <c r="M587" s="7">
        <f t="shared" ca="1" si="159"/>
        <v>739</v>
      </c>
      <c r="N587" s="44">
        <f t="shared" ca="1" si="160"/>
        <v>7</v>
      </c>
      <c r="O587" s="94">
        <f t="shared" ca="1" si="161"/>
        <v>2.2444549919727916</v>
      </c>
      <c r="P587" s="94">
        <f t="shared" ca="1" si="162"/>
        <v>22.444549919727915</v>
      </c>
      <c r="Q587" s="94">
        <f t="shared" ca="1" si="163"/>
        <v>22.444549919727915</v>
      </c>
      <c r="R587" s="94">
        <f t="shared" ca="1" si="164"/>
        <v>2.2444549919727916</v>
      </c>
      <c r="S587" s="94">
        <f t="shared" ca="1" si="165"/>
        <v>2.2444549919727916</v>
      </c>
      <c r="T587" s="4">
        <f t="shared" ca="1" si="166"/>
        <v>2.835693815255199E-4</v>
      </c>
      <c r="U587" s="46">
        <f t="shared" ca="1" si="167"/>
        <v>1506.7701584159711</v>
      </c>
      <c r="V587" s="4">
        <f t="shared" ca="1" si="168"/>
        <v>0.19036865673459943</v>
      </c>
      <c r="W587" s="13">
        <f t="shared" ca="1" si="169"/>
        <v>9825.5324999999993</v>
      </c>
      <c r="X587" s="4">
        <f t="shared" ca="1" si="170"/>
        <v>1.2413793923908949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54"/>
        <v>0</v>
      </c>
      <c r="F588" s="100">
        <f t="shared" ca="1" si="155"/>
        <v>0.13844716000000004</v>
      </c>
      <c r="G588">
        <v>1</v>
      </c>
      <c r="H588">
        <v>1</v>
      </c>
      <c r="I588">
        <v>2</v>
      </c>
      <c r="J588" s="1">
        <f t="shared" ca="1" si="156"/>
        <v>9.2178405000000246E-6</v>
      </c>
      <c r="K588" s="1">
        <f t="shared" ca="1" si="157"/>
        <v>1.2761838385579838E-6</v>
      </c>
      <c r="L588" s="13">
        <f t="shared" ca="1" si="158"/>
        <v>242</v>
      </c>
      <c r="M588" s="7">
        <f t="shared" ca="1" si="159"/>
        <v>758</v>
      </c>
      <c r="N588" s="44">
        <f t="shared" ca="1" si="160"/>
        <v>7</v>
      </c>
      <c r="O588" s="94">
        <f t="shared" ca="1" si="161"/>
        <v>2.2444549919727916</v>
      </c>
      <c r="P588" s="94">
        <f t="shared" ca="1" si="162"/>
        <v>22.444549919727915</v>
      </c>
      <c r="Q588" s="94">
        <f t="shared" ca="1" si="163"/>
        <v>22.444549919727915</v>
      </c>
      <c r="R588" s="94">
        <f t="shared" ca="1" si="164"/>
        <v>2.2444549919727916</v>
      </c>
      <c r="S588" s="94">
        <f t="shared" ca="1" si="165"/>
        <v>2.2444549919727916</v>
      </c>
      <c r="T588" s="4">
        <f t="shared" ca="1" si="166"/>
        <v>2.864337187126466E-6</v>
      </c>
      <c r="U588" s="46">
        <f t="shared" ca="1" si="167"/>
        <v>1487.7701584159711</v>
      </c>
      <c r="V588" s="4">
        <f t="shared" ca="1" si="168"/>
        <v>1.8986682316593135E-3</v>
      </c>
      <c r="W588" s="13">
        <f t="shared" ca="1" si="169"/>
        <v>7842.3974999999991</v>
      </c>
      <c r="X588" s="4">
        <f t="shared" ca="1" si="170"/>
        <v>1.0008340945047534E-2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54"/>
        <v>0</v>
      </c>
      <c r="F589" s="100">
        <f t="shared" ca="1" si="155"/>
        <v>0.13844716000000004</v>
      </c>
      <c r="G589">
        <v>1</v>
      </c>
      <c r="H589">
        <v>1</v>
      </c>
      <c r="I589">
        <v>1</v>
      </c>
      <c r="J589" s="1">
        <f t="shared" ca="1" si="156"/>
        <v>4.6554750000000167E-8</v>
      </c>
      <c r="K589" s="1">
        <f t="shared" ca="1" si="157"/>
        <v>6.4453729220100251E-9</v>
      </c>
      <c r="L589" s="13">
        <f t="shared" ca="1" si="158"/>
        <v>223</v>
      </c>
      <c r="M589" s="7">
        <f t="shared" ca="1" si="159"/>
        <v>777</v>
      </c>
      <c r="N589" s="44">
        <f t="shared" ca="1" si="160"/>
        <v>7</v>
      </c>
      <c r="O589" s="94">
        <f t="shared" ca="1" si="161"/>
        <v>2.2444549919727916</v>
      </c>
      <c r="P589" s="94">
        <f t="shared" ca="1" si="162"/>
        <v>22.444549919727915</v>
      </c>
      <c r="Q589" s="94">
        <f t="shared" ca="1" si="163"/>
        <v>22.444549919727915</v>
      </c>
      <c r="R589" s="94">
        <f t="shared" ca="1" si="164"/>
        <v>2.2444549919727916</v>
      </c>
      <c r="S589" s="94">
        <f t="shared" ca="1" si="165"/>
        <v>2.2444549919727916</v>
      </c>
      <c r="T589" s="4">
        <f t="shared" ca="1" si="166"/>
        <v>1.446634942993166E-8</v>
      </c>
      <c r="U589" s="46">
        <f t="shared" ca="1" si="167"/>
        <v>1468.7701584159711</v>
      </c>
      <c r="V589" s="4">
        <f t="shared" ca="1" si="168"/>
        <v>9.4667714077106758E-6</v>
      </c>
      <c r="W589" s="13">
        <f t="shared" ca="1" si="169"/>
        <v>5859.2624999999998</v>
      </c>
      <c r="X589" s="4">
        <f t="shared" ca="1" si="170"/>
        <v>3.7765131860448763E-5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54"/>
        <v>0</v>
      </c>
      <c r="F590" s="100">
        <f t="shared" ca="1" si="155"/>
        <v>0.13844716000000004</v>
      </c>
      <c r="G590">
        <v>1</v>
      </c>
      <c r="H590">
        <v>1</v>
      </c>
      <c r="I590">
        <v>0</v>
      </c>
      <c r="J590" s="1">
        <f t="shared" ca="1" si="156"/>
        <v>9.4050000000000427E-11</v>
      </c>
      <c r="K590" s="1">
        <f t="shared" ca="1" si="157"/>
        <v>1.3020955398000063E-11</v>
      </c>
      <c r="L590" s="13">
        <f t="shared" ca="1" si="158"/>
        <v>204</v>
      </c>
      <c r="M590" s="7">
        <f t="shared" ca="1" si="159"/>
        <v>796</v>
      </c>
      <c r="N590" s="44">
        <f t="shared" ca="1" si="160"/>
        <v>8</v>
      </c>
      <c r="O590" s="94">
        <f t="shared" ca="1" si="161"/>
        <v>2.4908891993879614</v>
      </c>
      <c r="P590" s="94">
        <f t="shared" ca="1" si="162"/>
        <v>23.430286749388593</v>
      </c>
      <c r="Q590" s="94">
        <f t="shared" ca="1" si="163"/>
        <v>22.444549919727915</v>
      </c>
      <c r="R590" s="94">
        <f t="shared" ca="1" si="164"/>
        <v>2.2937418334558251</v>
      </c>
      <c r="S590" s="94">
        <f t="shared" ca="1" si="165"/>
        <v>2.4908891993879614</v>
      </c>
      <c r="T590" s="4">
        <f t="shared" ca="1" si="166"/>
        <v>3.2433757166590733E-11</v>
      </c>
      <c r="U590" s="46">
        <f t="shared" ca="1" si="167"/>
        <v>1557.6995798612329</v>
      </c>
      <c r="V590" s="4">
        <f t="shared" ca="1" si="168"/>
        <v>2.0282736752856551E-8</v>
      </c>
      <c r="W590" s="13">
        <f t="shared" ca="1" si="169"/>
        <v>3876.1274999999996</v>
      </c>
      <c r="X590" s="4">
        <f t="shared" ca="1" si="170"/>
        <v>5.0470883294461483E-8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54"/>
        <v>0</v>
      </c>
      <c r="F591" s="100">
        <f t="shared" ca="1" si="155"/>
        <v>0.13844716000000004</v>
      </c>
      <c r="G591">
        <v>1</v>
      </c>
      <c r="H591">
        <v>0</v>
      </c>
      <c r="I591">
        <v>7</v>
      </c>
      <c r="J591" s="1">
        <f t="shared" ca="1" si="156"/>
        <v>0</v>
      </c>
      <c r="K591" s="1">
        <f t="shared" ca="1" si="157"/>
        <v>0</v>
      </c>
      <c r="L591" s="13">
        <f t="shared" ca="1" si="158"/>
        <v>235</v>
      </c>
      <c r="M591" s="7">
        <f t="shared" ca="1" si="159"/>
        <v>765</v>
      </c>
      <c r="N591" s="44">
        <f t="shared" ca="1" si="160"/>
        <v>7</v>
      </c>
      <c r="O591" s="94">
        <f t="shared" ca="1" si="161"/>
        <v>2.2444549919727916</v>
      </c>
      <c r="P591" s="94">
        <f t="shared" ca="1" si="162"/>
        <v>22.444549919727915</v>
      </c>
      <c r="Q591" s="94">
        <f t="shared" ca="1" si="163"/>
        <v>22.444549919727915</v>
      </c>
      <c r="R591" s="94">
        <f t="shared" ca="1" si="164"/>
        <v>2.2444549919727916</v>
      </c>
      <c r="S591" s="94">
        <f t="shared" ca="1" si="165"/>
        <v>2.2444549919727916</v>
      </c>
      <c r="T591" s="4">
        <f t="shared" ca="1" si="166"/>
        <v>0</v>
      </c>
      <c r="U591" s="46">
        <f t="shared" ca="1" si="167"/>
        <v>1480.7701584159711</v>
      </c>
      <c r="V591" s="4">
        <f t="shared" ca="1" si="168"/>
        <v>0</v>
      </c>
      <c r="W591" s="13">
        <f t="shared" ca="1" si="169"/>
        <v>15865.08</v>
      </c>
      <c r="X591" s="4">
        <f t="shared" ca="1" si="170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54"/>
        <v>0</v>
      </c>
      <c r="F592" s="100">
        <f t="shared" ca="1" si="155"/>
        <v>0.13844716000000004</v>
      </c>
      <c r="G592">
        <v>1</v>
      </c>
      <c r="H592">
        <v>0</v>
      </c>
      <c r="I592">
        <v>6</v>
      </c>
      <c r="J592" s="1">
        <f t="shared" ca="1" si="156"/>
        <v>0</v>
      </c>
      <c r="K592" s="1">
        <f t="shared" ca="1" si="157"/>
        <v>0</v>
      </c>
      <c r="L592" s="13">
        <f t="shared" ca="1" si="158"/>
        <v>216</v>
      </c>
      <c r="M592" s="7">
        <f t="shared" ca="1" si="159"/>
        <v>784</v>
      </c>
      <c r="N592" s="44">
        <f t="shared" ca="1" si="160"/>
        <v>7</v>
      </c>
      <c r="O592" s="94">
        <f t="shared" ca="1" si="161"/>
        <v>2.2444549919727916</v>
      </c>
      <c r="P592" s="94">
        <f t="shared" ca="1" si="162"/>
        <v>22.444549919727915</v>
      </c>
      <c r="Q592" s="94">
        <f t="shared" ca="1" si="163"/>
        <v>22.444549919727915</v>
      </c>
      <c r="R592" s="94">
        <f t="shared" ca="1" si="164"/>
        <v>2.2444549919727916</v>
      </c>
      <c r="S592" s="94">
        <f t="shared" ca="1" si="165"/>
        <v>2.2444549919727916</v>
      </c>
      <c r="T592" s="4">
        <f t="shared" ca="1" si="166"/>
        <v>0</v>
      </c>
      <c r="U592" s="46">
        <f t="shared" ca="1" si="167"/>
        <v>1461.7701584159711</v>
      </c>
      <c r="V592" s="4">
        <f t="shared" ca="1" si="168"/>
        <v>0</v>
      </c>
      <c r="W592" s="13">
        <f t="shared" ca="1" si="169"/>
        <v>13881.945</v>
      </c>
      <c r="X592" s="4">
        <f t="shared" ca="1" si="170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54"/>
        <v>0</v>
      </c>
      <c r="F593" s="100">
        <f t="shared" ca="1" si="155"/>
        <v>0.13844716000000004</v>
      </c>
      <c r="G593">
        <v>1</v>
      </c>
      <c r="H593">
        <v>0</v>
      </c>
      <c r="I593">
        <v>5</v>
      </c>
      <c r="J593" s="1">
        <f t="shared" ca="1" si="156"/>
        <v>9.0344054740500064E-3</v>
      </c>
      <c r="K593" s="1">
        <f t="shared" ca="1" si="157"/>
        <v>1.2507877801706774E-3</v>
      </c>
      <c r="L593" s="13">
        <f t="shared" ca="1" si="158"/>
        <v>197</v>
      </c>
      <c r="M593" s="7">
        <f t="shared" ca="1" si="159"/>
        <v>803</v>
      </c>
      <c r="N593" s="44">
        <f t="shared" ca="1" si="160"/>
        <v>8</v>
      </c>
      <c r="O593" s="94">
        <f t="shared" ca="1" si="161"/>
        <v>2.4908891993879614</v>
      </c>
      <c r="P593" s="94">
        <f t="shared" ca="1" si="162"/>
        <v>24.908891993879614</v>
      </c>
      <c r="Q593" s="94">
        <f t="shared" ca="1" si="163"/>
        <v>22.690984127143082</v>
      </c>
      <c r="R593" s="94">
        <f t="shared" ca="1" si="164"/>
        <v>2.379993806051135</v>
      </c>
      <c r="S593" s="94">
        <f t="shared" ca="1" si="165"/>
        <v>2.4908891993879614</v>
      </c>
      <c r="T593" s="4">
        <f t="shared" ca="1" si="166"/>
        <v>3.1155737723535838E-3</v>
      </c>
      <c r="U593" s="46">
        <f t="shared" ca="1" si="167"/>
        <v>1550.6995798612329</v>
      </c>
      <c r="V593" s="4">
        <f t="shared" ca="1" si="168"/>
        <v>1.9395960852062335</v>
      </c>
      <c r="W593" s="13">
        <f t="shared" ca="1" si="169"/>
        <v>11898.81</v>
      </c>
      <c r="X593" s="4">
        <f t="shared" ca="1" si="170"/>
        <v>14.882886146572657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54"/>
        <v>0</v>
      </c>
      <c r="F594" s="100">
        <f t="shared" ca="1" si="155"/>
        <v>0.13844716000000004</v>
      </c>
      <c r="G594">
        <v>1</v>
      </c>
      <c r="H594">
        <v>0</v>
      </c>
      <c r="I594">
        <v>4</v>
      </c>
      <c r="J594" s="1">
        <f t="shared" ca="1" si="156"/>
        <v>4.5628310475000076E-4</v>
      </c>
      <c r="K594" s="1">
        <f t="shared" ca="1" si="157"/>
        <v>6.3171100008620128E-5</v>
      </c>
      <c r="L594" s="13">
        <f t="shared" ca="1" si="158"/>
        <v>178</v>
      </c>
      <c r="M594" s="7">
        <f t="shared" ca="1" si="159"/>
        <v>822</v>
      </c>
      <c r="N594" s="44">
        <f t="shared" ca="1" si="160"/>
        <v>8</v>
      </c>
      <c r="O594" s="94">
        <f t="shared" ca="1" si="161"/>
        <v>2.4908891993879614</v>
      </c>
      <c r="P594" s="94">
        <f t="shared" ca="1" si="162"/>
        <v>24.908891993879614</v>
      </c>
      <c r="Q594" s="94">
        <f t="shared" ca="1" si="163"/>
        <v>24.908891993879614</v>
      </c>
      <c r="R594" s="94">
        <f t="shared" ca="1" si="164"/>
        <v>2.4908891993879614</v>
      </c>
      <c r="S594" s="94">
        <f t="shared" ca="1" si="165"/>
        <v>2.4908891993879614</v>
      </c>
      <c r="T594" s="4">
        <f t="shared" ca="1" si="166"/>
        <v>1.5735221072492864E-4</v>
      </c>
      <c r="U594" s="46">
        <f t="shared" ca="1" si="167"/>
        <v>1531.6995798612329</v>
      </c>
      <c r="V594" s="4">
        <f t="shared" ca="1" si="168"/>
        <v>9.6759147342575375E-2</v>
      </c>
      <c r="W594" s="13">
        <f t="shared" ca="1" si="169"/>
        <v>9915.6749999999993</v>
      </c>
      <c r="X594" s="4">
        <f t="shared" ca="1" si="170"/>
        <v>0.62638409707797438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54"/>
        <v>0</v>
      </c>
      <c r="F595" s="100">
        <f t="shared" ca="1" si="155"/>
        <v>0.13844716000000004</v>
      </c>
      <c r="G595">
        <v>1</v>
      </c>
      <c r="H595">
        <v>0</v>
      </c>
      <c r="I595">
        <v>3</v>
      </c>
      <c r="J595" s="1">
        <f t="shared" ca="1" si="156"/>
        <v>9.2178405000000246E-6</v>
      </c>
      <c r="K595" s="1">
        <f t="shared" ca="1" si="157"/>
        <v>1.2761838385579838E-6</v>
      </c>
      <c r="L595" s="13">
        <f t="shared" ca="1" si="158"/>
        <v>159</v>
      </c>
      <c r="M595" s="7">
        <f t="shared" ca="1" si="159"/>
        <v>841</v>
      </c>
      <c r="N595" s="44">
        <f t="shared" ca="1" si="160"/>
        <v>8</v>
      </c>
      <c r="O595" s="94">
        <f t="shared" ca="1" si="161"/>
        <v>2.4908891993879614</v>
      </c>
      <c r="P595" s="94">
        <f t="shared" ca="1" si="162"/>
        <v>24.908891993879614</v>
      </c>
      <c r="Q595" s="94">
        <f t="shared" ca="1" si="163"/>
        <v>24.908891993879614</v>
      </c>
      <c r="R595" s="94">
        <f t="shared" ca="1" si="164"/>
        <v>2.4908891993879614</v>
      </c>
      <c r="S595" s="94">
        <f t="shared" ca="1" si="165"/>
        <v>2.4908891993879614</v>
      </c>
      <c r="T595" s="4">
        <f t="shared" ca="1" si="166"/>
        <v>3.1788325398975516E-6</v>
      </c>
      <c r="U595" s="46">
        <f t="shared" ca="1" si="167"/>
        <v>1512.6995798612329</v>
      </c>
      <c r="V595" s="4">
        <f t="shared" ca="1" si="168"/>
        <v>1.9304827564123575E-3</v>
      </c>
      <c r="W595" s="13">
        <f t="shared" ca="1" si="169"/>
        <v>7932.54</v>
      </c>
      <c r="X595" s="4">
        <f t="shared" ca="1" si="170"/>
        <v>1.0123379346714749E-2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54"/>
        <v>0</v>
      </c>
      <c r="F596" s="100">
        <f t="shared" ca="1" si="155"/>
        <v>0.13844716000000004</v>
      </c>
      <c r="G596">
        <v>1</v>
      </c>
      <c r="H596">
        <v>0</v>
      </c>
      <c r="I596">
        <v>2</v>
      </c>
      <c r="J596" s="1">
        <f t="shared" ca="1" si="156"/>
        <v>9.3109500000000335E-8</v>
      </c>
      <c r="K596" s="1">
        <f t="shared" ca="1" si="157"/>
        <v>1.289074584402005E-8</v>
      </c>
      <c r="L596" s="13">
        <f t="shared" ca="1" si="158"/>
        <v>140</v>
      </c>
      <c r="M596" s="7">
        <f t="shared" ca="1" si="159"/>
        <v>860</v>
      </c>
      <c r="N596" s="44">
        <f t="shared" ca="1" si="160"/>
        <v>8</v>
      </c>
      <c r="O596" s="94">
        <f t="shared" ca="1" si="161"/>
        <v>2.4908891993879614</v>
      </c>
      <c r="P596" s="94">
        <f t="shared" ca="1" si="162"/>
        <v>24.908891993879614</v>
      </c>
      <c r="Q596" s="94">
        <f t="shared" ca="1" si="163"/>
        <v>24.908891993879614</v>
      </c>
      <c r="R596" s="94">
        <f t="shared" ca="1" si="164"/>
        <v>2.4908891993879614</v>
      </c>
      <c r="S596" s="94">
        <f t="shared" ca="1" si="165"/>
        <v>2.4908891993879614</v>
      </c>
      <c r="T596" s="4">
        <f t="shared" ca="1" si="166"/>
        <v>3.2109419594924792E-8</v>
      </c>
      <c r="U596" s="46">
        <f t="shared" ca="1" si="167"/>
        <v>1493.6995798612329</v>
      </c>
      <c r="V596" s="4">
        <f t="shared" ca="1" si="168"/>
        <v>1.9254901651310684E-5</v>
      </c>
      <c r="W596" s="13">
        <f t="shared" ca="1" si="169"/>
        <v>5949.4049999999997</v>
      </c>
      <c r="X596" s="4">
        <f t="shared" ca="1" si="170"/>
        <v>7.6692267778142098E-5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54"/>
        <v>0</v>
      </c>
      <c r="F597" s="100">
        <f t="shared" ca="1" si="155"/>
        <v>0.13844716000000004</v>
      </c>
      <c r="G597">
        <v>1</v>
      </c>
      <c r="H597">
        <v>0</v>
      </c>
      <c r="I597">
        <v>1</v>
      </c>
      <c r="J597" s="1">
        <f t="shared" ca="1" si="156"/>
        <v>4.7025000000000207E-10</v>
      </c>
      <c r="K597" s="1">
        <f t="shared" ca="1" si="157"/>
        <v>6.5104776990000302E-11</v>
      </c>
      <c r="L597" s="13">
        <f t="shared" ca="1" si="158"/>
        <v>121</v>
      </c>
      <c r="M597" s="7">
        <f t="shared" ca="1" si="159"/>
        <v>879</v>
      </c>
      <c r="N597" s="44">
        <f t="shared" ca="1" si="160"/>
        <v>8</v>
      </c>
      <c r="O597" s="94">
        <f t="shared" ca="1" si="161"/>
        <v>2.4908891993879614</v>
      </c>
      <c r="P597" s="94">
        <f t="shared" ca="1" si="162"/>
        <v>24.908891993879614</v>
      </c>
      <c r="Q597" s="94">
        <f t="shared" ca="1" si="163"/>
        <v>24.908891993879614</v>
      </c>
      <c r="R597" s="94">
        <f t="shared" ca="1" si="164"/>
        <v>2.4908891993879614</v>
      </c>
      <c r="S597" s="94">
        <f t="shared" ca="1" si="165"/>
        <v>2.4908891993879614</v>
      </c>
      <c r="T597" s="4">
        <f t="shared" ca="1" si="166"/>
        <v>1.6216878583295362E-10</v>
      </c>
      <c r="U597" s="46">
        <f t="shared" ca="1" si="167"/>
        <v>1474.6995798612329</v>
      </c>
      <c r="V597" s="4">
        <f t="shared" ca="1" si="168"/>
        <v>9.6009987274112703E-8</v>
      </c>
      <c r="W597" s="13">
        <f t="shared" ca="1" si="169"/>
        <v>3966.27</v>
      </c>
      <c r="X597" s="4">
        <f t="shared" ca="1" si="170"/>
        <v>2.5822312383212849E-7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54"/>
        <v>0</v>
      </c>
      <c r="F598" s="100">
        <f t="shared" ca="1" si="155"/>
        <v>0.13844716000000004</v>
      </c>
      <c r="G598">
        <v>1</v>
      </c>
      <c r="H598">
        <v>0</v>
      </c>
      <c r="I598">
        <v>0</v>
      </c>
      <c r="J598" s="1">
        <f t="shared" ca="1" si="156"/>
        <v>9.5000000000000524E-13</v>
      </c>
      <c r="K598" s="1">
        <f t="shared" ca="1" si="157"/>
        <v>1.3152480200000077E-13</v>
      </c>
      <c r="L598" s="13">
        <f t="shared" ca="1" si="158"/>
        <v>102</v>
      </c>
      <c r="M598" s="7">
        <f t="shared" ca="1" si="159"/>
        <v>898</v>
      </c>
      <c r="N598" s="44">
        <f t="shared" ca="1" si="160"/>
        <v>8</v>
      </c>
      <c r="O598" s="94">
        <f t="shared" ca="1" si="161"/>
        <v>2.4908891993879614</v>
      </c>
      <c r="P598" s="94">
        <f t="shared" ca="1" si="162"/>
        <v>24.908891993879614</v>
      </c>
      <c r="Q598" s="94">
        <f t="shared" ca="1" si="163"/>
        <v>24.908891993879614</v>
      </c>
      <c r="R598" s="94">
        <f t="shared" ca="1" si="164"/>
        <v>2.4908891993879614</v>
      </c>
      <c r="S598" s="94">
        <f t="shared" ca="1" si="165"/>
        <v>2.4908891993879614</v>
      </c>
      <c r="T598" s="4">
        <f t="shared" ca="1" si="166"/>
        <v>3.2761370875344205E-13</v>
      </c>
      <c r="U598" s="46">
        <f t="shared" ca="1" si="167"/>
        <v>1455.6995798612329</v>
      </c>
      <c r="V598" s="4">
        <f t="shared" ca="1" si="168"/>
        <v>1.9146059901273297E-10</v>
      </c>
      <c r="W598" s="13">
        <f t="shared" ca="1" si="169"/>
        <v>1983.135</v>
      </c>
      <c r="X598" s="4">
        <f t="shared" ca="1" si="170"/>
        <v>2.608314382142715E-10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54"/>
        <v>0</v>
      </c>
      <c r="F599" s="100">
        <f t="shared" ca="1" si="155"/>
        <v>0.13844716000000004</v>
      </c>
      <c r="G599">
        <v>0</v>
      </c>
      <c r="H599">
        <v>1</v>
      </c>
      <c r="I599">
        <v>7</v>
      </c>
      <c r="J599" s="1">
        <f t="shared" ca="1" si="156"/>
        <v>0</v>
      </c>
      <c r="K599" s="1">
        <f t="shared" ca="1" si="157"/>
        <v>0</v>
      </c>
      <c r="L599" s="13">
        <f t="shared" ca="1" si="158"/>
        <v>235</v>
      </c>
      <c r="M599" s="7">
        <f t="shared" ca="1" si="159"/>
        <v>765</v>
      </c>
      <c r="N599" s="44">
        <f t="shared" ca="1" si="160"/>
        <v>7</v>
      </c>
      <c r="O599" s="94">
        <f t="shared" ca="1" si="161"/>
        <v>2.2444549919727916</v>
      </c>
      <c r="P599" s="94">
        <f t="shared" ca="1" si="162"/>
        <v>22.444549919727915</v>
      </c>
      <c r="Q599" s="94">
        <f t="shared" ca="1" si="163"/>
        <v>22.444549919727915</v>
      </c>
      <c r="R599" s="94">
        <f t="shared" ca="1" si="164"/>
        <v>2.2444549919727916</v>
      </c>
      <c r="S599" s="94">
        <f t="shared" ca="1" si="165"/>
        <v>2.2444549919727916</v>
      </c>
      <c r="T599" s="4">
        <f t="shared" ca="1" si="166"/>
        <v>0</v>
      </c>
      <c r="U599" s="46">
        <f t="shared" ca="1" si="167"/>
        <v>1480.7701584159711</v>
      </c>
      <c r="V599" s="4">
        <f t="shared" ca="1" si="168"/>
        <v>0</v>
      </c>
      <c r="W599" s="13">
        <f t="shared" ca="1" si="169"/>
        <v>15774.9375</v>
      </c>
      <c r="X599" s="4">
        <f t="shared" ca="1" si="170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54"/>
        <v>0</v>
      </c>
      <c r="F600" s="100">
        <f t="shared" ca="1" si="155"/>
        <v>0.13844716000000004</v>
      </c>
      <c r="G600">
        <v>0</v>
      </c>
      <c r="H600">
        <v>1</v>
      </c>
      <c r="I600">
        <v>6</v>
      </c>
      <c r="J600" s="1">
        <f t="shared" ca="1" si="156"/>
        <v>0</v>
      </c>
      <c r="K600" s="1">
        <f t="shared" ca="1" si="157"/>
        <v>0</v>
      </c>
      <c r="L600" s="13">
        <f t="shared" ca="1" si="158"/>
        <v>216</v>
      </c>
      <c r="M600" s="7">
        <f t="shared" ca="1" si="159"/>
        <v>784</v>
      </c>
      <c r="N600" s="44">
        <f t="shared" ca="1" si="160"/>
        <v>7</v>
      </c>
      <c r="O600" s="94">
        <f t="shared" ca="1" si="161"/>
        <v>2.2444549919727916</v>
      </c>
      <c r="P600" s="94">
        <f t="shared" ca="1" si="162"/>
        <v>22.444549919727915</v>
      </c>
      <c r="Q600" s="94">
        <f t="shared" ca="1" si="163"/>
        <v>22.444549919727915</v>
      </c>
      <c r="R600" s="94">
        <f t="shared" ca="1" si="164"/>
        <v>2.2444549919727916</v>
      </c>
      <c r="S600" s="94">
        <f t="shared" ca="1" si="165"/>
        <v>2.2444549919727916</v>
      </c>
      <c r="T600" s="4">
        <f t="shared" ca="1" si="166"/>
        <v>0</v>
      </c>
      <c r="U600" s="46">
        <f t="shared" ca="1" si="167"/>
        <v>1461.7701584159711</v>
      </c>
      <c r="V600" s="4">
        <f t="shared" ca="1" si="168"/>
        <v>0</v>
      </c>
      <c r="W600" s="13">
        <f t="shared" ca="1" si="169"/>
        <v>13791.8025</v>
      </c>
      <c r="X600" s="4">
        <f t="shared" ca="1" si="170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54"/>
        <v>0</v>
      </c>
      <c r="F601" s="100">
        <f t="shared" ca="1" si="155"/>
        <v>0.13844716000000004</v>
      </c>
      <c r="G601">
        <v>0</v>
      </c>
      <c r="H601">
        <v>1</v>
      </c>
      <c r="I601">
        <v>5</v>
      </c>
      <c r="J601" s="1">
        <f t="shared" ca="1" si="156"/>
        <v>4.707400747005E-2</v>
      </c>
      <c r="K601" s="1">
        <f t="shared" ca="1" si="157"/>
        <v>6.5172626440472099E-3</v>
      </c>
      <c r="L601" s="13">
        <f t="shared" ca="1" si="158"/>
        <v>197</v>
      </c>
      <c r="M601" s="7">
        <f t="shared" ca="1" si="159"/>
        <v>803</v>
      </c>
      <c r="N601" s="44">
        <f t="shared" ca="1" si="160"/>
        <v>8</v>
      </c>
      <c r="O601" s="94">
        <f t="shared" ca="1" si="161"/>
        <v>2.4908891993879614</v>
      </c>
      <c r="P601" s="94">
        <f t="shared" ca="1" si="162"/>
        <v>24.908891993879614</v>
      </c>
      <c r="Q601" s="94">
        <f t="shared" ca="1" si="163"/>
        <v>22.690984127143082</v>
      </c>
      <c r="R601" s="94">
        <f t="shared" ca="1" si="164"/>
        <v>2.379993806051135</v>
      </c>
      <c r="S601" s="94">
        <f t="shared" ca="1" si="165"/>
        <v>2.4908891993879614</v>
      </c>
      <c r="T601" s="4">
        <f t="shared" ca="1" si="166"/>
        <v>1.6233779129631823E-2</v>
      </c>
      <c r="U601" s="46">
        <f t="shared" ca="1" si="167"/>
        <v>1550.6995798612329</v>
      </c>
      <c r="V601" s="4">
        <f t="shared" ca="1" si="168"/>
        <v>10.106316443969316</v>
      </c>
      <c r="W601" s="13">
        <f t="shared" ca="1" si="169"/>
        <v>11808.6675</v>
      </c>
      <c r="X601" s="4">
        <f t="shared" ca="1" si="170"/>
        <v>76.960187573724355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54"/>
        <v>0</v>
      </c>
      <c r="F602" s="100">
        <f t="shared" ca="1" si="155"/>
        <v>0.13844716000000004</v>
      </c>
      <c r="G602">
        <v>0</v>
      </c>
      <c r="H602">
        <v>1</v>
      </c>
      <c r="I602">
        <v>4</v>
      </c>
      <c r="J602" s="1">
        <f t="shared" ca="1" si="156"/>
        <v>2.377475124750002E-3</v>
      </c>
      <c r="K602" s="1">
        <f t="shared" ca="1" si="157"/>
        <v>3.2915467899228358E-4</v>
      </c>
      <c r="L602" s="13">
        <f t="shared" ca="1" si="158"/>
        <v>178</v>
      </c>
      <c r="M602" s="7">
        <f t="shared" ca="1" si="159"/>
        <v>822</v>
      </c>
      <c r="N602" s="44">
        <f t="shared" ca="1" si="160"/>
        <v>8</v>
      </c>
      <c r="O602" s="94">
        <f t="shared" ca="1" si="161"/>
        <v>2.4908891993879614</v>
      </c>
      <c r="P602" s="94">
        <f t="shared" ca="1" si="162"/>
        <v>24.908891993879614</v>
      </c>
      <c r="Q602" s="94">
        <f t="shared" ca="1" si="163"/>
        <v>24.908891993879614</v>
      </c>
      <c r="R602" s="94">
        <f t="shared" ca="1" si="164"/>
        <v>2.4908891993879614</v>
      </c>
      <c r="S602" s="94">
        <f t="shared" ca="1" si="165"/>
        <v>2.4908891993879614</v>
      </c>
      <c r="T602" s="4">
        <f t="shared" ca="1" si="166"/>
        <v>8.198878348298907E-4</v>
      </c>
      <c r="U602" s="46">
        <f t="shared" ca="1" si="167"/>
        <v>1531.6995798612329</v>
      </c>
      <c r="V602" s="4">
        <f t="shared" ca="1" si="168"/>
        <v>0.50416608352183978</v>
      </c>
      <c r="W602" s="13">
        <f t="shared" ca="1" si="169"/>
        <v>9825.5324999999993</v>
      </c>
      <c r="X602" s="4">
        <f t="shared" ca="1" si="170"/>
        <v>3.2341199959657492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54"/>
        <v>0</v>
      </c>
      <c r="F603" s="100">
        <f t="shared" ca="1" si="155"/>
        <v>0.13844716000000004</v>
      </c>
      <c r="G603">
        <v>0</v>
      </c>
      <c r="H603">
        <v>1</v>
      </c>
      <c r="I603">
        <v>3</v>
      </c>
      <c r="J603" s="1">
        <f t="shared" ca="1" si="156"/>
        <v>4.8029800500000085E-5</v>
      </c>
      <c r="K603" s="1">
        <f t="shared" ca="1" si="157"/>
        <v>6.6495894745915936E-6</v>
      </c>
      <c r="L603" s="13">
        <f t="shared" ca="1" si="158"/>
        <v>159</v>
      </c>
      <c r="M603" s="7">
        <f t="shared" ca="1" si="159"/>
        <v>841</v>
      </c>
      <c r="N603" s="44">
        <f t="shared" ca="1" si="160"/>
        <v>8</v>
      </c>
      <c r="O603" s="94">
        <f t="shared" ca="1" si="161"/>
        <v>2.4908891993879614</v>
      </c>
      <c r="P603" s="94">
        <f t="shared" ca="1" si="162"/>
        <v>24.908891993879614</v>
      </c>
      <c r="Q603" s="94">
        <f t="shared" ca="1" si="163"/>
        <v>24.908891993879614</v>
      </c>
      <c r="R603" s="94">
        <f t="shared" ca="1" si="164"/>
        <v>2.4908891993879614</v>
      </c>
      <c r="S603" s="94">
        <f t="shared" ca="1" si="165"/>
        <v>2.4908891993879614</v>
      </c>
      <c r="T603" s="4">
        <f t="shared" ca="1" si="166"/>
        <v>1.6563390602624068E-5</v>
      </c>
      <c r="U603" s="46">
        <f t="shared" ca="1" si="167"/>
        <v>1512.6995798612329</v>
      </c>
      <c r="V603" s="4">
        <f t="shared" ca="1" si="168"/>
        <v>1.005883120446438E-2</v>
      </c>
      <c r="W603" s="13">
        <f t="shared" ca="1" si="169"/>
        <v>7842.3974999999991</v>
      </c>
      <c r="X603" s="4">
        <f t="shared" ca="1" si="170"/>
        <v>5.214872387156342E-2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54"/>
        <v>0</v>
      </c>
      <c r="F604" s="100">
        <f t="shared" ca="1" si="155"/>
        <v>0.13844716000000004</v>
      </c>
      <c r="G604">
        <v>0</v>
      </c>
      <c r="H604">
        <v>1</v>
      </c>
      <c r="I604">
        <v>2</v>
      </c>
      <c r="J604" s="1">
        <f t="shared" ca="1" si="156"/>
        <v>4.8514950000000139E-7</v>
      </c>
      <c r="K604" s="1">
        <f t="shared" ca="1" si="157"/>
        <v>6.716757045042021E-8</v>
      </c>
      <c r="L604" s="13">
        <f t="shared" ca="1" si="158"/>
        <v>140</v>
      </c>
      <c r="M604" s="7">
        <f t="shared" ca="1" si="159"/>
        <v>860</v>
      </c>
      <c r="N604" s="44">
        <f t="shared" ca="1" si="160"/>
        <v>8</v>
      </c>
      <c r="O604" s="94">
        <f t="shared" ca="1" si="161"/>
        <v>2.4908891993879614</v>
      </c>
      <c r="P604" s="94">
        <f t="shared" ca="1" si="162"/>
        <v>24.908891993879614</v>
      </c>
      <c r="Q604" s="94">
        <f t="shared" ca="1" si="163"/>
        <v>24.908891993879614</v>
      </c>
      <c r="R604" s="94">
        <f t="shared" ca="1" si="164"/>
        <v>2.4908891993879614</v>
      </c>
      <c r="S604" s="94">
        <f t="shared" ca="1" si="165"/>
        <v>2.4908891993879614</v>
      </c>
      <c r="T604" s="4">
        <f t="shared" ca="1" si="166"/>
        <v>1.6730697578408169E-7</v>
      </c>
      <c r="U604" s="46">
        <f t="shared" ca="1" si="167"/>
        <v>1493.6995798612329</v>
      </c>
      <c r="V604" s="4">
        <f t="shared" ca="1" si="168"/>
        <v>1.0032817176209243E-4</v>
      </c>
      <c r="W604" s="13">
        <f t="shared" ca="1" si="169"/>
        <v>5859.2624999999998</v>
      </c>
      <c r="X604" s="4">
        <f t="shared" ca="1" si="170"/>
        <v>3.9355242675625525E-4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54"/>
        <v>0</v>
      </c>
      <c r="F605" s="100">
        <f t="shared" ca="1" si="155"/>
        <v>0.13844716000000004</v>
      </c>
      <c r="G605">
        <v>0</v>
      </c>
      <c r="H605">
        <v>1</v>
      </c>
      <c r="I605">
        <v>1</v>
      </c>
      <c r="J605" s="1">
        <f t="shared" ca="1" si="156"/>
        <v>2.450250000000009E-9</v>
      </c>
      <c r="K605" s="1">
        <f t="shared" ca="1" si="157"/>
        <v>3.3923015379000133E-10</v>
      </c>
      <c r="L605" s="13">
        <f t="shared" ca="1" si="158"/>
        <v>121</v>
      </c>
      <c r="M605" s="7">
        <f t="shared" ca="1" si="159"/>
        <v>879</v>
      </c>
      <c r="N605" s="44">
        <f t="shared" ca="1" si="160"/>
        <v>8</v>
      </c>
      <c r="O605" s="94">
        <f t="shared" ca="1" si="161"/>
        <v>2.4908891993879614</v>
      </c>
      <c r="P605" s="94">
        <f t="shared" ca="1" si="162"/>
        <v>24.908891993879614</v>
      </c>
      <c r="Q605" s="94">
        <f t="shared" ca="1" si="163"/>
        <v>24.908891993879614</v>
      </c>
      <c r="R605" s="94">
        <f t="shared" ca="1" si="164"/>
        <v>2.4908891993879614</v>
      </c>
      <c r="S605" s="94">
        <f t="shared" ca="1" si="165"/>
        <v>2.4908891993879614</v>
      </c>
      <c r="T605" s="4">
        <f t="shared" ca="1" si="166"/>
        <v>8.4498472618223142E-10</v>
      </c>
      <c r="U605" s="46">
        <f t="shared" ca="1" si="167"/>
        <v>1474.6995798612329</v>
      </c>
      <c r="V605" s="4">
        <f t="shared" ca="1" si="168"/>
        <v>5.0026256527037635E-7</v>
      </c>
      <c r="W605" s="13">
        <f t="shared" ca="1" si="169"/>
        <v>3876.1274999999996</v>
      </c>
      <c r="X605" s="4">
        <f t="shared" ca="1" si="170"/>
        <v>1.3148993279346533E-6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54"/>
        <v>0</v>
      </c>
      <c r="F606" s="100">
        <f t="shared" ca="1" si="155"/>
        <v>0.13844716000000004</v>
      </c>
      <c r="G606">
        <v>0</v>
      </c>
      <c r="H606">
        <v>1</v>
      </c>
      <c r="I606">
        <v>0</v>
      </c>
      <c r="J606" s="1">
        <f t="shared" ca="1" si="156"/>
        <v>4.9500000000000231E-12</v>
      </c>
      <c r="K606" s="1">
        <f t="shared" ca="1" si="157"/>
        <v>6.8531344200000339E-13</v>
      </c>
      <c r="L606" s="13">
        <f t="shared" ca="1" si="158"/>
        <v>102</v>
      </c>
      <c r="M606" s="7">
        <f t="shared" ca="1" si="159"/>
        <v>898</v>
      </c>
      <c r="N606" s="44">
        <f t="shared" ca="1" si="160"/>
        <v>8</v>
      </c>
      <c r="O606" s="94">
        <f t="shared" ca="1" si="161"/>
        <v>2.4908891993879614</v>
      </c>
      <c r="P606" s="94">
        <f t="shared" ca="1" si="162"/>
        <v>24.908891993879614</v>
      </c>
      <c r="Q606" s="94">
        <f t="shared" ca="1" si="163"/>
        <v>24.908891993879614</v>
      </c>
      <c r="R606" s="94">
        <f t="shared" ca="1" si="164"/>
        <v>2.4908891993879614</v>
      </c>
      <c r="S606" s="94">
        <f t="shared" ca="1" si="165"/>
        <v>2.4908891993879614</v>
      </c>
      <c r="T606" s="4">
        <f t="shared" ca="1" si="166"/>
        <v>1.7070398508731967E-12</v>
      </c>
      <c r="U606" s="46">
        <f t="shared" ca="1" si="167"/>
        <v>1455.6995798612329</v>
      </c>
      <c r="V606" s="4">
        <f t="shared" ca="1" si="168"/>
        <v>9.9761048959266043E-10</v>
      </c>
      <c r="W606" s="13">
        <f t="shared" ca="1" si="169"/>
        <v>1892.9924999999998</v>
      </c>
      <c r="X606" s="4">
        <f t="shared" ca="1" si="170"/>
        <v>1.2972932058551913E-9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54"/>
        <v>0</v>
      </c>
      <c r="F607" s="100">
        <f t="shared" ca="1" si="155"/>
        <v>0.13844716000000004</v>
      </c>
      <c r="G607">
        <v>0</v>
      </c>
      <c r="H607">
        <v>0</v>
      </c>
      <c r="I607">
        <v>7</v>
      </c>
      <c r="J607" s="1">
        <f t="shared" ca="1" si="156"/>
        <v>0</v>
      </c>
      <c r="K607" s="1">
        <f t="shared" ca="1" si="157"/>
        <v>0</v>
      </c>
      <c r="L607" s="13">
        <f t="shared" ca="1" si="158"/>
        <v>133</v>
      </c>
      <c r="M607" s="7">
        <f t="shared" ca="1" si="159"/>
        <v>867</v>
      </c>
      <c r="N607" s="44">
        <f t="shared" ca="1" si="160"/>
        <v>8</v>
      </c>
      <c r="O607" s="94">
        <f t="shared" ca="1" si="161"/>
        <v>2.4908891993879614</v>
      </c>
      <c r="P607" s="94">
        <f t="shared" ca="1" si="162"/>
        <v>24.908891993879614</v>
      </c>
      <c r="Q607" s="94">
        <f t="shared" ca="1" si="163"/>
        <v>24.908891993879614</v>
      </c>
      <c r="R607" s="94">
        <f t="shared" ca="1" si="164"/>
        <v>2.4908891993879614</v>
      </c>
      <c r="S607" s="94">
        <f t="shared" ca="1" si="165"/>
        <v>2.4908891993879614</v>
      </c>
      <c r="T607" s="4">
        <f t="shared" ca="1" si="166"/>
        <v>0</v>
      </c>
      <c r="U607" s="46">
        <f t="shared" ca="1" si="167"/>
        <v>1486.6995798612329</v>
      </c>
      <c r="V607" s="4">
        <f t="shared" ca="1" si="168"/>
        <v>0</v>
      </c>
      <c r="W607" s="13">
        <f t="shared" ca="1" si="169"/>
        <v>13881.945</v>
      </c>
      <c r="X607" s="4">
        <f t="shared" ca="1" si="170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54"/>
        <v>0</v>
      </c>
      <c r="F608" s="100">
        <f t="shared" ca="1" si="155"/>
        <v>0.13844716000000004</v>
      </c>
      <c r="G608">
        <v>0</v>
      </c>
      <c r="H608">
        <v>0</v>
      </c>
      <c r="I608">
        <v>6</v>
      </c>
      <c r="J608" s="1">
        <f t="shared" ca="1" si="156"/>
        <v>0</v>
      </c>
      <c r="K608" s="1">
        <f t="shared" ca="1" si="157"/>
        <v>0</v>
      </c>
      <c r="L608" s="13">
        <f t="shared" ca="1" si="158"/>
        <v>114</v>
      </c>
      <c r="M608" s="7">
        <f t="shared" ca="1" si="159"/>
        <v>886</v>
      </c>
      <c r="N608" s="44">
        <f t="shared" ca="1" si="160"/>
        <v>8</v>
      </c>
      <c r="O608" s="94">
        <f t="shared" ca="1" si="161"/>
        <v>2.4908891993879614</v>
      </c>
      <c r="P608" s="94">
        <f t="shared" ca="1" si="162"/>
        <v>24.908891993879614</v>
      </c>
      <c r="Q608" s="94">
        <f t="shared" ca="1" si="163"/>
        <v>24.908891993879614</v>
      </c>
      <c r="R608" s="94">
        <f t="shared" ca="1" si="164"/>
        <v>2.4908891993879614</v>
      </c>
      <c r="S608" s="94">
        <f t="shared" ca="1" si="165"/>
        <v>2.4908891993879614</v>
      </c>
      <c r="T608" s="4">
        <f t="shared" ca="1" si="166"/>
        <v>0</v>
      </c>
      <c r="U608" s="46">
        <f t="shared" ca="1" si="167"/>
        <v>1467.6995798612329</v>
      </c>
      <c r="V608" s="4">
        <f t="shared" ca="1" si="168"/>
        <v>0</v>
      </c>
      <c r="W608" s="13">
        <f t="shared" ca="1" si="169"/>
        <v>11898.81</v>
      </c>
      <c r="X608" s="4">
        <f t="shared" ca="1" si="170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54"/>
        <v>0</v>
      </c>
      <c r="F609" s="100">
        <f t="shared" ca="1" si="155"/>
        <v>0.13844716000000004</v>
      </c>
      <c r="G609">
        <v>0</v>
      </c>
      <c r="H609">
        <v>0</v>
      </c>
      <c r="I609">
        <v>5</v>
      </c>
      <c r="J609" s="1">
        <f t="shared" ca="1" si="156"/>
        <v>4.7549502495000039E-4</v>
      </c>
      <c r="K609" s="1">
        <f t="shared" ca="1" si="157"/>
        <v>6.5830935798456722E-5</v>
      </c>
      <c r="L609" s="13">
        <f t="shared" ca="1" si="158"/>
        <v>100</v>
      </c>
      <c r="M609" s="7">
        <f t="shared" ca="1" si="159"/>
        <v>900</v>
      </c>
      <c r="N609" s="44">
        <f t="shared" ca="1" si="160"/>
        <v>8</v>
      </c>
      <c r="O609" s="94">
        <f t="shared" ca="1" si="161"/>
        <v>2.4908891993879614</v>
      </c>
      <c r="P609" s="94">
        <f t="shared" ca="1" si="162"/>
        <v>24.908891993879614</v>
      </c>
      <c r="Q609" s="94">
        <f t="shared" ca="1" si="163"/>
        <v>24.908891993879614</v>
      </c>
      <c r="R609" s="94">
        <f t="shared" ca="1" si="164"/>
        <v>2.4908891993879614</v>
      </c>
      <c r="S609" s="94">
        <f t="shared" ca="1" si="165"/>
        <v>2.4908891993879614</v>
      </c>
      <c r="T609" s="4">
        <f t="shared" ca="1" si="166"/>
        <v>1.6397756696597815E-4</v>
      </c>
      <c r="U609" s="46">
        <f t="shared" ca="1" si="167"/>
        <v>1453.6995798612329</v>
      </c>
      <c r="V609" s="4">
        <f t="shared" ca="1" si="168"/>
        <v>9.5698403712088334E-2</v>
      </c>
      <c r="W609" s="13">
        <f t="shared" ca="1" si="169"/>
        <v>9915.6749999999993</v>
      </c>
      <c r="X609" s="4">
        <f t="shared" ca="1" si="170"/>
        <v>0.65275816432336231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54"/>
        <v>0</v>
      </c>
      <c r="F610" s="100">
        <f t="shared" ca="1" si="155"/>
        <v>0.13844716000000004</v>
      </c>
      <c r="G610">
        <v>0</v>
      </c>
      <c r="H610">
        <v>0</v>
      </c>
      <c r="I610">
        <v>4</v>
      </c>
      <c r="J610" s="1">
        <f t="shared" ca="1" si="156"/>
        <v>2.4014900250000042E-5</v>
      </c>
      <c r="K610" s="1">
        <f t="shared" ca="1" si="157"/>
        <v>3.3247947372957968E-6</v>
      </c>
      <c r="L610" s="13">
        <f t="shared" ca="1" si="158"/>
        <v>100</v>
      </c>
      <c r="M610" s="7">
        <f t="shared" ca="1" si="159"/>
        <v>900</v>
      </c>
      <c r="N610" s="44">
        <f t="shared" ca="1" si="160"/>
        <v>8</v>
      </c>
      <c r="O610" s="94">
        <f t="shared" ca="1" si="161"/>
        <v>2.4908891993879614</v>
      </c>
      <c r="P610" s="94">
        <f t="shared" ca="1" si="162"/>
        <v>24.908891993879614</v>
      </c>
      <c r="Q610" s="94">
        <f t="shared" ca="1" si="163"/>
        <v>24.908891993879614</v>
      </c>
      <c r="R610" s="94">
        <f t="shared" ca="1" si="164"/>
        <v>2.4908891993879614</v>
      </c>
      <c r="S610" s="94">
        <f t="shared" ca="1" si="165"/>
        <v>2.4908891993879614</v>
      </c>
      <c r="T610" s="4">
        <f t="shared" ca="1" si="166"/>
        <v>8.2816953013120339E-6</v>
      </c>
      <c r="U610" s="46">
        <f t="shared" ca="1" si="167"/>
        <v>1453.6995798612329</v>
      </c>
      <c r="V610" s="4">
        <f t="shared" ca="1" si="168"/>
        <v>4.8332527127317379E-3</v>
      </c>
      <c r="W610" s="13">
        <f t="shared" ca="1" si="169"/>
        <v>7932.54</v>
      </c>
      <c r="X610" s="4">
        <f t="shared" ca="1" si="170"/>
        <v>2.6374067245388402E-2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54"/>
        <v>0</v>
      </c>
      <c r="F611" s="100">
        <f t="shared" ca="1" si="155"/>
        <v>0.13844716000000004</v>
      </c>
      <c r="G611">
        <v>0</v>
      </c>
      <c r="H611">
        <v>0</v>
      </c>
      <c r="I611">
        <v>3</v>
      </c>
      <c r="J611" s="1">
        <f t="shared" ca="1" si="156"/>
        <v>4.8514950000000128E-7</v>
      </c>
      <c r="K611" s="1">
        <f t="shared" ca="1" si="157"/>
        <v>6.7167570450420197E-8</v>
      </c>
      <c r="L611" s="13">
        <f t="shared" ca="1" si="158"/>
        <v>100</v>
      </c>
      <c r="M611" s="7">
        <f t="shared" ca="1" si="159"/>
        <v>900</v>
      </c>
      <c r="N611" s="44">
        <f t="shared" ca="1" si="160"/>
        <v>8</v>
      </c>
      <c r="O611" s="94">
        <f t="shared" ca="1" si="161"/>
        <v>2.4908891993879614</v>
      </c>
      <c r="P611" s="94">
        <f t="shared" ca="1" si="162"/>
        <v>24.908891993879614</v>
      </c>
      <c r="Q611" s="94">
        <f t="shared" ca="1" si="163"/>
        <v>24.908891993879614</v>
      </c>
      <c r="R611" s="94">
        <f t="shared" ca="1" si="164"/>
        <v>2.4908891993879614</v>
      </c>
      <c r="S611" s="94">
        <f t="shared" ca="1" si="165"/>
        <v>2.4908891993879614</v>
      </c>
      <c r="T611" s="4">
        <f t="shared" ca="1" si="166"/>
        <v>1.6730697578408166E-7</v>
      </c>
      <c r="U611" s="46">
        <f t="shared" ca="1" si="167"/>
        <v>1453.6995798612329</v>
      </c>
      <c r="V611" s="4">
        <f t="shared" ca="1" si="168"/>
        <v>9.7641468944075597E-5</v>
      </c>
      <c r="W611" s="13">
        <f t="shared" ca="1" si="169"/>
        <v>5949.4049999999997</v>
      </c>
      <c r="X611" s="4">
        <f t="shared" ca="1" si="170"/>
        <v>3.9960707947558216E-4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54"/>
        <v>0</v>
      </c>
      <c r="F612" s="100">
        <f t="shared" ca="1" si="155"/>
        <v>0.13844716000000004</v>
      </c>
      <c r="G612">
        <v>0</v>
      </c>
      <c r="H612">
        <v>0</v>
      </c>
      <c r="I612">
        <v>2</v>
      </c>
      <c r="J612" s="1">
        <f t="shared" ca="1" si="156"/>
        <v>4.900500000000018E-9</v>
      </c>
      <c r="K612" s="1">
        <f t="shared" ca="1" si="157"/>
        <v>6.7846030758000266E-10</v>
      </c>
      <c r="L612" s="13">
        <f t="shared" ca="1" si="158"/>
        <v>100</v>
      </c>
      <c r="M612" s="7">
        <f t="shared" ca="1" si="159"/>
        <v>900</v>
      </c>
      <c r="N612" s="44">
        <f t="shared" ca="1" si="160"/>
        <v>8</v>
      </c>
      <c r="O612" s="94">
        <f t="shared" ca="1" si="161"/>
        <v>2.4908891993879614</v>
      </c>
      <c r="P612" s="94">
        <f t="shared" ca="1" si="162"/>
        <v>24.908891993879614</v>
      </c>
      <c r="Q612" s="94">
        <f t="shared" ca="1" si="163"/>
        <v>24.908891993879614</v>
      </c>
      <c r="R612" s="94">
        <f t="shared" ca="1" si="164"/>
        <v>2.4908891993879614</v>
      </c>
      <c r="S612" s="94">
        <f t="shared" ca="1" si="165"/>
        <v>2.4908891993879614</v>
      </c>
      <c r="T612" s="4">
        <f t="shared" ca="1" si="166"/>
        <v>1.6899694523644628E-9</v>
      </c>
      <c r="U612" s="46">
        <f t="shared" ca="1" si="167"/>
        <v>1453.6995798612329</v>
      </c>
      <c r="V612" s="4">
        <f t="shared" ca="1" si="168"/>
        <v>9.8627746408157263E-7</v>
      </c>
      <c r="W612" s="13">
        <f t="shared" ca="1" si="169"/>
        <v>3966.27</v>
      </c>
      <c r="X612" s="4">
        <f t="shared" ca="1" si="170"/>
        <v>2.6909567641453373E-6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54"/>
        <v>0</v>
      </c>
      <c r="F613" s="100">
        <f t="shared" ca="1" si="155"/>
        <v>0.13844716000000004</v>
      </c>
      <c r="G613">
        <v>0</v>
      </c>
      <c r="H613">
        <v>0</v>
      </c>
      <c r="I613">
        <v>1</v>
      </c>
      <c r="J613" s="1">
        <f t="shared" ca="1" si="156"/>
        <v>2.4750000000000112E-11</v>
      </c>
      <c r="K613" s="1">
        <f t="shared" ca="1" si="157"/>
        <v>3.4265672100000167E-12</v>
      </c>
      <c r="L613" s="13">
        <f t="shared" ca="1" si="158"/>
        <v>100</v>
      </c>
      <c r="M613" s="7">
        <f t="shared" ca="1" si="159"/>
        <v>900</v>
      </c>
      <c r="N613" s="44">
        <f t="shared" ca="1" si="160"/>
        <v>8</v>
      </c>
      <c r="O613" s="94">
        <f t="shared" ca="1" si="161"/>
        <v>2.4908891993879614</v>
      </c>
      <c r="P613" s="94">
        <f t="shared" ca="1" si="162"/>
        <v>24.908891993879614</v>
      </c>
      <c r="Q613" s="94">
        <f t="shared" ca="1" si="163"/>
        <v>24.908891993879614</v>
      </c>
      <c r="R613" s="94">
        <f t="shared" ca="1" si="164"/>
        <v>2.4908891993879614</v>
      </c>
      <c r="S613" s="94">
        <f t="shared" ca="1" si="165"/>
        <v>2.4908891993879614</v>
      </c>
      <c r="T613" s="4">
        <f t="shared" ca="1" si="166"/>
        <v>8.5351992543659818E-12</v>
      </c>
      <c r="U613" s="46">
        <f t="shared" ca="1" si="167"/>
        <v>1453.6995798612329</v>
      </c>
      <c r="V613" s="4">
        <f t="shared" ca="1" si="168"/>
        <v>4.9811993135433015E-9</v>
      </c>
      <c r="W613" s="13">
        <f t="shared" ca="1" si="169"/>
        <v>1983.135</v>
      </c>
      <c r="X613" s="4">
        <f t="shared" ca="1" si="170"/>
        <v>6.7953453640033826E-9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54"/>
        <v>0</v>
      </c>
      <c r="F614" s="100">
        <f t="shared" ca="1" si="155"/>
        <v>0.13844716000000004</v>
      </c>
      <c r="G614">
        <v>0</v>
      </c>
      <c r="H614">
        <v>0</v>
      </c>
      <c r="I614">
        <v>0</v>
      </c>
      <c r="J614" s="1">
        <f t="shared" ca="1" si="156"/>
        <v>5.0000000000000273E-14</v>
      </c>
      <c r="K614" s="1">
        <f t="shared" ca="1" si="157"/>
        <v>6.9223580000000397E-15</v>
      </c>
      <c r="L614" s="13">
        <f t="shared" ca="1" si="158"/>
        <v>100</v>
      </c>
      <c r="M614" s="7">
        <f t="shared" ca="1" si="159"/>
        <v>900</v>
      </c>
      <c r="N614" s="44">
        <f t="shared" ca="1" si="160"/>
        <v>8</v>
      </c>
      <c r="O614" s="94">
        <f t="shared" ca="1" si="161"/>
        <v>2.4908891993879614</v>
      </c>
      <c r="P614" s="94">
        <f t="shared" ca="1" si="162"/>
        <v>24.908891993879614</v>
      </c>
      <c r="Q614" s="94">
        <f t="shared" ca="1" si="163"/>
        <v>24.908891993879614</v>
      </c>
      <c r="R614" s="94">
        <f t="shared" ca="1" si="164"/>
        <v>2.4908891993879614</v>
      </c>
      <c r="S614" s="94">
        <f t="shared" ca="1" si="165"/>
        <v>2.4908891993879614</v>
      </c>
      <c r="T614" s="4">
        <f t="shared" ca="1" si="166"/>
        <v>1.724282677649695E-14</v>
      </c>
      <c r="U614" s="46">
        <f t="shared" ca="1" si="167"/>
        <v>1453.6995798612329</v>
      </c>
      <c r="V614" s="4">
        <f t="shared" ca="1" si="168"/>
        <v>1.0063028916249103E-11</v>
      </c>
      <c r="W614" s="13">
        <f t="shared" ca="1" si="169"/>
        <v>0</v>
      </c>
      <c r="X614" s="4">
        <f t="shared" ca="1" si="170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0.104796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337</v>
      </c>
      <c r="M615" s="7">
        <f t="shared" ref="M615:M678" ca="1" si="178">MAX(Set2MinTP-(L615+Set2Regain), 0)</f>
        <v>663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1.9922775034029279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19.922775034029279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19.922775034029279</v>
      </c>
      <c r="R615" s="94">
        <f t="shared" ref="R615:R678" ca="1" si="183">(P615+Q615)/20</f>
        <v>1.9922775034029279</v>
      </c>
      <c r="S615" s="94">
        <f t="shared" ref="S615:S678" ca="1" si="184">R615*Set2ConserveTP + O615*(1-Set2ConserveTP)</f>
        <v>1.9922775034029279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1472.3253840141317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17758.072499999998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0.104796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9.2792884189297875E-2</v>
      </c>
      <c r="L616" s="13">
        <f t="shared" ca="1" si="177"/>
        <v>318</v>
      </c>
      <c r="M616" s="7">
        <f t="shared" ca="1" si="178"/>
        <v>682</v>
      </c>
      <c r="N616" s="44">
        <f t="shared" ca="1" si="179"/>
        <v>7</v>
      </c>
      <c r="O616" s="94">
        <f t="shared" ca="1" si="180"/>
        <v>2.2444549919727916</v>
      </c>
      <c r="P616" s="94">
        <f t="shared" ca="1" si="181"/>
        <v>20.679307499738869</v>
      </c>
      <c r="Q616" s="94">
        <f t="shared" ca="1" si="182"/>
        <v>19.922775034029279</v>
      </c>
      <c r="R616" s="94">
        <f t="shared" ca="1" si="183"/>
        <v>2.0301041266884075</v>
      </c>
      <c r="S616" s="94">
        <f t="shared" ca="1" si="184"/>
        <v>2.2444549919727916</v>
      </c>
      <c r="T616" s="4">
        <f t="shared" ca="1" si="185"/>
        <v>0.20826945213822273</v>
      </c>
      <c r="U616" s="46">
        <f t="shared" ca="1" si="186"/>
        <v>1563.7701584159711</v>
      </c>
      <c r="V616" s="4">
        <f t="shared" ca="1" si="187"/>
        <v>145.10674320857319</v>
      </c>
      <c r="W616" s="13">
        <f t="shared" ca="1" si="188"/>
        <v>15774.9375</v>
      </c>
      <c r="X616" s="4">
        <f t="shared" ca="1" si="189"/>
        <v>1463.8019485309121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0.104796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5.6238111629877546E-3</v>
      </c>
      <c r="L617" s="13">
        <f t="shared" ca="1" si="177"/>
        <v>299</v>
      </c>
      <c r="M617" s="7">
        <f t="shared" ca="1" si="178"/>
        <v>701</v>
      </c>
      <c r="N617" s="44">
        <f t="shared" ca="1" si="179"/>
        <v>7</v>
      </c>
      <c r="O617" s="94">
        <f t="shared" ca="1" si="180"/>
        <v>2.2444549919727916</v>
      </c>
      <c r="P617" s="94">
        <f t="shared" ca="1" si="181"/>
        <v>22.444549919727915</v>
      </c>
      <c r="Q617" s="94">
        <f t="shared" ca="1" si="182"/>
        <v>22.444549919727915</v>
      </c>
      <c r="R617" s="94">
        <f t="shared" ca="1" si="183"/>
        <v>2.2444549919727916</v>
      </c>
      <c r="S617" s="94">
        <f t="shared" ca="1" si="184"/>
        <v>2.2444549919727916</v>
      </c>
      <c r="T617" s="4">
        <f t="shared" ca="1" si="185"/>
        <v>1.2622391038680177E-2</v>
      </c>
      <c r="U617" s="46">
        <f t="shared" ca="1" si="186"/>
        <v>1544.7701584159711</v>
      </c>
      <c r="V617" s="4">
        <f t="shared" ca="1" si="187"/>
        <v>8.6874956611501002</v>
      </c>
      <c r="W617" s="13">
        <f t="shared" ca="1" si="188"/>
        <v>13791.802499999998</v>
      </c>
      <c r="X617" s="4">
        <f t="shared" ca="1" si="189"/>
        <v>77.562492857222409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0.104796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1.4201543340878185E-4</v>
      </c>
      <c r="L618" s="13">
        <f t="shared" ca="1" si="177"/>
        <v>280</v>
      </c>
      <c r="M618" s="7">
        <f t="shared" ca="1" si="178"/>
        <v>720</v>
      </c>
      <c r="N618" s="44">
        <f t="shared" ca="1" si="179"/>
        <v>7</v>
      </c>
      <c r="O618" s="94">
        <f t="shared" ca="1" si="180"/>
        <v>2.2444549919727916</v>
      </c>
      <c r="P618" s="94">
        <f t="shared" ca="1" si="181"/>
        <v>22.444549919727915</v>
      </c>
      <c r="Q618" s="94">
        <f t="shared" ca="1" si="182"/>
        <v>22.444549919727915</v>
      </c>
      <c r="R618" s="94">
        <f t="shared" ca="1" si="183"/>
        <v>2.2444549919727916</v>
      </c>
      <c r="S618" s="94">
        <f t="shared" ca="1" si="184"/>
        <v>2.2444549919727916</v>
      </c>
      <c r="T618" s="4">
        <f t="shared" ca="1" si="185"/>
        <v>3.1874724845151997E-4</v>
      </c>
      <c r="U618" s="46">
        <f t="shared" ca="1" si="186"/>
        <v>1525.7701584159711</v>
      </c>
      <c r="V618" s="4">
        <f t="shared" ca="1" si="187"/>
        <v>0.21668291032962986</v>
      </c>
      <c r="W618" s="13">
        <f t="shared" ca="1" si="188"/>
        <v>11808.6675</v>
      </c>
      <c r="X618" s="4">
        <f t="shared" ca="1" si="189"/>
        <v>1.6770130329926964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0.104796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1.9126657698152448E-6</v>
      </c>
      <c r="L619" s="13">
        <f t="shared" ca="1" si="177"/>
        <v>261</v>
      </c>
      <c r="M619" s="7">
        <f t="shared" ca="1" si="178"/>
        <v>739</v>
      </c>
      <c r="N619" s="44">
        <f t="shared" ca="1" si="179"/>
        <v>7</v>
      </c>
      <c r="O619" s="94">
        <f t="shared" ca="1" si="180"/>
        <v>2.2444549919727916</v>
      </c>
      <c r="P619" s="94">
        <f t="shared" ca="1" si="181"/>
        <v>22.444549919727915</v>
      </c>
      <c r="Q619" s="94">
        <f t="shared" ca="1" si="182"/>
        <v>22.444549919727915</v>
      </c>
      <c r="R619" s="94">
        <f t="shared" ca="1" si="183"/>
        <v>2.2444549919727916</v>
      </c>
      <c r="S619" s="94">
        <f t="shared" ca="1" si="184"/>
        <v>2.2444549919727916</v>
      </c>
      <c r="T619" s="4">
        <f t="shared" ca="1" si="185"/>
        <v>4.2928922350373083E-6</v>
      </c>
      <c r="U619" s="46">
        <f t="shared" ca="1" si="186"/>
        <v>1506.7701584159711</v>
      </c>
      <c r="V619" s="4">
        <f t="shared" ca="1" si="187"/>
        <v>2.8819477049813217E-3</v>
      </c>
      <c r="W619" s="13">
        <f t="shared" ca="1" si="188"/>
        <v>9825.5324999999993</v>
      </c>
      <c r="X619" s="4">
        <f t="shared" ca="1" si="189"/>
        <v>1.8792959682957206E-2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0.104796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1.4489892195570054E-8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2.2444549919727916</v>
      </c>
      <c r="P620" s="94">
        <f t="shared" ca="1" si="181"/>
        <v>22.444549919727915</v>
      </c>
      <c r="Q620" s="94">
        <f t="shared" ca="1" si="182"/>
        <v>22.444549919727915</v>
      </c>
      <c r="R620" s="94">
        <f t="shared" ca="1" si="183"/>
        <v>2.2444549919727916</v>
      </c>
      <c r="S620" s="94">
        <f t="shared" ca="1" si="184"/>
        <v>2.2444549919727916</v>
      </c>
      <c r="T620" s="4">
        <f t="shared" ca="1" si="185"/>
        <v>3.2521910871494798E-8</v>
      </c>
      <c r="U620" s="46">
        <f t="shared" ca="1" si="186"/>
        <v>1487.7701584159711</v>
      </c>
      <c r="V620" s="4">
        <f t="shared" ca="1" si="187"/>
        <v>2.1557629207233601E-5</v>
      </c>
      <c r="W620" s="13">
        <f t="shared" ca="1" si="188"/>
        <v>7842.3974999999991</v>
      </c>
      <c r="X620" s="4">
        <f t="shared" ca="1" si="189"/>
        <v>1.1363549432980809E-4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0.104796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5.8545018972000267E-11</v>
      </c>
      <c r="L621" s="13">
        <f t="shared" ca="1" si="177"/>
        <v>223</v>
      </c>
      <c r="M621" s="7">
        <f t="shared" ca="1" si="178"/>
        <v>777</v>
      </c>
      <c r="N621" s="44">
        <f t="shared" ca="1" si="179"/>
        <v>7</v>
      </c>
      <c r="O621" s="94">
        <f t="shared" ca="1" si="180"/>
        <v>2.2444549919727916</v>
      </c>
      <c r="P621" s="94">
        <f t="shared" ca="1" si="181"/>
        <v>22.444549919727915</v>
      </c>
      <c r="Q621" s="94">
        <f t="shared" ca="1" si="182"/>
        <v>22.444549919727915</v>
      </c>
      <c r="R621" s="94">
        <f t="shared" ca="1" si="183"/>
        <v>2.2444549919727916</v>
      </c>
      <c r="S621" s="94">
        <f t="shared" ca="1" si="184"/>
        <v>2.2444549919727916</v>
      </c>
      <c r="T621" s="4">
        <f t="shared" ca="1" si="185"/>
        <v>1.3140166008684779E-10</v>
      </c>
      <c r="U621" s="46">
        <f t="shared" ca="1" si="186"/>
        <v>1468.7701584159711</v>
      </c>
      <c r="V621" s="4">
        <f t="shared" ca="1" si="187"/>
        <v>8.5989176789970859E-8</v>
      </c>
      <c r="W621" s="13">
        <f t="shared" ca="1" si="188"/>
        <v>5859.2624999999998</v>
      </c>
      <c r="X621" s="4">
        <f t="shared" ca="1" si="189"/>
        <v>3.4303063422442968E-7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0.104796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9.856063800000054E-14</v>
      </c>
      <c r="L622" s="13">
        <f t="shared" ca="1" si="177"/>
        <v>204</v>
      </c>
      <c r="M622" s="7">
        <f t="shared" ca="1" si="178"/>
        <v>796</v>
      </c>
      <c r="N622" s="44">
        <f t="shared" ca="1" si="179"/>
        <v>8</v>
      </c>
      <c r="O622" s="94">
        <f t="shared" ca="1" si="180"/>
        <v>2.4908891993879614</v>
      </c>
      <c r="P622" s="94">
        <f t="shared" ca="1" si="181"/>
        <v>23.430286749388593</v>
      </c>
      <c r="Q622" s="94">
        <f t="shared" ca="1" si="182"/>
        <v>22.444549919727915</v>
      </c>
      <c r="R622" s="94">
        <f t="shared" ca="1" si="183"/>
        <v>2.2937418334558251</v>
      </c>
      <c r="S622" s="94">
        <f t="shared" ca="1" si="184"/>
        <v>2.4908891993879614</v>
      </c>
      <c r="T622" s="4">
        <f t="shared" ca="1" si="185"/>
        <v>2.4550362867898805E-13</v>
      </c>
      <c r="U622" s="46">
        <f t="shared" ca="1" si="186"/>
        <v>1557.6995798612329</v>
      </c>
      <c r="V622" s="4">
        <f t="shared" ca="1" si="187"/>
        <v>1.5352786440345592E-10</v>
      </c>
      <c r="W622" s="13">
        <f t="shared" ca="1" si="188"/>
        <v>3876.1274999999996</v>
      </c>
      <c r="X622" s="4">
        <f t="shared" ca="1" si="189"/>
        <v>3.8203359936934704E-10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0.104796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235</v>
      </c>
      <c r="M623" s="7">
        <f t="shared" ca="1" si="178"/>
        <v>765</v>
      </c>
      <c r="N623" s="44">
        <f t="shared" ca="1" si="179"/>
        <v>7</v>
      </c>
      <c r="O623" s="94">
        <f t="shared" ca="1" si="180"/>
        <v>2.2444549919727916</v>
      </c>
      <c r="P623" s="94">
        <f t="shared" ca="1" si="181"/>
        <v>22.444549919727915</v>
      </c>
      <c r="Q623" s="94">
        <f t="shared" ca="1" si="182"/>
        <v>22.444549919727915</v>
      </c>
      <c r="R623" s="94">
        <f t="shared" ca="1" si="183"/>
        <v>2.2444549919727916</v>
      </c>
      <c r="S623" s="94">
        <f t="shared" ca="1" si="184"/>
        <v>2.2444549919727916</v>
      </c>
      <c r="T623" s="4">
        <f t="shared" ca="1" si="185"/>
        <v>0</v>
      </c>
      <c r="U623" s="46">
        <f t="shared" ca="1" si="186"/>
        <v>1480.7701584159711</v>
      </c>
      <c r="V623" s="4">
        <f t="shared" ca="1" si="187"/>
        <v>0</v>
      </c>
      <c r="W623" s="13">
        <f t="shared" ca="1" si="188"/>
        <v>15865.08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0.104796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9.3730186049795911E-4</v>
      </c>
      <c r="L624" s="13">
        <f t="shared" ca="1" si="177"/>
        <v>216</v>
      </c>
      <c r="M624" s="7">
        <f t="shared" ca="1" si="178"/>
        <v>784</v>
      </c>
      <c r="N624" s="44">
        <f t="shared" ca="1" si="179"/>
        <v>7</v>
      </c>
      <c r="O624" s="94">
        <f t="shared" ca="1" si="180"/>
        <v>2.2444549919727916</v>
      </c>
      <c r="P624" s="94">
        <f t="shared" ca="1" si="181"/>
        <v>22.444549919727915</v>
      </c>
      <c r="Q624" s="94">
        <f t="shared" ca="1" si="182"/>
        <v>22.444549919727915</v>
      </c>
      <c r="R624" s="94">
        <f t="shared" ca="1" si="183"/>
        <v>2.2444549919727916</v>
      </c>
      <c r="S624" s="94">
        <f t="shared" ca="1" si="184"/>
        <v>2.2444549919727916</v>
      </c>
      <c r="T624" s="4">
        <f t="shared" ca="1" si="185"/>
        <v>2.1037318397800295E-3</v>
      </c>
      <c r="U624" s="46">
        <f t="shared" ca="1" si="186"/>
        <v>1461.7701584159711</v>
      </c>
      <c r="V624" s="4">
        <f t="shared" ca="1" si="187"/>
        <v>1.3701198891036861</v>
      </c>
      <c r="W624" s="13">
        <f t="shared" ca="1" si="188"/>
        <v>13881.945</v>
      </c>
      <c r="X624" s="4">
        <f t="shared" ca="1" si="189"/>
        <v>13.011572875830341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0.104796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5.6806173363512718E-5</v>
      </c>
      <c r="L625" s="13">
        <f t="shared" ca="1" si="177"/>
        <v>197</v>
      </c>
      <c r="M625" s="7">
        <f t="shared" ca="1" si="178"/>
        <v>803</v>
      </c>
      <c r="N625" s="44">
        <f t="shared" ca="1" si="179"/>
        <v>8</v>
      </c>
      <c r="O625" s="94">
        <f t="shared" ca="1" si="180"/>
        <v>2.4908891993879614</v>
      </c>
      <c r="P625" s="94">
        <f t="shared" ca="1" si="181"/>
        <v>24.908891993879614</v>
      </c>
      <c r="Q625" s="94">
        <f t="shared" ca="1" si="182"/>
        <v>22.690984127143082</v>
      </c>
      <c r="R625" s="94">
        <f t="shared" ca="1" si="183"/>
        <v>2.379993806051135</v>
      </c>
      <c r="S625" s="94">
        <f t="shared" ca="1" si="184"/>
        <v>2.4908891993879614</v>
      </c>
      <c r="T625" s="4">
        <f t="shared" ca="1" si="185"/>
        <v>1.4149788368973394E-4</v>
      </c>
      <c r="U625" s="46">
        <f t="shared" ca="1" si="186"/>
        <v>1550.6995798612329</v>
      </c>
      <c r="V625" s="4">
        <f t="shared" ca="1" si="187"/>
        <v>8.8089309168323526E-2</v>
      </c>
      <c r="W625" s="13">
        <f t="shared" ca="1" si="188"/>
        <v>11898.81</v>
      </c>
      <c r="X625" s="4">
        <f t="shared" ca="1" si="189"/>
        <v>0.6759258636794987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0.104796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1.434499327361434E-6</v>
      </c>
      <c r="L626" s="13">
        <f t="shared" ca="1" si="177"/>
        <v>178</v>
      </c>
      <c r="M626" s="7">
        <f t="shared" ca="1" si="178"/>
        <v>822</v>
      </c>
      <c r="N626" s="44">
        <f t="shared" ca="1" si="179"/>
        <v>8</v>
      </c>
      <c r="O626" s="94">
        <f t="shared" ca="1" si="180"/>
        <v>2.4908891993879614</v>
      </c>
      <c r="P626" s="94">
        <f t="shared" ca="1" si="181"/>
        <v>24.908891993879614</v>
      </c>
      <c r="Q626" s="94">
        <f t="shared" ca="1" si="182"/>
        <v>24.908891993879614</v>
      </c>
      <c r="R626" s="94">
        <f t="shared" ca="1" si="183"/>
        <v>2.4908891993879614</v>
      </c>
      <c r="S626" s="94">
        <f t="shared" ca="1" si="184"/>
        <v>2.4908891993879614</v>
      </c>
      <c r="T626" s="4">
        <f t="shared" ca="1" si="185"/>
        <v>3.5731788810538915E-6</v>
      </c>
      <c r="U626" s="46">
        <f t="shared" ca="1" si="186"/>
        <v>1531.6995798612329</v>
      </c>
      <c r="V626" s="4">
        <f t="shared" ca="1" si="187"/>
        <v>2.1972220170307297E-3</v>
      </c>
      <c r="W626" s="13">
        <f t="shared" ca="1" si="188"/>
        <v>9915.6749999999993</v>
      </c>
      <c r="X626" s="4">
        <f t="shared" ca="1" si="189"/>
        <v>1.4224029117834587E-2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0.104796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1.9319856260760066E-8</v>
      </c>
      <c r="L627" s="13">
        <f t="shared" ca="1" si="177"/>
        <v>159</v>
      </c>
      <c r="M627" s="7">
        <f t="shared" ca="1" si="178"/>
        <v>841</v>
      </c>
      <c r="N627" s="44">
        <f t="shared" ca="1" si="179"/>
        <v>8</v>
      </c>
      <c r="O627" s="94">
        <f t="shared" ca="1" si="180"/>
        <v>2.4908891993879614</v>
      </c>
      <c r="P627" s="94">
        <f t="shared" ca="1" si="181"/>
        <v>24.908891993879614</v>
      </c>
      <c r="Q627" s="94">
        <f t="shared" ca="1" si="182"/>
        <v>24.908891993879614</v>
      </c>
      <c r="R627" s="94">
        <f t="shared" ca="1" si="183"/>
        <v>2.4908891993879614</v>
      </c>
      <c r="S627" s="94">
        <f t="shared" ca="1" si="184"/>
        <v>2.4908891993879614</v>
      </c>
      <c r="T627" s="4">
        <f t="shared" ca="1" si="185"/>
        <v>4.8123621293655136E-8</v>
      </c>
      <c r="U627" s="46">
        <f t="shared" ca="1" si="186"/>
        <v>1512.6995798612329</v>
      </c>
      <c r="V627" s="4">
        <f t="shared" ca="1" si="187"/>
        <v>2.9225138448631163E-5</v>
      </c>
      <c r="W627" s="13">
        <f t="shared" ca="1" si="188"/>
        <v>7932.54</v>
      </c>
      <c r="X627" s="4">
        <f t="shared" ca="1" si="189"/>
        <v>1.5325553258272966E-4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0.104796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1.4636254743000067E-10</v>
      </c>
      <c r="L628" s="13">
        <f t="shared" ca="1" si="177"/>
        <v>140</v>
      </c>
      <c r="M628" s="7">
        <f t="shared" ca="1" si="178"/>
        <v>860</v>
      </c>
      <c r="N628" s="44">
        <f t="shared" ca="1" si="179"/>
        <v>8</v>
      </c>
      <c r="O628" s="94">
        <f t="shared" ca="1" si="180"/>
        <v>2.4908891993879614</v>
      </c>
      <c r="P628" s="94">
        <f t="shared" ca="1" si="181"/>
        <v>24.908891993879614</v>
      </c>
      <c r="Q628" s="94">
        <f t="shared" ca="1" si="182"/>
        <v>24.908891993879614</v>
      </c>
      <c r="R628" s="94">
        <f t="shared" ca="1" si="183"/>
        <v>2.4908891993879614</v>
      </c>
      <c r="S628" s="94">
        <f t="shared" ca="1" si="184"/>
        <v>2.4908891993879614</v>
      </c>
      <c r="T628" s="4">
        <f t="shared" ca="1" si="185"/>
        <v>3.6457288858829688E-10</v>
      </c>
      <c r="U628" s="46">
        <f t="shared" ca="1" si="186"/>
        <v>1493.6995798612329</v>
      </c>
      <c r="V628" s="4">
        <f t="shared" ca="1" si="187"/>
        <v>2.1862167560361177E-7</v>
      </c>
      <c r="W628" s="13">
        <f t="shared" ca="1" si="188"/>
        <v>5949.4049999999997</v>
      </c>
      <c r="X628" s="4">
        <f t="shared" ca="1" si="189"/>
        <v>8.7077007149278307E-7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0.104796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5.9136382800000324E-13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2.4908891993879614</v>
      </c>
      <c r="P629" s="94">
        <f t="shared" ca="1" si="181"/>
        <v>24.908891993879614</v>
      </c>
      <c r="Q629" s="94">
        <f t="shared" ca="1" si="182"/>
        <v>24.908891993879614</v>
      </c>
      <c r="R629" s="94">
        <f t="shared" ca="1" si="183"/>
        <v>2.4908891993879614</v>
      </c>
      <c r="S629" s="94">
        <f t="shared" ca="1" si="184"/>
        <v>2.4908891993879614</v>
      </c>
      <c r="T629" s="4">
        <f t="shared" ca="1" si="185"/>
        <v>1.4730217720739281E-12</v>
      </c>
      <c r="U629" s="46">
        <f t="shared" ca="1" si="186"/>
        <v>1474.6995798612329</v>
      </c>
      <c r="V629" s="4">
        <f t="shared" ca="1" si="187"/>
        <v>8.7208398869673522E-10</v>
      </c>
      <c r="W629" s="13">
        <f t="shared" ca="1" si="188"/>
        <v>3966.27</v>
      </c>
      <c r="X629" s="4">
        <f t="shared" ca="1" si="189"/>
        <v>2.3455086100815727E-9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0.104796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9.955620000000063E-16</v>
      </c>
      <c r="L630" s="13">
        <f t="shared" ca="1" si="177"/>
        <v>102</v>
      </c>
      <c r="M630" s="7">
        <f t="shared" ca="1" si="178"/>
        <v>898</v>
      </c>
      <c r="N630" s="44">
        <f t="shared" ca="1" si="179"/>
        <v>8</v>
      </c>
      <c r="O630" s="94">
        <f t="shared" ca="1" si="180"/>
        <v>2.4908891993879614</v>
      </c>
      <c r="P630" s="94">
        <f t="shared" ca="1" si="181"/>
        <v>24.908891993879614</v>
      </c>
      <c r="Q630" s="94">
        <f t="shared" ca="1" si="182"/>
        <v>24.908891993879614</v>
      </c>
      <c r="R630" s="94">
        <f t="shared" ca="1" si="183"/>
        <v>2.4908891993879614</v>
      </c>
      <c r="S630" s="94">
        <f t="shared" ca="1" si="184"/>
        <v>2.4908891993879614</v>
      </c>
      <c r="T630" s="4">
        <f t="shared" ca="1" si="185"/>
        <v>2.4798346331210933E-15</v>
      </c>
      <c r="U630" s="46">
        <f t="shared" ca="1" si="186"/>
        <v>1455.6995798612329</v>
      </c>
      <c r="V630" s="4">
        <f t="shared" ca="1" si="187"/>
        <v>1.4492391851258179E-12</v>
      </c>
      <c r="W630" s="13">
        <f t="shared" ca="1" si="188"/>
        <v>1983.135</v>
      </c>
      <c r="X630" s="4">
        <f t="shared" ca="1" si="189"/>
        <v>1.9743338468700123E-12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0.104796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235</v>
      </c>
      <c r="M631" s="7">
        <f t="shared" ca="1" si="178"/>
        <v>765</v>
      </c>
      <c r="N631" s="44">
        <f t="shared" ca="1" si="179"/>
        <v>7</v>
      </c>
      <c r="O631" s="94">
        <f t="shared" ca="1" si="180"/>
        <v>2.2444549919727916</v>
      </c>
      <c r="P631" s="94">
        <f t="shared" ca="1" si="181"/>
        <v>22.444549919727915</v>
      </c>
      <c r="Q631" s="94">
        <f t="shared" ca="1" si="182"/>
        <v>22.444549919727915</v>
      </c>
      <c r="R631" s="94">
        <f t="shared" ca="1" si="183"/>
        <v>2.2444549919727916</v>
      </c>
      <c r="S631" s="94">
        <f t="shared" ca="1" si="184"/>
        <v>2.2444549919727916</v>
      </c>
      <c r="T631" s="4">
        <f t="shared" ca="1" si="185"/>
        <v>0</v>
      </c>
      <c r="U631" s="46">
        <f t="shared" ca="1" si="186"/>
        <v>1480.7701584159711</v>
      </c>
      <c r="V631" s="4">
        <f t="shared" ca="1" si="187"/>
        <v>0</v>
      </c>
      <c r="W631" s="13">
        <f t="shared" ca="1" si="188"/>
        <v>15774.9375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0.104796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4.8838360099630459E-3</v>
      </c>
      <c r="L632" s="13">
        <f t="shared" ca="1" si="177"/>
        <v>216</v>
      </c>
      <c r="M632" s="7">
        <f t="shared" ca="1" si="178"/>
        <v>784</v>
      </c>
      <c r="N632" s="44">
        <f t="shared" ca="1" si="179"/>
        <v>7</v>
      </c>
      <c r="O632" s="94">
        <f t="shared" ca="1" si="180"/>
        <v>2.2444549919727916</v>
      </c>
      <c r="P632" s="94">
        <f t="shared" ca="1" si="181"/>
        <v>22.444549919727915</v>
      </c>
      <c r="Q632" s="94">
        <f t="shared" ca="1" si="182"/>
        <v>22.444549919727915</v>
      </c>
      <c r="R632" s="94">
        <f t="shared" ca="1" si="183"/>
        <v>2.2444549919727916</v>
      </c>
      <c r="S632" s="94">
        <f t="shared" ca="1" si="184"/>
        <v>2.2444549919727916</v>
      </c>
      <c r="T632" s="4">
        <f t="shared" ca="1" si="185"/>
        <v>1.0961550112538038E-2</v>
      </c>
      <c r="U632" s="46">
        <f t="shared" ca="1" si="186"/>
        <v>1461.7701584159711</v>
      </c>
      <c r="V632" s="4">
        <f t="shared" ca="1" si="187"/>
        <v>7.1390457379613057</v>
      </c>
      <c r="W632" s="13">
        <f t="shared" ca="1" si="188"/>
        <v>13791.8025</v>
      </c>
      <c r="X632" s="4">
        <f t="shared" ca="1" si="189"/>
        <v>67.356901691798356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0.104796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2.9599006120988183E-4</v>
      </c>
      <c r="L633" s="13">
        <f t="shared" ca="1" si="177"/>
        <v>197</v>
      </c>
      <c r="M633" s="7">
        <f t="shared" ca="1" si="178"/>
        <v>803</v>
      </c>
      <c r="N633" s="44">
        <f t="shared" ca="1" si="179"/>
        <v>8</v>
      </c>
      <c r="O633" s="94">
        <f t="shared" ca="1" si="180"/>
        <v>2.4908891993879614</v>
      </c>
      <c r="P633" s="94">
        <f t="shared" ca="1" si="181"/>
        <v>24.908891993879614</v>
      </c>
      <c r="Q633" s="94">
        <f t="shared" ca="1" si="182"/>
        <v>22.690984127143082</v>
      </c>
      <c r="R633" s="94">
        <f t="shared" ca="1" si="183"/>
        <v>2.379993806051135</v>
      </c>
      <c r="S633" s="94">
        <f t="shared" ca="1" si="184"/>
        <v>2.4908891993879614</v>
      </c>
      <c r="T633" s="4">
        <f t="shared" ca="1" si="185"/>
        <v>7.372784465938762E-4</v>
      </c>
      <c r="U633" s="46">
        <f t="shared" ca="1" si="186"/>
        <v>1550.6995798612329</v>
      </c>
      <c r="V633" s="4">
        <f t="shared" ca="1" si="187"/>
        <v>0.45899166356126436</v>
      </c>
      <c r="W633" s="13">
        <f t="shared" ca="1" si="188"/>
        <v>11808.6675</v>
      </c>
      <c r="X633" s="4">
        <f t="shared" ca="1" si="189"/>
        <v>3.4952482161321421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0.104796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7.474496495199045E-6</v>
      </c>
      <c r="L634" s="13">
        <f t="shared" ca="1" si="177"/>
        <v>178</v>
      </c>
      <c r="M634" s="7">
        <f t="shared" ca="1" si="178"/>
        <v>822</v>
      </c>
      <c r="N634" s="44">
        <f t="shared" ca="1" si="179"/>
        <v>8</v>
      </c>
      <c r="O634" s="94">
        <f t="shared" ca="1" si="180"/>
        <v>2.4908891993879614</v>
      </c>
      <c r="P634" s="94">
        <f t="shared" ca="1" si="181"/>
        <v>24.908891993879614</v>
      </c>
      <c r="Q634" s="94">
        <f t="shared" ca="1" si="182"/>
        <v>24.908891993879614</v>
      </c>
      <c r="R634" s="94">
        <f t="shared" ca="1" si="183"/>
        <v>2.4908891993879614</v>
      </c>
      <c r="S634" s="94">
        <f t="shared" ca="1" si="184"/>
        <v>2.4908891993879614</v>
      </c>
      <c r="T634" s="4">
        <f t="shared" ca="1" si="185"/>
        <v>1.8618142590754471E-5</v>
      </c>
      <c r="U634" s="46">
        <f t="shared" ca="1" si="186"/>
        <v>1531.6995798612329</v>
      </c>
      <c r="V634" s="4">
        <f t="shared" ca="1" si="187"/>
        <v>1.1448683141370635E-2</v>
      </c>
      <c r="W634" s="13">
        <f t="shared" ca="1" si="188"/>
        <v>9825.5324999999993</v>
      </c>
      <c r="X634" s="4">
        <f t="shared" ca="1" si="189"/>
        <v>7.3440908234714303E-2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0.104796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1.0066661946396025E-7</v>
      </c>
      <c r="L635" s="13">
        <f t="shared" ca="1" si="177"/>
        <v>159</v>
      </c>
      <c r="M635" s="7">
        <f t="shared" ca="1" si="178"/>
        <v>841</v>
      </c>
      <c r="N635" s="44">
        <f t="shared" ca="1" si="179"/>
        <v>8</v>
      </c>
      <c r="O635" s="94">
        <f t="shared" ca="1" si="180"/>
        <v>2.4908891993879614</v>
      </c>
      <c r="P635" s="94">
        <f t="shared" ca="1" si="181"/>
        <v>24.908891993879614</v>
      </c>
      <c r="Q635" s="94">
        <f t="shared" ca="1" si="182"/>
        <v>24.908891993879614</v>
      </c>
      <c r="R635" s="94">
        <f t="shared" ca="1" si="183"/>
        <v>2.4908891993879614</v>
      </c>
      <c r="S635" s="94">
        <f t="shared" ca="1" si="184"/>
        <v>2.4908891993879614</v>
      </c>
      <c r="T635" s="4">
        <f t="shared" ca="1" si="185"/>
        <v>2.5074939516167653E-7</v>
      </c>
      <c r="U635" s="46">
        <f t="shared" ca="1" si="186"/>
        <v>1512.6995798612329</v>
      </c>
      <c r="V635" s="4">
        <f t="shared" ca="1" si="187"/>
        <v>1.5227835296918328E-4</v>
      </c>
      <c r="W635" s="13">
        <f t="shared" ca="1" si="188"/>
        <v>7842.3974999999991</v>
      </c>
      <c r="X635" s="4">
        <f t="shared" ca="1" si="189"/>
        <v>7.8946764481761312E-4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0.104796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7.6262590503000292E-10</v>
      </c>
      <c r="L636" s="13">
        <f t="shared" ca="1" si="177"/>
        <v>140</v>
      </c>
      <c r="M636" s="7">
        <f t="shared" ca="1" si="178"/>
        <v>860</v>
      </c>
      <c r="N636" s="44">
        <f t="shared" ca="1" si="179"/>
        <v>8</v>
      </c>
      <c r="O636" s="94">
        <f t="shared" ca="1" si="180"/>
        <v>2.4908891993879614</v>
      </c>
      <c r="P636" s="94">
        <f t="shared" ca="1" si="181"/>
        <v>24.908891993879614</v>
      </c>
      <c r="Q636" s="94">
        <f t="shared" ca="1" si="182"/>
        <v>24.908891993879614</v>
      </c>
      <c r="R636" s="94">
        <f t="shared" ca="1" si="183"/>
        <v>2.4908891993879614</v>
      </c>
      <c r="S636" s="94">
        <f t="shared" ca="1" si="184"/>
        <v>2.4908891993879614</v>
      </c>
      <c r="T636" s="4">
        <f t="shared" ca="1" si="185"/>
        <v>1.8996166300127036E-9</v>
      </c>
      <c r="U636" s="46">
        <f t="shared" ca="1" si="186"/>
        <v>1493.6995798612329</v>
      </c>
      <c r="V636" s="4">
        <f t="shared" ca="1" si="187"/>
        <v>1.1391339939346079E-6</v>
      </c>
      <c r="W636" s="13">
        <f t="shared" ca="1" si="188"/>
        <v>5859.2624999999998</v>
      </c>
      <c r="X636" s="4">
        <f t="shared" ca="1" si="189"/>
        <v>4.4684253668708576E-6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0.104796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3.0813167880000139E-12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2.4908891993879614</v>
      </c>
      <c r="P637" s="94">
        <f t="shared" ca="1" si="181"/>
        <v>24.908891993879614</v>
      </c>
      <c r="Q637" s="94">
        <f t="shared" ca="1" si="182"/>
        <v>24.908891993879614</v>
      </c>
      <c r="R637" s="94">
        <f t="shared" ca="1" si="183"/>
        <v>2.4908891993879614</v>
      </c>
      <c r="S637" s="94">
        <f t="shared" ca="1" si="184"/>
        <v>2.4908891993879614</v>
      </c>
      <c r="T637" s="4">
        <f t="shared" ca="1" si="185"/>
        <v>7.6752187071220402E-12</v>
      </c>
      <c r="U637" s="46">
        <f t="shared" ca="1" si="186"/>
        <v>1474.6995798612329</v>
      </c>
      <c r="V637" s="4">
        <f t="shared" ca="1" si="187"/>
        <v>4.5440165726829843E-9</v>
      </c>
      <c r="W637" s="13">
        <f t="shared" ca="1" si="188"/>
        <v>3876.1274999999996</v>
      </c>
      <c r="X637" s="4">
        <f t="shared" ca="1" si="189"/>
        <v>1.1943576738178523E-8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0.104796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5.1874020000000279E-15</v>
      </c>
      <c r="L638" s="13">
        <f t="shared" ca="1" si="177"/>
        <v>102</v>
      </c>
      <c r="M638" s="7">
        <f t="shared" ca="1" si="178"/>
        <v>898</v>
      </c>
      <c r="N638" s="44">
        <f t="shared" ca="1" si="179"/>
        <v>8</v>
      </c>
      <c r="O638" s="94">
        <f t="shared" ca="1" si="180"/>
        <v>2.4908891993879614</v>
      </c>
      <c r="P638" s="94">
        <f t="shared" ca="1" si="181"/>
        <v>24.908891993879614</v>
      </c>
      <c r="Q638" s="94">
        <f t="shared" ca="1" si="182"/>
        <v>24.908891993879614</v>
      </c>
      <c r="R638" s="94">
        <f t="shared" ca="1" si="183"/>
        <v>2.4908891993879614</v>
      </c>
      <c r="S638" s="94">
        <f t="shared" ca="1" si="184"/>
        <v>2.4908891993879614</v>
      </c>
      <c r="T638" s="4">
        <f t="shared" ca="1" si="185"/>
        <v>1.2921243614683579E-14</v>
      </c>
      <c r="U638" s="46">
        <f t="shared" ca="1" si="186"/>
        <v>1455.6995798612329</v>
      </c>
      <c r="V638" s="4">
        <f t="shared" ca="1" si="187"/>
        <v>7.5512989119713594E-12</v>
      </c>
      <c r="W638" s="13">
        <f t="shared" ca="1" si="188"/>
        <v>1892.9924999999998</v>
      </c>
      <c r="X638" s="4">
        <f t="shared" ca="1" si="189"/>
        <v>9.8197130804850521E-12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0.104796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133</v>
      </c>
      <c r="M639" s="7">
        <f t="shared" ca="1" si="178"/>
        <v>867</v>
      </c>
      <c r="N639" s="44">
        <f t="shared" ca="1" si="179"/>
        <v>8</v>
      </c>
      <c r="O639" s="94">
        <f t="shared" ca="1" si="180"/>
        <v>2.4908891993879614</v>
      </c>
      <c r="P639" s="94">
        <f t="shared" ca="1" si="181"/>
        <v>24.908891993879614</v>
      </c>
      <c r="Q639" s="94">
        <f t="shared" ca="1" si="182"/>
        <v>24.908891993879614</v>
      </c>
      <c r="R639" s="94">
        <f t="shared" ca="1" si="183"/>
        <v>2.4908891993879614</v>
      </c>
      <c r="S639" s="94">
        <f t="shared" ca="1" si="184"/>
        <v>2.4908891993879614</v>
      </c>
      <c r="T639" s="4">
        <f t="shared" ca="1" si="185"/>
        <v>0</v>
      </c>
      <c r="U639" s="46">
        <f t="shared" ca="1" si="186"/>
        <v>1486.6995798612329</v>
      </c>
      <c r="V639" s="4">
        <f t="shared" ca="1" si="187"/>
        <v>0</v>
      </c>
      <c r="W639" s="13">
        <f t="shared" ca="1" si="188"/>
        <v>13881.945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0.104796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4.9331676868313635E-5</v>
      </c>
      <c r="L640" s="13">
        <f t="shared" ca="1" si="177"/>
        <v>114</v>
      </c>
      <c r="M640" s="7">
        <f t="shared" ca="1" si="178"/>
        <v>886</v>
      </c>
      <c r="N640" s="44">
        <f t="shared" ca="1" si="179"/>
        <v>8</v>
      </c>
      <c r="O640" s="94">
        <f t="shared" ca="1" si="180"/>
        <v>2.4908891993879614</v>
      </c>
      <c r="P640" s="94">
        <f t="shared" ca="1" si="181"/>
        <v>24.908891993879614</v>
      </c>
      <c r="Q640" s="94">
        <f t="shared" ca="1" si="182"/>
        <v>24.908891993879614</v>
      </c>
      <c r="R640" s="94">
        <f t="shared" ca="1" si="183"/>
        <v>2.4908891993879614</v>
      </c>
      <c r="S640" s="94">
        <f t="shared" ca="1" si="184"/>
        <v>2.4908891993879614</v>
      </c>
      <c r="T640" s="4">
        <f t="shared" ca="1" si="185"/>
        <v>1.2287974109897936E-4</v>
      </c>
      <c r="U640" s="46">
        <f t="shared" ca="1" si="186"/>
        <v>1467.6995798612329</v>
      </c>
      <c r="V640" s="4">
        <f t="shared" ca="1" si="187"/>
        <v>7.2404081413474028E-2</v>
      </c>
      <c r="W640" s="13">
        <f t="shared" ca="1" si="188"/>
        <v>11898.81</v>
      </c>
      <c r="X640" s="4">
        <f t="shared" ca="1" si="189"/>
        <v>0.58698825003745891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0.104796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2.9897985980796168E-6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2.4908891993879614</v>
      </c>
      <c r="P641" s="94">
        <f t="shared" ca="1" si="181"/>
        <v>24.908891993879614</v>
      </c>
      <c r="Q641" s="94">
        <f t="shared" ca="1" si="182"/>
        <v>24.908891993879614</v>
      </c>
      <c r="R641" s="94">
        <f t="shared" ca="1" si="183"/>
        <v>2.4908891993879614</v>
      </c>
      <c r="S641" s="94">
        <f t="shared" ca="1" si="184"/>
        <v>2.4908891993879614</v>
      </c>
      <c r="T641" s="4">
        <f t="shared" ca="1" si="185"/>
        <v>7.4472570363017862E-6</v>
      </c>
      <c r="U641" s="46">
        <f t="shared" ca="1" si="186"/>
        <v>1453.6995798612329</v>
      </c>
      <c r="V641" s="4">
        <f t="shared" ca="1" si="187"/>
        <v>4.3462689658980425E-3</v>
      </c>
      <c r="W641" s="13">
        <f t="shared" ca="1" si="188"/>
        <v>9915.6749999999993</v>
      </c>
      <c r="X641" s="4">
        <f t="shared" ca="1" si="189"/>
        <v>2.9645871214013103E-2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0.104796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7.5499964597970198E-8</v>
      </c>
      <c r="L642" s="13">
        <f t="shared" ca="1" si="177"/>
        <v>100</v>
      </c>
      <c r="M642" s="7">
        <f t="shared" ca="1" si="178"/>
        <v>900</v>
      </c>
      <c r="N642" s="44">
        <f t="shared" ca="1" si="179"/>
        <v>8</v>
      </c>
      <c r="O642" s="94">
        <f t="shared" ca="1" si="180"/>
        <v>2.4908891993879614</v>
      </c>
      <c r="P642" s="94">
        <f t="shared" ca="1" si="181"/>
        <v>24.908891993879614</v>
      </c>
      <c r="Q642" s="94">
        <f t="shared" ca="1" si="182"/>
        <v>24.908891993879614</v>
      </c>
      <c r="R642" s="94">
        <f t="shared" ca="1" si="183"/>
        <v>2.4908891993879614</v>
      </c>
      <c r="S642" s="94">
        <f t="shared" ca="1" si="184"/>
        <v>2.4908891993879614</v>
      </c>
      <c r="T642" s="4">
        <f t="shared" ca="1" si="185"/>
        <v>1.8806204637125741E-7</v>
      </c>
      <c r="U642" s="46">
        <f t="shared" ca="1" si="186"/>
        <v>1453.6995798612329</v>
      </c>
      <c r="V642" s="4">
        <f t="shared" ca="1" si="187"/>
        <v>1.0975426681560724E-4</v>
      </c>
      <c r="W642" s="13">
        <f t="shared" ca="1" si="188"/>
        <v>7932.54</v>
      </c>
      <c r="X642" s="4">
        <f t="shared" ca="1" si="189"/>
        <v>5.989064891719825E-4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0.104796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1.0168345400400035E-9</v>
      </c>
      <c r="L643" s="13">
        <f t="shared" ca="1" si="177"/>
        <v>100</v>
      </c>
      <c r="M643" s="7">
        <f t="shared" ca="1" si="178"/>
        <v>900</v>
      </c>
      <c r="N643" s="44">
        <f t="shared" ca="1" si="179"/>
        <v>8</v>
      </c>
      <c r="O643" s="94">
        <f t="shared" ca="1" si="180"/>
        <v>2.4908891993879614</v>
      </c>
      <c r="P643" s="94">
        <f t="shared" ca="1" si="181"/>
        <v>24.908891993879614</v>
      </c>
      <c r="Q643" s="94">
        <f t="shared" ca="1" si="182"/>
        <v>24.908891993879614</v>
      </c>
      <c r="R643" s="94">
        <f t="shared" ca="1" si="183"/>
        <v>2.4908891993879614</v>
      </c>
      <c r="S643" s="94">
        <f t="shared" ca="1" si="184"/>
        <v>2.4908891993879614</v>
      </c>
      <c r="T643" s="4">
        <f t="shared" ca="1" si="185"/>
        <v>2.5328221733502704E-9</v>
      </c>
      <c r="U643" s="46">
        <f t="shared" ca="1" si="186"/>
        <v>1453.6995798612329</v>
      </c>
      <c r="V643" s="4">
        <f t="shared" ca="1" si="187"/>
        <v>1.4781719436445432E-6</v>
      </c>
      <c r="W643" s="13">
        <f t="shared" ca="1" si="188"/>
        <v>5949.4049999999997</v>
      </c>
      <c r="X643" s="4">
        <f t="shared" ca="1" si="189"/>
        <v>6.0495604966866967E-6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0.104796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7.7032919700000352E-12</v>
      </c>
      <c r="L644" s="13">
        <f t="shared" ca="1" si="177"/>
        <v>100</v>
      </c>
      <c r="M644" s="7">
        <f t="shared" ca="1" si="178"/>
        <v>900</v>
      </c>
      <c r="N644" s="44">
        <f t="shared" ca="1" si="179"/>
        <v>8</v>
      </c>
      <c r="O644" s="94">
        <f t="shared" ca="1" si="180"/>
        <v>2.4908891993879614</v>
      </c>
      <c r="P644" s="94">
        <f t="shared" ca="1" si="181"/>
        <v>24.908891993879614</v>
      </c>
      <c r="Q644" s="94">
        <f t="shared" ca="1" si="182"/>
        <v>24.908891993879614</v>
      </c>
      <c r="R644" s="94">
        <f t="shared" ca="1" si="183"/>
        <v>2.4908891993879614</v>
      </c>
      <c r="S644" s="94">
        <f t="shared" ca="1" si="184"/>
        <v>2.4908891993879614</v>
      </c>
      <c r="T644" s="4">
        <f t="shared" ca="1" si="185"/>
        <v>1.91880467678051E-11</v>
      </c>
      <c r="U644" s="46">
        <f t="shared" ca="1" si="186"/>
        <v>1453.6995798612329</v>
      </c>
      <c r="V644" s="4">
        <f t="shared" ca="1" si="187"/>
        <v>1.1198272300337461E-8</v>
      </c>
      <c r="W644" s="13">
        <f t="shared" ca="1" si="188"/>
        <v>3966.27</v>
      </c>
      <c r="X644" s="4">
        <f t="shared" ca="1" si="189"/>
        <v>3.0553335841852037E-8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0.104796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3.1124412000000169E-14</v>
      </c>
      <c r="L645" s="13">
        <f t="shared" ca="1" si="177"/>
        <v>100</v>
      </c>
      <c r="M645" s="7">
        <f t="shared" ca="1" si="178"/>
        <v>900</v>
      </c>
      <c r="N645" s="44">
        <f t="shared" ca="1" si="179"/>
        <v>8</v>
      </c>
      <c r="O645" s="94">
        <f t="shared" ca="1" si="180"/>
        <v>2.4908891993879614</v>
      </c>
      <c r="P645" s="94">
        <f t="shared" ca="1" si="181"/>
        <v>24.908891993879614</v>
      </c>
      <c r="Q645" s="94">
        <f t="shared" ca="1" si="182"/>
        <v>24.908891993879614</v>
      </c>
      <c r="R645" s="94">
        <f t="shared" ca="1" si="183"/>
        <v>2.4908891993879614</v>
      </c>
      <c r="S645" s="94">
        <f t="shared" ca="1" si="184"/>
        <v>2.4908891993879614</v>
      </c>
      <c r="T645" s="4">
        <f t="shared" ca="1" si="185"/>
        <v>7.7527461688101477E-14</v>
      </c>
      <c r="U645" s="46">
        <f t="shared" ca="1" si="186"/>
        <v>1453.6995798612329</v>
      </c>
      <c r="V645" s="4">
        <f t="shared" ca="1" si="187"/>
        <v>4.5245544647828164E-11</v>
      </c>
      <c r="W645" s="13">
        <f t="shared" ca="1" si="188"/>
        <v>1983.135</v>
      </c>
      <c r="X645" s="4">
        <f t="shared" ca="1" si="189"/>
        <v>6.1723910791620341E-11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0.104796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5.2398000000000334E-17</v>
      </c>
      <c r="L646" s="13">
        <f t="shared" ca="1" si="177"/>
        <v>100</v>
      </c>
      <c r="M646" s="7">
        <f t="shared" ca="1" si="178"/>
        <v>900</v>
      </c>
      <c r="N646" s="44">
        <f t="shared" ca="1" si="179"/>
        <v>8</v>
      </c>
      <c r="O646" s="94">
        <f t="shared" ca="1" si="180"/>
        <v>2.4908891993879614</v>
      </c>
      <c r="P646" s="94">
        <f t="shared" ca="1" si="181"/>
        <v>24.908891993879614</v>
      </c>
      <c r="Q646" s="94">
        <f t="shared" ca="1" si="182"/>
        <v>24.908891993879614</v>
      </c>
      <c r="R646" s="94">
        <f t="shared" ca="1" si="183"/>
        <v>2.4908891993879614</v>
      </c>
      <c r="S646" s="94">
        <f t="shared" ca="1" si="184"/>
        <v>2.4908891993879614</v>
      </c>
      <c r="T646" s="4">
        <f t="shared" ca="1" si="185"/>
        <v>1.3051761226953124E-16</v>
      </c>
      <c r="U646" s="46">
        <f t="shared" ca="1" si="186"/>
        <v>1453.6995798612329</v>
      </c>
      <c r="V646" s="4">
        <f t="shared" ca="1" si="187"/>
        <v>7.6170950585569366E-14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337</v>
      </c>
      <c r="M647" s="7">
        <f t="shared" ca="1" si="178"/>
        <v>663</v>
      </c>
      <c r="N647" s="44">
        <f t="shared" ca="1" si="179"/>
        <v>6</v>
      </c>
      <c r="O647" s="94">
        <f t="shared" ca="1" si="180"/>
        <v>1.9922775034029279</v>
      </c>
      <c r="P647" s="94">
        <f t="shared" ca="1" si="181"/>
        <v>19.922775034029279</v>
      </c>
      <c r="Q647" s="94">
        <f t="shared" ca="1" si="182"/>
        <v>19.922775034029279</v>
      </c>
      <c r="R647" s="94">
        <f t="shared" ca="1" si="183"/>
        <v>1.9922775034029279</v>
      </c>
      <c r="S647" s="94">
        <f t="shared" ca="1" si="184"/>
        <v>1.9922775034029279</v>
      </c>
      <c r="T647" s="4">
        <f t="shared" ca="1" si="185"/>
        <v>0</v>
      </c>
      <c r="U647" s="46">
        <f t="shared" ca="1" si="186"/>
        <v>1472.3253840141317</v>
      </c>
      <c r="V647" s="4">
        <f t="shared" ca="1" si="187"/>
        <v>0</v>
      </c>
      <c r="W647" s="13">
        <f t="shared" ca="1" si="188"/>
        <v>17758.072499999998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318</v>
      </c>
      <c r="M648" s="7">
        <f t="shared" ca="1" si="178"/>
        <v>682</v>
      </c>
      <c r="N648" s="44">
        <f t="shared" ca="1" si="179"/>
        <v>7</v>
      </c>
      <c r="O648" s="94">
        <f t="shared" ca="1" si="180"/>
        <v>2.2444549919727916</v>
      </c>
      <c r="P648" s="94">
        <f t="shared" ca="1" si="181"/>
        <v>20.679307499738869</v>
      </c>
      <c r="Q648" s="94">
        <f t="shared" ca="1" si="182"/>
        <v>19.922775034029279</v>
      </c>
      <c r="R648" s="94">
        <f t="shared" ca="1" si="183"/>
        <v>2.0301041266884075</v>
      </c>
      <c r="S648" s="94">
        <f t="shared" ca="1" si="184"/>
        <v>2.2444549919727916</v>
      </c>
      <c r="T648" s="4">
        <f t="shared" ca="1" si="185"/>
        <v>0</v>
      </c>
      <c r="U648" s="46">
        <f t="shared" ca="1" si="186"/>
        <v>1563.7701584159711</v>
      </c>
      <c r="V648" s="4">
        <f t="shared" ca="1" si="187"/>
        <v>0</v>
      </c>
      <c r="W648" s="13">
        <f t="shared" ca="1" si="188"/>
        <v>15774.9375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299</v>
      </c>
      <c r="M649" s="7">
        <f t="shared" ca="1" si="178"/>
        <v>701</v>
      </c>
      <c r="N649" s="44">
        <f t="shared" ca="1" si="179"/>
        <v>7</v>
      </c>
      <c r="O649" s="94">
        <f t="shared" ca="1" si="180"/>
        <v>2.2444549919727916</v>
      </c>
      <c r="P649" s="94">
        <f t="shared" ca="1" si="181"/>
        <v>22.444549919727915</v>
      </c>
      <c r="Q649" s="94">
        <f t="shared" ca="1" si="182"/>
        <v>22.444549919727915</v>
      </c>
      <c r="R649" s="94">
        <f t="shared" ca="1" si="183"/>
        <v>2.2444549919727916</v>
      </c>
      <c r="S649" s="94">
        <f t="shared" ca="1" si="184"/>
        <v>2.2444549919727916</v>
      </c>
      <c r="T649" s="4">
        <f t="shared" ca="1" si="185"/>
        <v>0</v>
      </c>
      <c r="U649" s="46">
        <f t="shared" ca="1" si="186"/>
        <v>1544.7701584159711</v>
      </c>
      <c r="V649" s="4">
        <f t="shared" ca="1" si="187"/>
        <v>0</v>
      </c>
      <c r="W649" s="13">
        <f t="shared" ca="1" si="188"/>
        <v>13791.802499999998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280</v>
      </c>
      <c r="M650" s="7">
        <f t="shared" ca="1" si="178"/>
        <v>720</v>
      </c>
      <c r="N650" s="44">
        <f t="shared" ca="1" si="179"/>
        <v>7</v>
      </c>
      <c r="O650" s="94">
        <f t="shared" ca="1" si="180"/>
        <v>2.2444549919727916</v>
      </c>
      <c r="P650" s="94">
        <f t="shared" ca="1" si="181"/>
        <v>22.444549919727915</v>
      </c>
      <c r="Q650" s="94">
        <f t="shared" ca="1" si="182"/>
        <v>22.444549919727915</v>
      </c>
      <c r="R650" s="94">
        <f t="shared" ca="1" si="183"/>
        <v>2.2444549919727916</v>
      </c>
      <c r="S650" s="94">
        <f t="shared" ca="1" si="184"/>
        <v>2.2444549919727916</v>
      </c>
      <c r="T650" s="4">
        <f t="shared" ca="1" si="185"/>
        <v>0</v>
      </c>
      <c r="U650" s="46">
        <f t="shared" ca="1" si="186"/>
        <v>1525.7701584159711</v>
      </c>
      <c r="V650" s="4">
        <f t="shared" ca="1" si="187"/>
        <v>0</v>
      </c>
      <c r="W650" s="13">
        <f t="shared" ca="1" si="188"/>
        <v>11808.6675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261</v>
      </c>
      <c r="M651" s="7">
        <f t="shared" ca="1" si="178"/>
        <v>739</v>
      </c>
      <c r="N651" s="44">
        <f t="shared" ca="1" si="179"/>
        <v>7</v>
      </c>
      <c r="O651" s="94">
        <f t="shared" ca="1" si="180"/>
        <v>2.2444549919727916</v>
      </c>
      <c r="P651" s="94">
        <f t="shared" ca="1" si="181"/>
        <v>22.444549919727915</v>
      </c>
      <c r="Q651" s="94">
        <f t="shared" ca="1" si="182"/>
        <v>22.444549919727915</v>
      </c>
      <c r="R651" s="94">
        <f t="shared" ca="1" si="183"/>
        <v>2.2444549919727916</v>
      </c>
      <c r="S651" s="94">
        <f t="shared" ca="1" si="184"/>
        <v>2.2444549919727916</v>
      </c>
      <c r="T651" s="4">
        <f t="shared" ca="1" si="185"/>
        <v>0</v>
      </c>
      <c r="U651" s="46">
        <f t="shared" ca="1" si="186"/>
        <v>1506.7701584159711</v>
      </c>
      <c r="V651" s="4">
        <f t="shared" ca="1" si="187"/>
        <v>0</v>
      </c>
      <c r="W651" s="13">
        <f t="shared" ca="1" si="188"/>
        <v>9825.5324999999993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2.2444549919727916</v>
      </c>
      <c r="P652" s="94">
        <f t="shared" ca="1" si="181"/>
        <v>22.444549919727915</v>
      </c>
      <c r="Q652" s="94">
        <f t="shared" ca="1" si="182"/>
        <v>22.444549919727915</v>
      </c>
      <c r="R652" s="94">
        <f t="shared" ca="1" si="183"/>
        <v>2.2444549919727916</v>
      </c>
      <c r="S652" s="94">
        <f t="shared" ca="1" si="184"/>
        <v>2.2444549919727916</v>
      </c>
      <c r="T652" s="4">
        <f t="shared" ca="1" si="185"/>
        <v>0</v>
      </c>
      <c r="U652" s="46">
        <f t="shared" ca="1" si="186"/>
        <v>1487.7701584159711</v>
      </c>
      <c r="V652" s="4">
        <f t="shared" ca="1" si="187"/>
        <v>0</v>
      </c>
      <c r="W652" s="13">
        <f t="shared" ca="1" si="188"/>
        <v>7842.3974999999991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223</v>
      </c>
      <c r="M653" s="7">
        <f t="shared" ca="1" si="178"/>
        <v>777</v>
      </c>
      <c r="N653" s="44">
        <f t="shared" ca="1" si="179"/>
        <v>7</v>
      </c>
      <c r="O653" s="94">
        <f t="shared" ca="1" si="180"/>
        <v>2.2444549919727916</v>
      </c>
      <c r="P653" s="94">
        <f t="shared" ca="1" si="181"/>
        <v>22.444549919727915</v>
      </c>
      <c r="Q653" s="94">
        <f t="shared" ca="1" si="182"/>
        <v>22.444549919727915</v>
      </c>
      <c r="R653" s="94">
        <f t="shared" ca="1" si="183"/>
        <v>2.2444549919727916</v>
      </c>
      <c r="S653" s="94">
        <f t="shared" ca="1" si="184"/>
        <v>2.2444549919727916</v>
      </c>
      <c r="T653" s="4">
        <f t="shared" ca="1" si="185"/>
        <v>0</v>
      </c>
      <c r="U653" s="46">
        <f t="shared" ca="1" si="186"/>
        <v>1468.7701584159711</v>
      </c>
      <c r="V653" s="4">
        <f t="shared" ca="1" si="187"/>
        <v>0</v>
      </c>
      <c r="W653" s="13">
        <f t="shared" ca="1" si="188"/>
        <v>5859.2624999999998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204</v>
      </c>
      <c r="M654" s="7">
        <f t="shared" ca="1" si="178"/>
        <v>796</v>
      </c>
      <c r="N654" s="44">
        <f t="shared" ca="1" si="179"/>
        <v>8</v>
      </c>
      <c r="O654" s="94">
        <f t="shared" ca="1" si="180"/>
        <v>2.4908891993879614</v>
      </c>
      <c r="P654" s="94">
        <f t="shared" ca="1" si="181"/>
        <v>23.430286749388593</v>
      </c>
      <c r="Q654" s="94">
        <f t="shared" ca="1" si="182"/>
        <v>22.444549919727915</v>
      </c>
      <c r="R654" s="94">
        <f t="shared" ca="1" si="183"/>
        <v>2.2937418334558251</v>
      </c>
      <c r="S654" s="94">
        <f t="shared" ca="1" si="184"/>
        <v>2.4908891993879614</v>
      </c>
      <c r="T654" s="4">
        <f t="shared" ca="1" si="185"/>
        <v>0</v>
      </c>
      <c r="U654" s="46">
        <f t="shared" ca="1" si="186"/>
        <v>1557.6995798612329</v>
      </c>
      <c r="V654" s="4">
        <f t="shared" ca="1" si="187"/>
        <v>0</v>
      </c>
      <c r="W654" s="13">
        <f t="shared" ca="1" si="188"/>
        <v>3876.1274999999996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235</v>
      </c>
      <c r="M655" s="7">
        <f t="shared" ca="1" si="178"/>
        <v>765</v>
      </c>
      <c r="N655" s="44">
        <f t="shared" ca="1" si="179"/>
        <v>7</v>
      </c>
      <c r="O655" s="94">
        <f t="shared" ca="1" si="180"/>
        <v>2.2444549919727916</v>
      </c>
      <c r="P655" s="94">
        <f t="shared" ca="1" si="181"/>
        <v>22.444549919727915</v>
      </c>
      <c r="Q655" s="94">
        <f t="shared" ca="1" si="182"/>
        <v>22.444549919727915</v>
      </c>
      <c r="R655" s="94">
        <f t="shared" ca="1" si="183"/>
        <v>2.2444549919727916</v>
      </c>
      <c r="S655" s="94">
        <f t="shared" ca="1" si="184"/>
        <v>2.2444549919727916</v>
      </c>
      <c r="T655" s="4">
        <f t="shared" ca="1" si="185"/>
        <v>0</v>
      </c>
      <c r="U655" s="46">
        <f t="shared" ca="1" si="186"/>
        <v>1480.7701584159711</v>
      </c>
      <c r="V655" s="4">
        <f t="shared" ca="1" si="187"/>
        <v>0</v>
      </c>
      <c r="W655" s="13">
        <f t="shared" ca="1" si="188"/>
        <v>15865.08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216</v>
      </c>
      <c r="M656" s="7">
        <f t="shared" ca="1" si="178"/>
        <v>784</v>
      </c>
      <c r="N656" s="44">
        <f t="shared" ca="1" si="179"/>
        <v>7</v>
      </c>
      <c r="O656" s="94">
        <f t="shared" ca="1" si="180"/>
        <v>2.2444549919727916</v>
      </c>
      <c r="P656" s="94">
        <f t="shared" ca="1" si="181"/>
        <v>22.444549919727915</v>
      </c>
      <c r="Q656" s="94">
        <f t="shared" ca="1" si="182"/>
        <v>22.444549919727915</v>
      </c>
      <c r="R656" s="94">
        <f t="shared" ca="1" si="183"/>
        <v>2.2444549919727916</v>
      </c>
      <c r="S656" s="94">
        <f t="shared" ca="1" si="184"/>
        <v>2.2444549919727916</v>
      </c>
      <c r="T656" s="4">
        <f t="shared" ca="1" si="185"/>
        <v>0</v>
      </c>
      <c r="U656" s="46">
        <f t="shared" ca="1" si="186"/>
        <v>1461.7701584159711</v>
      </c>
      <c r="V656" s="4">
        <f t="shared" ca="1" si="187"/>
        <v>0</v>
      </c>
      <c r="W656" s="13">
        <f t="shared" ca="1" si="188"/>
        <v>13881.945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197</v>
      </c>
      <c r="M657" s="7">
        <f t="shared" ca="1" si="178"/>
        <v>803</v>
      </c>
      <c r="N657" s="44">
        <f t="shared" ca="1" si="179"/>
        <v>8</v>
      </c>
      <c r="O657" s="94">
        <f t="shared" ca="1" si="180"/>
        <v>2.4908891993879614</v>
      </c>
      <c r="P657" s="94">
        <f t="shared" ca="1" si="181"/>
        <v>24.908891993879614</v>
      </c>
      <c r="Q657" s="94">
        <f t="shared" ca="1" si="182"/>
        <v>22.690984127143082</v>
      </c>
      <c r="R657" s="94">
        <f t="shared" ca="1" si="183"/>
        <v>2.379993806051135</v>
      </c>
      <c r="S657" s="94">
        <f t="shared" ca="1" si="184"/>
        <v>2.4908891993879614</v>
      </c>
      <c r="T657" s="4">
        <f t="shared" ca="1" si="185"/>
        <v>0</v>
      </c>
      <c r="U657" s="46">
        <f t="shared" ca="1" si="186"/>
        <v>1550.6995798612329</v>
      </c>
      <c r="V657" s="4">
        <f t="shared" ca="1" si="187"/>
        <v>0</v>
      </c>
      <c r="W657" s="13">
        <f t="shared" ca="1" si="188"/>
        <v>11898.81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178</v>
      </c>
      <c r="M658" s="7">
        <f t="shared" ca="1" si="178"/>
        <v>822</v>
      </c>
      <c r="N658" s="44">
        <f t="shared" ca="1" si="179"/>
        <v>8</v>
      </c>
      <c r="O658" s="94">
        <f t="shared" ca="1" si="180"/>
        <v>2.4908891993879614</v>
      </c>
      <c r="P658" s="94">
        <f t="shared" ca="1" si="181"/>
        <v>24.908891993879614</v>
      </c>
      <c r="Q658" s="94">
        <f t="shared" ca="1" si="182"/>
        <v>24.908891993879614</v>
      </c>
      <c r="R658" s="94">
        <f t="shared" ca="1" si="183"/>
        <v>2.4908891993879614</v>
      </c>
      <c r="S658" s="94">
        <f t="shared" ca="1" si="184"/>
        <v>2.4908891993879614</v>
      </c>
      <c r="T658" s="4">
        <f t="shared" ca="1" si="185"/>
        <v>0</v>
      </c>
      <c r="U658" s="46">
        <f t="shared" ca="1" si="186"/>
        <v>1531.6995798612329</v>
      </c>
      <c r="V658" s="4">
        <f t="shared" ca="1" si="187"/>
        <v>0</v>
      </c>
      <c r="W658" s="13">
        <f t="shared" ca="1" si="188"/>
        <v>9915.6749999999993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159</v>
      </c>
      <c r="M659" s="7">
        <f t="shared" ca="1" si="178"/>
        <v>841</v>
      </c>
      <c r="N659" s="44">
        <f t="shared" ca="1" si="179"/>
        <v>8</v>
      </c>
      <c r="O659" s="94">
        <f t="shared" ca="1" si="180"/>
        <v>2.4908891993879614</v>
      </c>
      <c r="P659" s="94">
        <f t="shared" ca="1" si="181"/>
        <v>24.908891993879614</v>
      </c>
      <c r="Q659" s="94">
        <f t="shared" ca="1" si="182"/>
        <v>24.908891993879614</v>
      </c>
      <c r="R659" s="94">
        <f t="shared" ca="1" si="183"/>
        <v>2.4908891993879614</v>
      </c>
      <c r="S659" s="94">
        <f t="shared" ca="1" si="184"/>
        <v>2.4908891993879614</v>
      </c>
      <c r="T659" s="4">
        <f t="shared" ca="1" si="185"/>
        <v>0</v>
      </c>
      <c r="U659" s="46">
        <f t="shared" ca="1" si="186"/>
        <v>1512.6995798612329</v>
      </c>
      <c r="V659" s="4">
        <f t="shared" ca="1" si="187"/>
        <v>0</v>
      </c>
      <c r="W659" s="13">
        <f t="shared" ca="1" si="188"/>
        <v>7932.54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140</v>
      </c>
      <c r="M660" s="7">
        <f t="shared" ca="1" si="178"/>
        <v>860</v>
      </c>
      <c r="N660" s="44">
        <f t="shared" ca="1" si="179"/>
        <v>8</v>
      </c>
      <c r="O660" s="94">
        <f t="shared" ca="1" si="180"/>
        <v>2.4908891993879614</v>
      </c>
      <c r="P660" s="94">
        <f t="shared" ca="1" si="181"/>
        <v>24.908891993879614</v>
      </c>
      <c r="Q660" s="94">
        <f t="shared" ca="1" si="182"/>
        <v>24.908891993879614</v>
      </c>
      <c r="R660" s="94">
        <f t="shared" ca="1" si="183"/>
        <v>2.4908891993879614</v>
      </c>
      <c r="S660" s="94">
        <f t="shared" ca="1" si="184"/>
        <v>2.4908891993879614</v>
      </c>
      <c r="T660" s="4">
        <f t="shared" ca="1" si="185"/>
        <v>0</v>
      </c>
      <c r="U660" s="46">
        <f t="shared" ca="1" si="186"/>
        <v>1493.6995798612329</v>
      </c>
      <c r="V660" s="4">
        <f t="shared" ca="1" si="187"/>
        <v>0</v>
      </c>
      <c r="W660" s="13">
        <f t="shared" ca="1" si="188"/>
        <v>5949.4049999999997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2.4908891993879614</v>
      </c>
      <c r="P661" s="94">
        <f t="shared" ca="1" si="181"/>
        <v>24.908891993879614</v>
      </c>
      <c r="Q661" s="94">
        <f t="shared" ca="1" si="182"/>
        <v>24.908891993879614</v>
      </c>
      <c r="R661" s="94">
        <f t="shared" ca="1" si="183"/>
        <v>2.4908891993879614</v>
      </c>
      <c r="S661" s="94">
        <f t="shared" ca="1" si="184"/>
        <v>2.4908891993879614</v>
      </c>
      <c r="T661" s="4">
        <f t="shared" ca="1" si="185"/>
        <v>0</v>
      </c>
      <c r="U661" s="46">
        <f t="shared" ca="1" si="186"/>
        <v>1474.6995798612329</v>
      </c>
      <c r="V661" s="4">
        <f t="shared" ca="1" si="187"/>
        <v>0</v>
      </c>
      <c r="W661" s="13">
        <f t="shared" ca="1" si="188"/>
        <v>3966.27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102</v>
      </c>
      <c r="M662" s="7">
        <f t="shared" ca="1" si="178"/>
        <v>898</v>
      </c>
      <c r="N662" s="44">
        <f t="shared" ca="1" si="179"/>
        <v>8</v>
      </c>
      <c r="O662" s="94">
        <f t="shared" ca="1" si="180"/>
        <v>2.4908891993879614</v>
      </c>
      <c r="P662" s="94">
        <f t="shared" ca="1" si="181"/>
        <v>24.908891993879614</v>
      </c>
      <c r="Q662" s="94">
        <f t="shared" ca="1" si="182"/>
        <v>24.908891993879614</v>
      </c>
      <c r="R662" s="94">
        <f t="shared" ca="1" si="183"/>
        <v>2.4908891993879614</v>
      </c>
      <c r="S662" s="94">
        <f t="shared" ca="1" si="184"/>
        <v>2.4908891993879614</v>
      </c>
      <c r="T662" s="4">
        <f t="shared" ca="1" si="185"/>
        <v>0</v>
      </c>
      <c r="U662" s="46">
        <f t="shared" ca="1" si="186"/>
        <v>1455.6995798612329</v>
      </c>
      <c r="V662" s="4">
        <f t="shared" ca="1" si="187"/>
        <v>0</v>
      </c>
      <c r="W662" s="13">
        <f t="shared" ca="1" si="188"/>
        <v>1983.135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235</v>
      </c>
      <c r="M663" s="7">
        <f t="shared" ca="1" si="178"/>
        <v>765</v>
      </c>
      <c r="N663" s="44">
        <f t="shared" ca="1" si="179"/>
        <v>7</v>
      </c>
      <c r="O663" s="94">
        <f t="shared" ca="1" si="180"/>
        <v>2.2444549919727916</v>
      </c>
      <c r="P663" s="94">
        <f t="shared" ca="1" si="181"/>
        <v>22.444549919727915</v>
      </c>
      <c r="Q663" s="94">
        <f t="shared" ca="1" si="182"/>
        <v>22.444549919727915</v>
      </c>
      <c r="R663" s="94">
        <f t="shared" ca="1" si="183"/>
        <v>2.2444549919727916</v>
      </c>
      <c r="S663" s="94">
        <f t="shared" ca="1" si="184"/>
        <v>2.2444549919727916</v>
      </c>
      <c r="T663" s="4">
        <f t="shared" ca="1" si="185"/>
        <v>0</v>
      </c>
      <c r="U663" s="46">
        <f t="shared" ca="1" si="186"/>
        <v>1480.7701584159711</v>
      </c>
      <c r="V663" s="4">
        <f t="shared" ca="1" si="187"/>
        <v>0</v>
      </c>
      <c r="W663" s="13">
        <f t="shared" ca="1" si="188"/>
        <v>15774.9375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216</v>
      </c>
      <c r="M664" s="7">
        <f t="shared" ca="1" si="178"/>
        <v>784</v>
      </c>
      <c r="N664" s="44">
        <f t="shared" ca="1" si="179"/>
        <v>7</v>
      </c>
      <c r="O664" s="94">
        <f t="shared" ca="1" si="180"/>
        <v>2.2444549919727916</v>
      </c>
      <c r="P664" s="94">
        <f t="shared" ca="1" si="181"/>
        <v>22.444549919727915</v>
      </c>
      <c r="Q664" s="94">
        <f t="shared" ca="1" si="182"/>
        <v>22.444549919727915</v>
      </c>
      <c r="R664" s="94">
        <f t="shared" ca="1" si="183"/>
        <v>2.2444549919727916</v>
      </c>
      <c r="S664" s="94">
        <f t="shared" ca="1" si="184"/>
        <v>2.2444549919727916</v>
      </c>
      <c r="T664" s="4">
        <f t="shared" ca="1" si="185"/>
        <v>0</v>
      </c>
      <c r="U664" s="46">
        <f t="shared" ca="1" si="186"/>
        <v>1461.7701584159711</v>
      </c>
      <c r="V664" s="4">
        <f t="shared" ca="1" si="187"/>
        <v>0</v>
      </c>
      <c r="W664" s="13">
        <f t="shared" ca="1" si="188"/>
        <v>13791.8025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197</v>
      </c>
      <c r="M665" s="7">
        <f t="shared" ca="1" si="178"/>
        <v>803</v>
      </c>
      <c r="N665" s="44">
        <f t="shared" ca="1" si="179"/>
        <v>8</v>
      </c>
      <c r="O665" s="94">
        <f t="shared" ca="1" si="180"/>
        <v>2.4908891993879614</v>
      </c>
      <c r="P665" s="94">
        <f t="shared" ca="1" si="181"/>
        <v>24.908891993879614</v>
      </c>
      <c r="Q665" s="94">
        <f t="shared" ca="1" si="182"/>
        <v>22.690984127143082</v>
      </c>
      <c r="R665" s="94">
        <f t="shared" ca="1" si="183"/>
        <v>2.379993806051135</v>
      </c>
      <c r="S665" s="94">
        <f t="shared" ca="1" si="184"/>
        <v>2.4908891993879614</v>
      </c>
      <c r="T665" s="4">
        <f t="shared" ca="1" si="185"/>
        <v>0</v>
      </c>
      <c r="U665" s="46">
        <f t="shared" ca="1" si="186"/>
        <v>1550.6995798612329</v>
      </c>
      <c r="V665" s="4">
        <f t="shared" ca="1" si="187"/>
        <v>0</v>
      </c>
      <c r="W665" s="13">
        <f t="shared" ca="1" si="188"/>
        <v>11808.6675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178</v>
      </c>
      <c r="M666" s="7">
        <f t="shared" ca="1" si="178"/>
        <v>822</v>
      </c>
      <c r="N666" s="44">
        <f t="shared" ca="1" si="179"/>
        <v>8</v>
      </c>
      <c r="O666" s="94">
        <f t="shared" ca="1" si="180"/>
        <v>2.4908891993879614</v>
      </c>
      <c r="P666" s="94">
        <f t="shared" ca="1" si="181"/>
        <v>24.908891993879614</v>
      </c>
      <c r="Q666" s="94">
        <f t="shared" ca="1" si="182"/>
        <v>24.908891993879614</v>
      </c>
      <c r="R666" s="94">
        <f t="shared" ca="1" si="183"/>
        <v>2.4908891993879614</v>
      </c>
      <c r="S666" s="94">
        <f t="shared" ca="1" si="184"/>
        <v>2.4908891993879614</v>
      </c>
      <c r="T666" s="4">
        <f t="shared" ca="1" si="185"/>
        <v>0</v>
      </c>
      <c r="U666" s="46">
        <f t="shared" ca="1" si="186"/>
        <v>1531.6995798612329</v>
      </c>
      <c r="V666" s="4">
        <f t="shared" ca="1" si="187"/>
        <v>0</v>
      </c>
      <c r="W666" s="13">
        <f t="shared" ca="1" si="188"/>
        <v>9825.5324999999993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159</v>
      </c>
      <c r="M667" s="7">
        <f t="shared" ca="1" si="178"/>
        <v>841</v>
      </c>
      <c r="N667" s="44">
        <f t="shared" ca="1" si="179"/>
        <v>8</v>
      </c>
      <c r="O667" s="94">
        <f t="shared" ca="1" si="180"/>
        <v>2.4908891993879614</v>
      </c>
      <c r="P667" s="94">
        <f t="shared" ca="1" si="181"/>
        <v>24.908891993879614</v>
      </c>
      <c r="Q667" s="94">
        <f t="shared" ca="1" si="182"/>
        <v>24.908891993879614</v>
      </c>
      <c r="R667" s="94">
        <f t="shared" ca="1" si="183"/>
        <v>2.4908891993879614</v>
      </c>
      <c r="S667" s="94">
        <f t="shared" ca="1" si="184"/>
        <v>2.4908891993879614</v>
      </c>
      <c r="T667" s="4">
        <f t="shared" ca="1" si="185"/>
        <v>0</v>
      </c>
      <c r="U667" s="46">
        <f t="shared" ca="1" si="186"/>
        <v>1512.6995798612329</v>
      </c>
      <c r="V667" s="4">
        <f t="shared" ca="1" si="187"/>
        <v>0</v>
      </c>
      <c r="W667" s="13">
        <f t="shared" ca="1" si="188"/>
        <v>7842.3974999999991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140</v>
      </c>
      <c r="M668" s="7">
        <f t="shared" ca="1" si="178"/>
        <v>860</v>
      </c>
      <c r="N668" s="44">
        <f t="shared" ca="1" si="179"/>
        <v>8</v>
      </c>
      <c r="O668" s="94">
        <f t="shared" ca="1" si="180"/>
        <v>2.4908891993879614</v>
      </c>
      <c r="P668" s="94">
        <f t="shared" ca="1" si="181"/>
        <v>24.908891993879614</v>
      </c>
      <c r="Q668" s="94">
        <f t="shared" ca="1" si="182"/>
        <v>24.908891993879614</v>
      </c>
      <c r="R668" s="94">
        <f t="shared" ca="1" si="183"/>
        <v>2.4908891993879614</v>
      </c>
      <c r="S668" s="94">
        <f t="shared" ca="1" si="184"/>
        <v>2.4908891993879614</v>
      </c>
      <c r="T668" s="4">
        <f t="shared" ca="1" si="185"/>
        <v>0</v>
      </c>
      <c r="U668" s="46">
        <f t="shared" ca="1" si="186"/>
        <v>1493.6995798612329</v>
      </c>
      <c r="V668" s="4">
        <f t="shared" ca="1" si="187"/>
        <v>0</v>
      </c>
      <c r="W668" s="13">
        <f t="shared" ca="1" si="188"/>
        <v>5859.2624999999998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2.4908891993879614</v>
      </c>
      <c r="P669" s="94">
        <f t="shared" ca="1" si="181"/>
        <v>24.908891993879614</v>
      </c>
      <c r="Q669" s="94">
        <f t="shared" ca="1" si="182"/>
        <v>24.908891993879614</v>
      </c>
      <c r="R669" s="94">
        <f t="shared" ca="1" si="183"/>
        <v>2.4908891993879614</v>
      </c>
      <c r="S669" s="94">
        <f t="shared" ca="1" si="184"/>
        <v>2.4908891993879614</v>
      </c>
      <c r="T669" s="4">
        <f t="shared" ca="1" si="185"/>
        <v>0</v>
      </c>
      <c r="U669" s="46">
        <f t="shared" ca="1" si="186"/>
        <v>1474.6995798612329</v>
      </c>
      <c r="V669" s="4">
        <f t="shared" ca="1" si="187"/>
        <v>0</v>
      </c>
      <c r="W669" s="13">
        <f t="shared" ca="1" si="188"/>
        <v>3876.1274999999996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102</v>
      </c>
      <c r="M670" s="7">
        <f t="shared" ca="1" si="178"/>
        <v>898</v>
      </c>
      <c r="N670" s="44">
        <f t="shared" ca="1" si="179"/>
        <v>8</v>
      </c>
      <c r="O670" s="94">
        <f t="shared" ca="1" si="180"/>
        <v>2.4908891993879614</v>
      </c>
      <c r="P670" s="94">
        <f t="shared" ca="1" si="181"/>
        <v>24.908891993879614</v>
      </c>
      <c r="Q670" s="94">
        <f t="shared" ca="1" si="182"/>
        <v>24.908891993879614</v>
      </c>
      <c r="R670" s="94">
        <f t="shared" ca="1" si="183"/>
        <v>2.4908891993879614</v>
      </c>
      <c r="S670" s="94">
        <f t="shared" ca="1" si="184"/>
        <v>2.4908891993879614</v>
      </c>
      <c r="T670" s="4">
        <f t="shared" ca="1" si="185"/>
        <v>0</v>
      </c>
      <c r="U670" s="46">
        <f t="shared" ca="1" si="186"/>
        <v>1455.6995798612329</v>
      </c>
      <c r="V670" s="4">
        <f t="shared" ca="1" si="187"/>
        <v>0</v>
      </c>
      <c r="W670" s="13">
        <f t="shared" ca="1" si="188"/>
        <v>1892.9924999999998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133</v>
      </c>
      <c r="M671" s="7">
        <f t="shared" ca="1" si="178"/>
        <v>867</v>
      </c>
      <c r="N671" s="44">
        <f t="shared" ca="1" si="179"/>
        <v>8</v>
      </c>
      <c r="O671" s="94">
        <f t="shared" ca="1" si="180"/>
        <v>2.4908891993879614</v>
      </c>
      <c r="P671" s="94">
        <f t="shared" ca="1" si="181"/>
        <v>24.908891993879614</v>
      </c>
      <c r="Q671" s="94">
        <f t="shared" ca="1" si="182"/>
        <v>24.908891993879614</v>
      </c>
      <c r="R671" s="94">
        <f t="shared" ca="1" si="183"/>
        <v>2.4908891993879614</v>
      </c>
      <c r="S671" s="94">
        <f t="shared" ca="1" si="184"/>
        <v>2.4908891993879614</v>
      </c>
      <c r="T671" s="4">
        <f t="shared" ca="1" si="185"/>
        <v>0</v>
      </c>
      <c r="U671" s="46">
        <f t="shared" ca="1" si="186"/>
        <v>1486.6995798612329</v>
      </c>
      <c r="V671" s="4">
        <f t="shared" ca="1" si="187"/>
        <v>0</v>
      </c>
      <c r="W671" s="13">
        <f t="shared" ca="1" si="188"/>
        <v>13881.945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114</v>
      </c>
      <c r="M672" s="7">
        <f t="shared" ca="1" si="178"/>
        <v>886</v>
      </c>
      <c r="N672" s="44">
        <f t="shared" ca="1" si="179"/>
        <v>8</v>
      </c>
      <c r="O672" s="94">
        <f t="shared" ca="1" si="180"/>
        <v>2.4908891993879614</v>
      </c>
      <c r="P672" s="94">
        <f t="shared" ca="1" si="181"/>
        <v>24.908891993879614</v>
      </c>
      <c r="Q672" s="94">
        <f t="shared" ca="1" si="182"/>
        <v>24.908891993879614</v>
      </c>
      <c r="R672" s="94">
        <f t="shared" ca="1" si="183"/>
        <v>2.4908891993879614</v>
      </c>
      <c r="S672" s="94">
        <f t="shared" ca="1" si="184"/>
        <v>2.4908891993879614</v>
      </c>
      <c r="T672" s="4">
        <f t="shared" ca="1" si="185"/>
        <v>0</v>
      </c>
      <c r="U672" s="46">
        <f t="shared" ca="1" si="186"/>
        <v>1467.6995798612329</v>
      </c>
      <c r="V672" s="4">
        <f t="shared" ca="1" si="187"/>
        <v>0</v>
      </c>
      <c r="W672" s="13">
        <f t="shared" ca="1" si="188"/>
        <v>11898.81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2.4908891993879614</v>
      </c>
      <c r="P673" s="94">
        <f t="shared" ca="1" si="181"/>
        <v>24.908891993879614</v>
      </c>
      <c r="Q673" s="94">
        <f t="shared" ca="1" si="182"/>
        <v>24.908891993879614</v>
      </c>
      <c r="R673" s="94">
        <f t="shared" ca="1" si="183"/>
        <v>2.4908891993879614</v>
      </c>
      <c r="S673" s="94">
        <f t="shared" ca="1" si="184"/>
        <v>2.4908891993879614</v>
      </c>
      <c r="T673" s="4">
        <f t="shared" ca="1" si="185"/>
        <v>0</v>
      </c>
      <c r="U673" s="46">
        <f t="shared" ca="1" si="186"/>
        <v>1453.6995798612329</v>
      </c>
      <c r="V673" s="4">
        <f t="shared" ca="1" si="187"/>
        <v>0</v>
      </c>
      <c r="W673" s="13">
        <f t="shared" ca="1" si="188"/>
        <v>9915.6749999999993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100</v>
      </c>
      <c r="M674" s="7">
        <f t="shared" ca="1" si="178"/>
        <v>900</v>
      </c>
      <c r="N674" s="44">
        <f t="shared" ca="1" si="179"/>
        <v>8</v>
      </c>
      <c r="O674" s="94">
        <f t="shared" ca="1" si="180"/>
        <v>2.4908891993879614</v>
      </c>
      <c r="P674" s="94">
        <f t="shared" ca="1" si="181"/>
        <v>24.908891993879614</v>
      </c>
      <c r="Q674" s="94">
        <f t="shared" ca="1" si="182"/>
        <v>24.908891993879614</v>
      </c>
      <c r="R674" s="94">
        <f t="shared" ca="1" si="183"/>
        <v>2.4908891993879614</v>
      </c>
      <c r="S674" s="94">
        <f t="shared" ca="1" si="184"/>
        <v>2.4908891993879614</v>
      </c>
      <c r="T674" s="4">
        <f t="shared" ca="1" si="185"/>
        <v>0</v>
      </c>
      <c r="U674" s="46">
        <f t="shared" ca="1" si="186"/>
        <v>1453.6995798612329</v>
      </c>
      <c r="V674" s="4">
        <f t="shared" ca="1" si="187"/>
        <v>0</v>
      </c>
      <c r="W674" s="13">
        <f t="shared" ca="1" si="188"/>
        <v>7932.54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100</v>
      </c>
      <c r="M675" s="7">
        <f t="shared" ca="1" si="178"/>
        <v>900</v>
      </c>
      <c r="N675" s="44">
        <f t="shared" ca="1" si="179"/>
        <v>8</v>
      </c>
      <c r="O675" s="94">
        <f t="shared" ca="1" si="180"/>
        <v>2.4908891993879614</v>
      </c>
      <c r="P675" s="94">
        <f t="shared" ca="1" si="181"/>
        <v>24.908891993879614</v>
      </c>
      <c r="Q675" s="94">
        <f t="shared" ca="1" si="182"/>
        <v>24.908891993879614</v>
      </c>
      <c r="R675" s="94">
        <f t="shared" ca="1" si="183"/>
        <v>2.4908891993879614</v>
      </c>
      <c r="S675" s="94">
        <f t="shared" ca="1" si="184"/>
        <v>2.4908891993879614</v>
      </c>
      <c r="T675" s="4">
        <f t="shared" ca="1" si="185"/>
        <v>0</v>
      </c>
      <c r="U675" s="46">
        <f t="shared" ca="1" si="186"/>
        <v>1453.6995798612329</v>
      </c>
      <c r="V675" s="4">
        <f t="shared" ca="1" si="187"/>
        <v>0</v>
      </c>
      <c r="W675" s="13">
        <f t="shared" ca="1" si="188"/>
        <v>5949.4049999999997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100</v>
      </c>
      <c r="M676" s="7">
        <f t="shared" ca="1" si="178"/>
        <v>900</v>
      </c>
      <c r="N676" s="44">
        <f t="shared" ca="1" si="179"/>
        <v>8</v>
      </c>
      <c r="O676" s="94">
        <f t="shared" ca="1" si="180"/>
        <v>2.4908891993879614</v>
      </c>
      <c r="P676" s="94">
        <f t="shared" ca="1" si="181"/>
        <v>24.908891993879614</v>
      </c>
      <c r="Q676" s="94">
        <f t="shared" ca="1" si="182"/>
        <v>24.908891993879614</v>
      </c>
      <c r="R676" s="94">
        <f t="shared" ca="1" si="183"/>
        <v>2.4908891993879614</v>
      </c>
      <c r="S676" s="94">
        <f t="shared" ca="1" si="184"/>
        <v>2.4908891993879614</v>
      </c>
      <c r="T676" s="4">
        <f t="shared" ca="1" si="185"/>
        <v>0</v>
      </c>
      <c r="U676" s="46">
        <f t="shared" ca="1" si="186"/>
        <v>1453.6995798612329</v>
      </c>
      <c r="V676" s="4">
        <f t="shared" ca="1" si="187"/>
        <v>0</v>
      </c>
      <c r="W676" s="13">
        <f t="shared" ca="1" si="188"/>
        <v>3966.27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100</v>
      </c>
      <c r="M677" s="7">
        <f t="shared" ca="1" si="178"/>
        <v>900</v>
      </c>
      <c r="N677" s="44">
        <f t="shared" ca="1" si="179"/>
        <v>8</v>
      </c>
      <c r="O677" s="94">
        <f t="shared" ca="1" si="180"/>
        <v>2.4908891993879614</v>
      </c>
      <c r="P677" s="94">
        <f t="shared" ca="1" si="181"/>
        <v>24.908891993879614</v>
      </c>
      <c r="Q677" s="94">
        <f t="shared" ca="1" si="182"/>
        <v>24.908891993879614</v>
      </c>
      <c r="R677" s="94">
        <f t="shared" ca="1" si="183"/>
        <v>2.4908891993879614</v>
      </c>
      <c r="S677" s="94">
        <f t="shared" ca="1" si="184"/>
        <v>2.4908891993879614</v>
      </c>
      <c r="T677" s="4">
        <f t="shared" ca="1" si="185"/>
        <v>0</v>
      </c>
      <c r="U677" s="46">
        <f t="shared" ca="1" si="186"/>
        <v>1453.6995798612329</v>
      </c>
      <c r="V677" s="4">
        <f t="shared" ca="1" si="187"/>
        <v>0</v>
      </c>
      <c r="W677" s="13">
        <f t="shared" ca="1" si="188"/>
        <v>1983.135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100</v>
      </c>
      <c r="M678" s="7">
        <f t="shared" ca="1" si="178"/>
        <v>900</v>
      </c>
      <c r="N678" s="44">
        <f t="shared" ca="1" si="179"/>
        <v>8</v>
      </c>
      <c r="O678" s="94">
        <f t="shared" ca="1" si="180"/>
        <v>2.4908891993879614</v>
      </c>
      <c r="P678" s="94">
        <f t="shared" ca="1" si="181"/>
        <v>24.908891993879614</v>
      </c>
      <c r="Q678" s="94">
        <f t="shared" ca="1" si="182"/>
        <v>24.908891993879614</v>
      </c>
      <c r="R678" s="94">
        <f t="shared" ca="1" si="183"/>
        <v>2.4908891993879614</v>
      </c>
      <c r="S678" s="94">
        <f t="shared" ca="1" si="184"/>
        <v>2.4908891993879614</v>
      </c>
      <c r="T678" s="4">
        <f t="shared" ca="1" si="185"/>
        <v>0</v>
      </c>
      <c r="U678" s="46">
        <f t="shared" ca="1" si="186"/>
        <v>1453.6995798612329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0.13844716000000004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337</v>
      </c>
      <c r="M679" s="7">
        <f t="shared" ref="M679:M742" ca="1" si="197">MAX(Set2MinTP-(L679+Set2Regain), 0)</f>
        <v>663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1.9922775034029279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19.922775034029279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19.922775034029279</v>
      </c>
      <c r="R679" s="94">
        <f t="shared" ref="R679:R742" ca="1" si="202">(P679+Q679)/20</f>
        <v>1.9922775034029279</v>
      </c>
      <c r="S679" s="94">
        <f t="shared" ref="S679:S742" ca="1" si="203">R679*Set2ConserveTP + O679*(1-Set2ConserveTP)</f>
        <v>1.9922775034029279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1472.3253840141317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17758.072499999998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0.13844716000000004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318</v>
      </c>
      <c r="M680" s="7">
        <f t="shared" ca="1" si="197"/>
        <v>682</v>
      </c>
      <c r="N680" s="44">
        <f t="shared" ca="1" si="198"/>
        <v>7</v>
      </c>
      <c r="O680" s="94">
        <f t="shared" ca="1" si="199"/>
        <v>2.2444549919727916</v>
      </c>
      <c r="P680" s="94">
        <f t="shared" ca="1" si="200"/>
        <v>20.679307499738869</v>
      </c>
      <c r="Q680" s="94">
        <f t="shared" ca="1" si="201"/>
        <v>19.922775034029279</v>
      </c>
      <c r="R680" s="94">
        <f t="shared" ca="1" si="202"/>
        <v>2.0301041266884075</v>
      </c>
      <c r="S680" s="94">
        <f t="shared" ca="1" si="203"/>
        <v>2.2444549919727916</v>
      </c>
      <c r="T680" s="4">
        <f t="shared" ca="1" si="204"/>
        <v>0</v>
      </c>
      <c r="U680" s="46">
        <f t="shared" ca="1" si="205"/>
        <v>1563.7701584159711</v>
      </c>
      <c r="V680" s="4">
        <f t="shared" ca="1" si="206"/>
        <v>0</v>
      </c>
      <c r="W680" s="13">
        <f t="shared" ca="1" si="207"/>
        <v>15774.9375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0.13844716000000004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0.12382799023689697</v>
      </c>
      <c r="L681" s="13">
        <f t="shared" ca="1" si="196"/>
        <v>299</v>
      </c>
      <c r="M681" s="7">
        <f t="shared" ca="1" si="197"/>
        <v>701</v>
      </c>
      <c r="N681" s="44">
        <f t="shared" ca="1" si="198"/>
        <v>7</v>
      </c>
      <c r="O681" s="94">
        <f t="shared" ca="1" si="199"/>
        <v>2.2444549919727916</v>
      </c>
      <c r="P681" s="94">
        <f t="shared" ca="1" si="200"/>
        <v>22.444549919727915</v>
      </c>
      <c r="Q681" s="94">
        <f t="shared" ca="1" si="201"/>
        <v>22.444549919727915</v>
      </c>
      <c r="R681" s="94">
        <f t="shared" ca="1" si="202"/>
        <v>2.2444549919727916</v>
      </c>
      <c r="S681" s="94">
        <f t="shared" ca="1" si="203"/>
        <v>2.2444549919727916</v>
      </c>
      <c r="T681" s="4">
        <f t="shared" ca="1" si="204"/>
        <v>0.27792635083316153</v>
      </c>
      <c r="U681" s="46">
        <f t="shared" ca="1" si="205"/>
        <v>1544.7701584159711</v>
      </c>
      <c r="V681" s="4">
        <f t="shared" ca="1" si="206"/>
        <v>191.28578409458265</v>
      </c>
      <c r="W681" s="13">
        <f t="shared" ca="1" si="207"/>
        <v>13791.802499999998</v>
      </c>
      <c r="X681" s="4">
        <f t="shared" ca="1" si="208"/>
        <v>1707.8111853192111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0.13844716000000004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6.2539389008533881E-3</v>
      </c>
      <c r="L682" s="13">
        <f t="shared" ca="1" si="196"/>
        <v>280</v>
      </c>
      <c r="M682" s="7">
        <f t="shared" ca="1" si="197"/>
        <v>720</v>
      </c>
      <c r="N682" s="44">
        <f t="shared" ca="1" si="198"/>
        <v>7</v>
      </c>
      <c r="O682" s="94">
        <f t="shared" ca="1" si="199"/>
        <v>2.2444549919727916</v>
      </c>
      <c r="P682" s="94">
        <f t="shared" ca="1" si="200"/>
        <v>22.444549919727915</v>
      </c>
      <c r="Q682" s="94">
        <f t="shared" ca="1" si="201"/>
        <v>22.444549919727915</v>
      </c>
      <c r="R682" s="94">
        <f t="shared" ca="1" si="202"/>
        <v>2.2444549919727916</v>
      </c>
      <c r="S682" s="94">
        <f t="shared" ca="1" si="203"/>
        <v>2.2444549919727916</v>
      </c>
      <c r="T682" s="4">
        <f t="shared" ca="1" si="204"/>
        <v>1.4036684385513221E-2</v>
      </c>
      <c r="U682" s="46">
        <f t="shared" ca="1" si="205"/>
        <v>1525.7701584159711</v>
      </c>
      <c r="V682" s="4">
        <f t="shared" ca="1" si="206"/>
        <v>9.5420733474788779</v>
      </c>
      <c r="W682" s="13">
        <f t="shared" ca="1" si="207"/>
        <v>11808.6675</v>
      </c>
      <c r="X682" s="4">
        <f t="shared" ca="1" si="208"/>
        <v>73.850685045493123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0.13844716000000004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1.2634220001724028E-4</v>
      </c>
      <c r="L683" s="13">
        <f t="shared" ca="1" si="196"/>
        <v>261</v>
      </c>
      <c r="M683" s="7">
        <f t="shared" ca="1" si="197"/>
        <v>739</v>
      </c>
      <c r="N683" s="44">
        <f t="shared" ca="1" si="198"/>
        <v>7</v>
      </c>
      <c r="O683" s="94">
        <f t="shared" ca="1" si="199"/>
        <v>2.2444549919727916</v>
      </c>
      <c r="P683" s="94">
        <f t="shared" ca="1" si="200"/>
        <v>22.444549919727915</v>
      </c>
      <c r="Q683" s="94">
        <f t="shared" ca="1" si="201"/>
        <v>22.444549919727915</v>
      </c>
      <c r="R683" s="94">
        <f t="shared" ca="1" si="202"/>
        <v>2.2444549919727916</v>
      </c>
      <c r="S683" s="94">
        <f t="shared" ca="1" si="203"/>
        <v>2.2444549919727916</v>
      </c>
      <c r="T683" s="4">
        <f t="shared" ca="1" si="204"/>
        <v>2.835693815255199E-4</v>
      </c>
      <c r="U683" s="46">
        <f t="shared" ca="1" si="205"/>
        <v>1506.7701584159711</v>
      </c>
      <c r="V683" s="4">
        <f t="shared" ca="1" si="206"/>
        <v>0.19036865673459943</v>
      </c>
      <c r="W683" s="13">
        <f t="shared" ca="1" si="207"/>
        <v>9825.5324999999993</v>
      </c>
      <c r="X683" s="4">
        <f t="shared" ca="1" si="208"/>
        <v>1.2413793923908949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0.13844716000000004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1.2761838385579838E-6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2.2444549919727916</v>
      </c>
      <c r="P684" s="94">
        <f t="shared" ca="1" si="200"/>
        <v>22.444549919727915</v>
      </c>
      <c r="Q684" s="94">
        <f t="shared" ca="1" si="201"/>
        <v>22.444549919727915</v>
      </c>
      <c r="R684" s="94">
        <f t="shared" ca="1" si="202"/>
        <v>2.2444549919727916</v>
      </c>
      <c r="S684" s="94">
        <f t="shared" ca="1" si="203"/>
        <v>2.2444549919727916</v>
      </c>
      <c r="T684" s="4">
        <f t="shared" ca="1" si="204"/>
        <v>2.864337187126466E-6</v>
      </c>
      <c r="U684" s="46">
        <f t="shared" ca="1" si="205"/>
        <v>1487.7701584159711</v>
      </c>
      <c r="V684" s="4">
        <f t="shared" ca="1" si="206"/>
        <v>1.8986682316593135E-3</v>
      </c>
      <c r="W684" s="13">
        <f t="shared" ca="1" si="207"/>
        <v>7842.3974999999991</v>
      </c>
      <c r="X684" s="4">
        <f t="shared" ca="1" si="208"/>
        <v>1.0008340945047534E-2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0.13844716000000004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6.4453729220100251E-9</v>
      </c>
      <c r="L685" s="13">
        <f t="shared" ca="1" si="196"/>
        <v>223</v>
      </c>
      <c r="M685" s="7">
        <f t="shared" ca="1" si="197"/>
        <v>777</v>
      </c>
      <c r="N685" s="44">
        <f t="shared" ca="1" si="198"/>
        <v>7</v>
      </c>
      <c r="O685" s="94">
        <f t="shared" ca="1" si="199"/>
        <v>2.2444549919727916</v>
      </c>
      <c r="P685" s="94">
        <f t="shared" ca="1" si="200"/>
        <v>22.444549919727915</v>
      </c>
      <c r="Q685" s="94">
        <f t="shared" ca="1" si="201"/>
        <v>22.444549919727915</v>
      </c>
      <c r="R685" s="94">
        <f t="shared" ca="1" si="202"/>
        <v>2.2444549919727916</v>
      </c>
      <c r="S685" s="94">
        <f t="shared" ca="1" si="203"/>
        <v>2.2444549919727916</v>
      </c>
      <c r="T685" s="4">
        <f t="shared" ca="1" si="204"/>
        <v>1.446634942993166E-8</v>
      </c>
      <c r="U685" s="46">
        <f t="shared" ca="1" si="205"/>
        <v>1468.7701584159711</v>
      </c>
      <c r="V685" s="4">
        <f t="shared" ca="1" si="206"/>
        <v>9.4667714077106758E-6</v>
      </c>
      <c r="W685" s="13">
        <f t="shared" ca="1" si="207"/>
        <v>5859.2624999999998</v>
      </c>
      <c r="X685" s="4">
        <f t="shared" ca="1" si="208"/>
        <v>3.7765131860448763E-5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0.13844716000000004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1.3020955398000063E-11</v>
      </c>
      <c r="L686" s="13">
        <f t="shared" ca="1" si="196"/>
        <v>204</v>
      </c>
      <c r="M686" s="7">
        <f t="shared" ca="1" si="197"/>
        <v>796</v>
      </c>
      <c r="N686" s="44">
        <f t="shared" ca="1" si="198"/>
        <v>8</v>
      </c>
      <c r="O686" s="94">
        <f t="shared" ca="1" si="199"/>
        <v>2.4908891993879614</v>
      </c>
      <c r="P686" s="94">
        <f t="shared" ca="1" si="200"/>
        <v>23.430286749388593</v>
      </c>
      <c r="Q686" s="94">
        <f t="shared" ca="1" si="201"/>
        <v>22.444549919727915</v>
      </c>
      <c r="R686" s="94">
        <f t="shared" ca="1" si="202"/>
        <v>2.2937418334558251</v>
      </c>
      <c r="S686" s="94">
        <f t="shared" ca="1" si="203"/>
        <v>2.4908891993879614</v>
      </c>
      <c r="T686" s="4">
        <f t="shared" ca="1" si="204"/>
        <v>3.2433757166590733E-11</v>
      </c>
      <c r="U686" s="46">
        <f t="shared" ca="1" si="205"/>
        <v>1557.6995798612329</v>
      </c>
      <c r="V686" s="4">
        <f t="shared" ca="1" si="206"/>
        <v>2.0282736752856551E-8</v>
      </c>
      <c r="W686" s="13">
        <f t="shared" ca="1" si="207"/>
        <v>3876.1274999999996</v>
      </c>
      <c r="X686" s="4">
        <f t="shared" ca="1" si="208"/>
        <v>5.0470883294461483E-8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0.13844716000000004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235</v>
      </c>
      <c r="M687" s="7">
        <f t="shared" ca="1" si="197"/>
        <v>765</v>
      </c>
      <c r="N687" s="44">
        <f t="shared" ca="1" si="198"/>
        <v>7</v>
      </c>
      <c r="O687" s="94">
        <f t="shared" ca="1" si="199"/>
        <v>2.2444549919727916</v>
      </c>
      <c r="P687" s="94">
        <f t="shared" ca="1" si="200"/>
        <v>22.444549919727915</v>
      </c>
      <c r="Q687" s="94">
        <f t="shared" ca="1" si="201"/>
        <v>22.444549919727915</v>
      </c>
      <c r="R687" s="94">
        <f t="shared" ca="1" si="202"/>
        <v>2.2444549919727916</v>
      </c>
      <c r="S687" s="94">
        <f t="shared" ca="1" si="203"/>
        <v>2.2444549919727916</v>
      </c>
      <c r="T687" s="4">
        <f t="shared" ca="1" si="204"/>
        <v>0</v>
      </c>
      <c r="U687" s="46">
        <f t="shared" ca="1" si="205"/>
        <v>1480.7701584159711</v>
      </c>
      <c r="V687" s="4">
        <f t="shared" ca="1" si="206"/>
        <v>0</v>
      </c>
      <c r="W687" s="13">
        <f t="shared" ca="1" si="207"/>
        <v>15865.08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0.13844716000000004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216</v>
      </c>
      <c r="M688" s="7">
        <f t="shared" ca="1" si="197"/>
        <v>784</v>
      </c>
      <c r="N688" s="44">
        <f t="shared" ca="1" si="198"/>
        <v>7</v>
      </c>
      <c r="O688" s="94">
        <f t="shared" ca="1" si="199"/>
        <v>2.2444549919727916</v>
      </c>
      <c r="P688" s="94">
        <f t="shared" ca="1" si="200"/>
        <v>22.444549919727915</v>
      </c>
      <c r="Q688" s="94">
        <f t="shared" ca="1" si="201"/>
        <v>22.444549919727915</v>
      </c>
      <c r="R688" s="94">
        <f t="shared" ca="1" si="202"/>
        <v>2.2444549919727916</v>
      </c>
      <c r="S688" s="94">
        <f t="shared" ca="1" si="203"/>
        <v>2.2444549919727916</v>
      </c>
      <c r="T688" s="4">
        <f t="shared" ca="1" si="204"/>
        <v>0</v>
      </c>
      <c r="U688" s="46">
        <f t="shared" ca="1" si="205"/>
        <v>1461.7701584159711</v>
      </c>
      <c r="V688" s="4">
        <f t="shared" ca="1" si="206"/>
        <v>0</v>
      </c>
      <c r="W688" s="13">
        <f t="shared" ca="1" si="207"/>
        <v>13881.945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0.13844716000000004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1.2507877801706774E-3</v>
      </c>
      <c r="L689" s="13">
        <f t="shared" ca="1" si="196"/>
        <v>197</v>
      </c>
      <c r="M689" s="7">
        <f t="shared" ca="1" si="197"/>
        <v>803</v>
      </c>
      <c r="N689" s="44">
        <f t="shared" ca="1" si="198"/>
        <v>8</v>
      </c>
      <c r="O689" s="94">
        <f t="shared" ca="1" si="199"/>
        <v>2.4908891993879614</v>
      </c>
      <c r="P689" s="94">
        <f t="shared" ca="1" si="200"/>
        <v>24.908891993879614</v>
      </c>
      <c r="Q689" s="94">
        <f t="shared" ca="1" si="201"/>
        <v>22.690984127143082</v>
      </c>
      <c r="R689" s="94">
        <f t="shared" ca="1" si="202"/>
        <v>2.379993806051135</v>
      </c>
      <c r="S689" s="94">
        <f t="shared" ca="1" si="203"/>
        <v>2.4908891993879614</v>
      </c>
      <c r="T689" s="4">
        <f t="shared" ca="1" si="204"/>
        <v>3.1155737723535838E-3</v>
      </c>
      <c r="U689" s="46">
        <f t="shared" ca="1" si="205"/>
        <v>1550.6995798612329</v>
      </c>
      <c r="V689" s="4">
        <f t="shared" ca="1" si="206"/>
        <v>1.9395960852062335</v>
      </c>
      <c r="W689" s="13">
        <f t="shared" ca="1" si="207"/>
        <v>11898.81</v>
      </c>
      <c r="X689" s="4">
        <f t="shared" ca="1" si="208"/>
        <v>14.882886146572657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0.13844716000000004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6.3171100008620128E-5</v>
      </c>
      <c r="L690" s="13">
        <f t="shared" ca="1" si="196"/>
        <v>178</v>
      </c>
      <c r="M690" s="7">
        <f t="shared" ca="1" si="197"/>
        <v>822</v>
      </c>
      <c r="N690" s="44">
        <f t="shared" ca="1" si="198"/>
        <v>8</v>
      </c>
      <c r="O690" s="94">
        <f t="shared" ca="1" si="199"/>
        <v>2.4908891993879614</v>
      </c>
      <c r="P690" s="94">
        <f t="shared" ca="1" si="200"/>
        <v>24.908891993879614</v>
      </c>
      <c r="Q690" s="94">
        <f t="shared" ca="1" si="201"/>
        <v>24.908891993879614</v>
      </c>
      <c r="R690" s="94">
        <f t="shared" ca="1" si="202"/>
        <v>2.4908891993879614</v>
      </c>
      <c r="S690" s="94">
        <f t="shared" ca="1" si="203"/>
        <v>2.4908891993879614</v>
      </c>
      <c r="T690" s="4">
        <f t="shared" ca="1" si="204"/>
        <v>1.5735221072492864E-4</v>
      </c>
      <c r="U690" s="46">
        <f t="shared" ca="1" si="205"/>
        <v>1531.6995798612329</v>
      </c>
      <c r="V690" s="4">
        <f t="shared" ca="1" si="206"/>
        <v>9.6759147342575375E-2</v>
      </c>
      <c r="W690" s="13">
        <f t="shared" ca="1" si="207"/>
        <v>9915.6749999999993</v>
      </c>
      <c r="X690" s="4">
        <f t="shared" ca="1" si="208"/>
        <v>0.62638409707797438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0.13844716000000004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1.2761838385579838E-6</v>
      </c>
      <c r="L691" s="13">
        <f t="shared" ca="1" si="196"/>
        <v>159</v>
      </c>
      <c r="M691" s="7">
        <f t="shared" ca="1" si="197"/>
        <v>841</v>
      </c>
      <c r="N691" s="44">
        <f t="shared" ca="1" si="198"/>
        <v>8</v>
      </c>
      <c r="O691" s="94">
        <f t="shared" ca="1" si="199"/>
        <v>2.4908891993879614</v>
      </c>
      <c r="P691" s="94">
        <f t="shared" ca="1" si="200"/>
        <v>24.908891993879614</v>
      </c>
      <c r="Q691" s="94">
        <f t="shared" ca="1" si="201"/>
        <v>24.908891993879614</v>
      </c>
      <c r="R691" s="94">
        <f t="shared" ca="1" si="202"/>
        <v>2.4908891993879614</v>
      </c>
      <c r="S691" s="94">
        <f t="shared" ca="1" si="203"/>
        <v>2.4908891993879614</v>
      </c>
      <c r="T691" s="4">
        <f t="shared" ca="1" si="204"/>
        <v>3.1788325398975516E-6</v>
      </c>
      <c r="U691" s="46">
        <f t="shared" ca="1" si="205"/>
        <v>1512.6995798612329</v>
      </c>
      <c r="V691" s="4">
        <f t="shared" ca="1" si="206"/>
        <v>1.9304827564123575E-3</v>
      </c>
      <c r="W691" s="13">
        <f t="shared" ca="1" si="207"/>
        <v>7932.54</v>
      </c>
      <c r="X691" s="4">
        <f t="shared" ca="1" si="208"/>
        <v>1.0123379346714749E-2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0.13844716000000004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1.289074584402005E-8</v>
      </c>
      <c r="L692" s="13">
        <f t="shared" ca="1" si="196"/>
        <v>140</v>
      </c>
      <c r="M692" s="7">
        <f t="shared" ca="1" si="197"/>
        <v>860</v>
      </c>
      <c r="N692" s="44">
        <f t="shared" ca="1" si="198"/>
        <v>8</v>
      </c>
      <c r="O692" s="94">
        <f t="shared" ca="1" si="199"/>
        <v>2.4908891993879614</v>
      </c>
      <c r="P692" s="94">
        <f t="shared" ca="1" si="200"/>
        <v>24.908891993879614</v>
      </c>
      <c r="Q692" s="94">
        <f t="shared" ca="1" si="201"/>
        <v>24.908891993879614</v>
      </c>
      <c r="R692" s="94">
        <f t="shared" ca="1" si="202"/>
        <v>2.4908891993879614</v>
      </c>
      <c r="S692" s="94">
        <f t="shared" ca="1" si="203"/>
        <v>2.4908891993879614</v>
      </c>
      <c r="T692" s="4">
        <f t="shared" ca="1" si="204"/>
        <v>3.2109419594924792E-8</v>
      </c>
      <c r="U692" s="46">
        <f t="shared" ca="1" si="205"/>
        <v>1493.6995798612329</v>
      </c>
      <c r="V692" s="4">
        <f t="shared" ca="1" si="206"/>
        <v>1.9254901651310684E-5</v>
      </c>
      <c r="W692" s="13">
        <f t="shared" ca="1" si="207"/>
        <v>5949.4049999999997</v>
      </c>
      <c r="X692" s="4">
        <f t="shared" ca="1" si="208"/>
        <v>7.6692267778142098E-5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0.13844716000000004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6.5104776990000302E-11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2.4908891993879614</v>
      </c>
      <c r="P693" s="94">
        <f t="shared" ca="1" si="200"/>
        <v>24.908891993879614</v>
      </c>
      <c r="Q693" s="94">
        <f t="shared" ca="1" si="201"/>
        <v>24.908891993879614</v>
      </c>
      <c r="R693" s="94">
        <f t="shared" ca="1" si="202"/>
        <v>2.4908891993879614</v>
      </c>
      <c r="S693" s="94">
        <f t="shared" ca="1" si="203"/>
        <v>2.4908891993879614</v>
      </c>
      <c r="T693" s="4">
        <f t="shared" ca="1" si="204"/>
        <v>1.6216878583295362E-10</v>
      </c>
      <c r="U693" s="46">
        <f t="shared" ca="1" si="205"/>
        <v>1474.6995798612329</v>
      </c>
      <c r="V693" s="4">
        <f t="shared" ca="1" si="206"/>
        <v>9.6009987274112703E-8</v>
      </c>
      <c r="W693" s="13">
        <f t="shared" ca="1" si="207"/>
        <v>3966.27</v>
      </c>
      <c r="X693" s="4">
        <f t="shared" ca="1" si="208"/>
        <v>2.5822312383212849E-7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0.13844716000000004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1.3152480200000077E-13</v>
      </c>
      <c r="L694" s="13">
        <f t="shared" ca="1" si="196"/>
        <v>102</v>
      </c>
      <c r="M694" s="7">
        <f t="shared" ca="1" si="197"/>
        <v>898</v>
      </c>
      <c r="N694" s="44">
        <f t="shared" ca="1" si="198"/>
        <v>8</v>
      </c>
      <c r="O694" s="94">
        <f t="shared" ca="1" si="199"/>
        <v>2.4908891993879614</v>
      </c>
      <c r="P694" s="94">
        <f t="shared" ca="1" si="200"/>
        <v>24.908891993879614</v>
      </c>
      <c r="Q694" s="94">
        <f t="shared" ca="1" si="201"/>
        <v>24.908891993879614</v>
      </c>
      <c r="R694" s="94">
        <f t="shared" ca="1" si="202"/>
        <v>2.4908891993879614</v>
      </c>
      <c r="S694" s="94">
        <f t="shared" ca="1" si="203"/>
        <v>2.4908891993879614</v>
      </c>
      <c r="T694" s="4">
        <f t="shared" ca="1" si="204"/>
        <v>3.2761370875344205E-13</v>
      </c>
      <c r="U694" s="46">
        <f t="shared" ca="1" si="205"/>
        <v>1455.6995798612329</v>
      </c>
      <c r="V694" s="4">
        <f t="shared" ca="1" si="206"/>
        <v>1.9146059901273297E-10</v>
      </c>
      <c r="W694" s="13">
        <f t="shared" ca="1" si="207"/>
        <v>1983.135</v>
      </c>
      <c r="X694" s="4">
        <f t="shared" ca="1" si="208"/>
        <v>2.608314382142715E-10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0.13844716000000004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235</v>
      </c>
      <c r="M695" s="7">
        <f t="shared" ca="1" si="197"/>
        <v>765</v>
      </c>
      <c r="N695" s="44">
        <f t="shared" ca="1" si="198"/>
        <v>7</v>
      </c>
      <c r="O695" s="94">
        <f t="shared" ca="1" si="199"/>
        <v>2.2444549919727916</v>
      </c>
      <c r="P695" s="94">
        <f t="shared" ca="1" si="200"/>
        <v>22.444549919727915</v>
      </c>
      <c r="Q695" s="94">
        <f t="shared" ca="1" si="201"/>
        <v>22.444549919727915</v>
      </c>
      <c r="R695" s="94">
        <f t="shared" ca="1" si="202"/>
        <v>2.2444549919727916</v>
      </c>
      <c r="S695" s="94">
        <f t="shared" ca="1" si="203"/>
        <v>2.2444549919727916</v>
      </c>
      <c r="T695" s="4">
        <f t="shared" ca="1" si="204"/>
        <v>0</v>
      </c>
      <c r="U695" s="46">
        <f t="shared" ca="1" si="205"/>
        <v>1480.7701584159711</v>
      </c>
      <c r="V695" s="4">
        <f t="shared" ca="1" si="206"/>
        <v>0</v>
      </c>
      <c r="W695" s="13">
        <f t="shared" ca="1" si="207"/>
        <v>15774.9375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0.13844716000000004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216</v>
      </c>
      <c r="M696" s="7">
        <f t="shared" ca="1" si="197"/>
        <v>784</v>
      </c>
      <c r="N696" s="44">
        <f t="shared" ca="1" si="198"/>
        <v>7</v>
      </c>
      <c r="O696" s="94">
        <f t="shared" ca="1" si="199"/>
        <v>2.2444549919727916</v>
      </c>
      <c r="P696" s="94">
        <f t="shared" ca="1" si="200"/>
        <v>22.444549919727915</v>
      </c>
      <c r="Q696" s="94">
        <f t="shared" ca="1" si="201"/>
        <v>22.444549919727915</v>
      </c>
      <c r="R696" s="94">
        <f t="shared" ca="1" si="202"/>
        <v>2.2444549919727916</v>
      </c>
      <c r="S696" s="94">
        <f t="shared" ca="1" si="203"/>
        <v>2.2444549919727916</v>
      </c>
      <c r="T696" s="4">
        <f t="shared" ca="1" si="204"/>
        <v>0</v>
      </c>
      <c r="U696" s="46">
        <f t="shared" ca="1" si="205"/>
        <v>1461.7701584159711</v>
      </c>
      <c r="V696" s="4">
        <f t="shared" ca="1" si="206"/>
        <v>0</v>
      </c>
      <c r="W696" s="13">
        <f t="shared" ca="1" si="207"/>
        <v>13791.8025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0.13844716000000004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6.5172626440472099E-3</v>
      </c>
      <c r="L697" s="13">
        <f t="shared" ca="1" si="196"/>
        <v>197</v>
      </c>
      <c r="M697" s="7">
        <f t="shared" ca="1" si="197"/>
        <v>803</v>
      </c>
      <c r="N697" s="44">
        <f t="shared" ca="1" si="198"/>
        <v>8</v>
      </c>
      <c r="O697" s="94">
        <f t="shared" ca="1" si="199"/>
        <v>2.4908891993879614</v>
      </c>
      <c r="P697" s="94">
        <f t="shared" ca="1" si="200"/>
        <v>24.908891993879614</v>
      </c>
      <c r="Q697" s="94">
        <f t="shared" ca="1" si="201"/>
        <v>22.690984127143082</v>
      </c>
      <c r="R697" s="94">
        <f t="shared" ca="1" si="202"/>
        <v>2.379993806051135</v>
      </c>
      <c r="S697" s="94">
        <f t="shared" ca="1" si="203"/>
        <v>2.4908891993879614</v>
      </c>
      <c r="T697" s="4">
        <f t="shared" ca="1" si="204"/>
        <v>1.6233779129631823E-2</v>
      </c>
      <c r="U697" s="46">
        <f t="shared" ca="1" si="205"/>
        <v>1550.6995798612329</v>
      </c>
      <c r="V697" s="4">
        <f t="shared" ca="1" si="206"/>
        <v>10.106316443969316</v>
      </c>
      <c r="W697" s="13">
        <f t="shared" ca="1" si="207"/>
        <v>11808.6675</v>
      </c>
      <c r="X697" s="4">
        <f t="shared" ca="1" si="208"/>
        <v>76.960187573724355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0.13844716000000004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3.2915467899228358E-4</v>
      </c>
      <c r="L698" s="13">
        <f t="shared" ca="1" si="196"/>
        <v>178</v>
      </c>
      <c r="M698" s="7">
        <f t="shared" ca="1" si="197"/>
        <v>822</v>
      </c>
      <c r="N698" s="44">
        <f t="shared" ca="1" si="198"/>
        <v>8</v>
      </c>
      <c r="O698" s="94">
        <f t="shared" ca="1" si="199"/>
        <v>2.4908891993879614</v>
      </c>
      <c r="P698" s="94">
        <f t="shared" ca="1" si="200"/>
        <v>24.908891993879614</v>
      </c>
      <c r="Q698" s="94">
        <f t="shared" ca="1" si="201"/>
        <v>24.908891993879614</v>
      </c>
      <c r="R698" s="94">
        <f t="shared" ca="1" si="202"/>
        <v>2.4908891993879614</v>
      </c>
      <c r="S698" s="94">
        <f t="shared" ca="1" si="203"/>
        <v>2.4908891993879614</v>
      </c>
      <c r="T698" s="4">
        <f t="shared" ca="1" si="204"/>
        <v>8.198878348298907E-4</v>
      </c>
      <c r="U698" s="46">
        <f t="shared" ca="1" si="205"/>
        <v>1531.6995798612329</v>
      </c>
      <c r="V698" s="4">
        <f t="shared" ca="1" si="206"/>
        <v>0.50416608352183978</v>
      </c>
      <c r="W698" s="13">
        <f t="shared" ca="1" si="207"/>
        <v>9825.5324999999993</v>
      </c>
      <c r="X698" s="4">
        <f t="shared" ca="1" si="208"/>
        <v>3.2341199959657492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0.13844716000000004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6.6495894745915936E-6</v>
      </c>
      <c r="L699" s="13">
        <f t="shared" ca="1" si="196"/>
        <v>159</v>
      </c>
      <c r="M699" s="7">
        <f t="shared" ca="1" si="197"/>
        <v>841</v>
      </c>
      <c r="N699" s="44">
        <f t="shared" ca="1" si="198"/>
        <v>8</v>
      </c>
      <c r="O699" s="94">
        <f t="shared" ca="1" si="199"/>
        <v>2.4908891993879614</v>
      </c>
      <c r="P699" s="94">
        <f t="shared" ca="1" si="200"/>
        <v>24.908891993879614</v>
      </c>
      <c r="Q699" s="94">
        <f t="shared" ca="1" si="201"/>
        <v>24.908891993879614</v>
      </c>
      <c r="R699" s="94">
        <f t="shared" ca="1" si="202"/>
        <v>2.4908891993879614</v>
      </c>
      <c r="S699" s="94">
        <f t="shared" ca="1" si="203"/>
        <v>2.4908891993879614</v>
      </c>
      <c r="T699" s="4">
        <f t="shared" ca="1" si="204"/>
        <v>1.6563390602624068E-5</v>
      </c>
      <c r="U699" s="46">
        <f t="shared" ca="1" si="205"/>
        <v>1512.6995798612329</v>
      </c>
      <c r="V699" s="4">
        <f t="shared" ca="1" si="206"/>
        <v>1.005883120446438E-2</v>
      </c>
      <c r="W699" s="13">
        <f t="shared" ca="1" si="207"/>
        <v>7842.3974999999991</v>
      </c>
      <c r="X699" s="4">
        <f t="shared" ca="1" si="208"/>
        <v>5.214872387156342E-2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0.13844716000000004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6.716757045042021E-8</v>
      </c>
      <c r="L700" s="13">
        <f t="shared" ca="1" si="196"/>
        <v>140</v>
      </c>
      <c r="M700" s="7">
        <f t="shared" ca="1" si="197"/>
        <v>860</v>
      </c>
      <c r="N700" s="44">
        <f t="shared" ca="1" si="198"/>
        <v>8</v>
      </c>
      <c r="O700" s="94">
        <f t="shared" ca="1" si="199"/>
        <v>2.4908891993879614</v>
      </c>
      <c r="P700" s="94">
        <f t="shared" ca="1" si="200"/>
        <v>24.908891993879614</v>
      </c>
      <c r="Q700" s="94">
        <f t="shared" ca="1" si="201"/>
        <v>24.908891993879614</v>
      </c>
      <c r="R700" s="94">
        <f t="shared" ca="1" si="202"/>
        <v>2.4908891993879614</v>
      </c>
      <c r="S700" s="94">
        <f t="shared" ca="1" si="203"/>
        <v>2.4908891993879614</v>
      </c>
      <c r="T700" s="4">
        <f t="shared" ca="1" si="204"/>
        <v>1.6730697578408169E-7</v>
      </c>
      <c r="U700" s="46">
        <f t="shared" ca="1" si="205"/>
        <v>1493.6995798612329</v>
      </c>
      <c r="V700" s="4">
        <f t="shared" ca="1" si="206"/>
        <v>1.0032817176209243E-4</v>
      </c>
      <c r="W700" s="13">
        <f t="shared" ca="1" si="207"/>
        <v>5859.2624999999998</v>
      </c>
      <c r="X700" s="4">
        <f t="shared" ca="1" si="208"/>
        <v>3.9355242675625525E-4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0.13844716000000004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3.3923015379000133E-10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2.4908891993879614</v>
      </c>
      <c r="P701" s="94">
        <f t="shared" ca="1" si="200"/>
        <v>24.908891993879614</v>
      </c>
      <c r="Q701" s="94">
        <f t="shared" ca="1" si="201"/>
        <v>24.908891993879614</v>
      </c>
      <c r="R701" s="94">
        <f t="shared" ca="1" si="202"/>
        <v>2.4908891993879614</v>
      </c>
      <c r="S701" s="94">
        <f t="shared" ca="1" si="203"/>
        <v>2.4908891993879614</v>
      </c>
      <c r="T701" s="4">
        <f t="shared" ca="1" si="204"/>
        <v>8.4498472618223142E-10</v>
      </c>
      <c r="U701" s="46">
        <f t="shared" ca="1" si="205"/>
        <v>1474.6995798612329</v>
      </c>
      <c r="V701" s="4">
        <f t="shared" ca="1" si="206"/>
        <v>5.0026256527037635E-7</v>
      </c>
      <c r="W701" s="13">
        <f t="shared" ca="1" si="207"/>
        <v>3876.1274999999996</v>
      </c>
      <c r="X701" s="4">
        <f t="shared" ca="1" si="208"/>
        <v>1.3148993279346533E-6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0.13844716000000004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6.8531344200000339E-13</v>
      </c>
      <c r="L702" s="13">
        <f t="shared" ca="1" si="196"/>
        <v>102</v>
      </c>
      <c r="M702" s="7">
        <f t="shared" ca="1" si="197"/>
        <v>898</v>
      </c>
      <c r="N702" s="44">
        <f t="shared" ca="1" si="198"/>
        <v>8</v>
      </c>
      <c r="O702" s="94">
        <f t="shared" ca="1" si="199"/>
        <v>2.4908891993879614</v>
      </c>
      <c r="P702" s="94">
        <f t="shared" ca="1" si="200"/>
        <v>24.908891993879614</v>
      </c>
      <c r="Q702" s="94">
        <f t="shared" ca="1" si="201"/>
        <v>24.908891993879614</v>
      </c>
      <c r="R702" s="94">
        <f t="shared" ca="1" si="202"/>
        <v>2.4908891993879614</v>
      </c>
      <c r="S702" s="94">
        <f t="shared" ca="1" si="203"/>
        <v>2.4908891993879614</v>
      </c>
      <c r="T702" s="4">
        <f t="shared" ca="1" si="204"/>
        <v>1.7070398508731967E-12</v>
      </c>
      <c r="U702" s="46">
        <f t="shared" ca="1" si="205"/>
        <v>1455.6995798612329</v>
      </c>
      <c r="V702" s="4">
        <f t="shared" ca="1" si="206"/>
        <v>9.9761048959266043E-10</v>
      </c>
      <c r="W702" s="13">
        <f t="shared" ca="1" si="207"/>
        <v>1892.9924999999998</v>
      </c>
      <c r="X702" s="4">
        <f t="shared" ca="1" si="208"/>
        <v>1.2972932058551913E-9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0.13844716000000004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133</v>
      </c>
      <c r="M703" s="7">
        <f t="shared" ca="1" si="197"/>
        <v>867</v>
      </c>
      <c r="N703" s="44">
        <f t="shared" ca="1" si="198"/>
        <v>8</v>
      </c>
      <c r="O703" s="94">
        <f t="shared" ca="1" si="199"/>
        <v>2.4908891993879614</v>
      </c>
      <c r="P703" s="94">
        <f t="shared" ca="1" si="200"/>
        <v>24.908891993879614</v>
      </c>
      <c r="Q703" s="94">
        <f t="shared" ca="1" si="201"/>
        <v>24.908891993879614</v>
      </c>
      <c r="R703" s="94">
        <f t="shared" ca="1" si="202"/>
        <v>2.4908891993879614</v>
      </c>
      <c r="S703" s="94">
        <f t="shared" ca="1" si="203"/>
        <v>2.4908891993879614</v>
      </c>
      <c r="T703" s="4">
        <f t="shared" ca="1" si="204"/>
        <v>0</v>
      </c>
      <c r="U703" s="46">
        <f t="shared" ca="1" si="205"/>
        <v>1486.6995798612329</v>
      </c>
      <c r="V703" s="4">
        <f t="shared" ca="1" si="206"/>
        <v>0</v>
      </c>
      <c r="W703" s="13">
        <f t="shared" ca="1" si="207"/>
        <v>13881.945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0.13844716000000004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114</v>
      </c>
      <c r="M704" s="7">
        <f t="shared" ca="1" si="197"/>
        <v>886</v>
      </c>
      <c r="N704" s="44">
        <f t="shared" ca="1" si="198"/>
        <v>8</v>
      </c>
      <c r="O704" s="94">
        <f t="shared" ca="1" si="199"/>
        <v>2.4908891993879614</v>
      </c>
      <c r="P704" s="94">
        <f t="shared" ca="1" si="200"/>
        <v>24.908891993879614</v>
      </c>
      <c r="Q704" s="94">
        <f t="shared" ca="1" si="201"/>
        <v>24.908891993879614</v>
      </c>
      <c r="R704" s="94">
        <f t="shared" ca="1" si="202"/>
        <v>2.4908891993879614</v>
      </c>
      <c r="S704" s="94">
        <f t="shared" ca="1" si="203"/>
        <v>2.4908891993879614</v>
      </c>
      <c r="T704" s="4">
        <f t="shared" ca="1" si="204"/>
        <v>0</v>
      </c>
      <c r="U704" s="46">
        <f t="shared" ca="1" si="205"/>
        <v>1467.6995798612329</v>
      </c>
      <c r="V704" s="4">
        <f t="shared" ca="1" si="206"/>
        <v>0</v>
      </c>
      <c r="W704" s="13">
        <f t="shared" ca="1" si="207"/>
        <v>11898.81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0.13844716000000004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6.5830935798456722E-5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2.4908891993879614</v>
      </c>
      <c r="P705" s="94">
        <f t="shared" ca="1" si="200"/>
        <v>24.908891993879614</v>
      </c>
      <c r="Q705" s="94">
        <f t="shared" ca="1" si="201"/>
        <v>24.908891993879614</v>
      </c>
      <c r="R705" s="94">
        <f t="shared" ca="1" si="202"/>
        <v>2.4908891993879614</v>
      </c>
      <c r="S705" s="94">
        <f t="shared" ca="1" si="203"/>
        <v>2.4908891993879614</v>
      </c>
      <c r="T705" s="4">
        <f t="shared" ca="1" si="204"/>
        <v>1.6397756696597815E-4</v>
      </c>
      <c r="U705" s="46">
        <f t="shared" ca="1" si="205"/>
        <v>1453.6995798612329</v>
      </c>
      <c r="V705" s="4">
        <f t="shared" ca="1" si="206"/>
        <v>9.5698403712088334E-2</v>
      </c>
      <c r="W705" s="13">
        <f t="shared" ca="1" si="207"/>
        <v>9915.6749999999993</v>
      </c>
      <c r="X705" s="4">
        <f t="shared" ca="1" si="208"/>
        <v>0.65275816432336231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0.13844716000000004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3.3247947372957968E-6</v>
      </c>
      <c r="L706" s="13">
        <f t="shared" ca="1" si="196"/>
        <v>100</v>
      </c>
      <c r="M706" s="7">
        <f t="shared" ca="1" si="197"/>
        <v>900</v>
      </c>
      <c r="N706" s="44">
        <f t="shared" ca="1" si="198"/>
        <v>8</v>
      </c>
      <c r="O706" s="94">
        <f t="shared" ca="1" si="199"/>
        <v>2.4908891993879614</v>
      </c>
      <c r="P706" s="94">
        <f t="shared" ca="1" si="200"/>
        <v>24.908891993879614</v>
      </c>
      <c r="Q706" s="94">
        <f t="shared" ca="1" si="201"/>
        <v>24.908891993879614</v>
      </c>
      <c r="R706" s="94">
        <f t="shared" ca="1" si="202"/>
        <v>2.4908891993879614</v>
      </c>
      <c r="S706" s="94">
        <f t="shared" ca="1" si="203"/>
        <v>2.4908891993879614</v>
      </c>
      <c r="T706" s="4">
        <f t="shared" ca="1" si="204"/>
        <v>8.2816953013120339E-6</v>
      </c>
      <c r="U706" s="46">
        <f t="shared" ca="1" si="205"/>
        <v>1453.6995798612329</v>
      </c>
      <c r="V706" s="4">
        <f t="shared" ca="1" si="206"/>
        <v>4.8332527127317379E-3</v>
      </c>
      <c r="W706" s="13">
        <f t="shared" ca="1" si="207"/>
        <v>7932.54</v>
      </c>
      <c r="X706" s="4">
        <f t="shared" ca="1" si="208"/>
        <v>2.6374067245388402E-2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0.13844716000000004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6.7167570450420197E-8</v>
      </c>
      <c r="L707" s="13">
        <f t="shared" ca="1" si="196"/>
        <v>100</v>
      </c>
      <c r="M707" s="7">
        <f t="shared" ca="1" si="197"/>
        <v>900</v>
      </c>
      <c r="N707" s="44">
        <f t="shared" ca="1" si="198"/>
        <v>8</v>
      </c>
      <c r="O707" s="94">
        <f t="shared" ca="1" si="199"/>
        <v>2.4908891993879614</v>
      </c>
      <c r="P707" s="94">
        <f t="shared" ca="1" si="200"/>
        <v>24.908891993879614</v>
      </c>
      <c r="Q707" s="94">
        <f t="shared" ca="1" si="201"/>
        <v>24.908891993879614</v>
      </c>
      <c r="R707" s="94">
        <f t="shared" ca="1" si="202"/>
        <v>2.4908891993879614</v>
      </c>
      <c r="S707" s="94">
        <f t="shared" ca="1" si="203"/>
        <v>2.4908891993879614</v>
      </c>
      <c r="T707" s="4">
        <f t="shared" ca="1" si="204"/>
        <v>1.6730697578408166E-7</v>
      </c>
      <c r="U707" s="46">
        <f t="shared" ca="1" si="205"/>
        <v>1453.6995798612329</v>
      </c>
      <c r="V707" s="4">
        <f t="shared" ca="1" si="206"/>
        <v>9.7641468944075597E-5</v>
      </c>
      <c r="W707" s="13">
        <f t="shared" ca="1" si="207"/>
        <v>5949.4049999999997</v>
      </c>
      <c r="X707" s="4">
        <f t="shared" ca="1" si="208"/>
        <v>3.9960707947558216E-4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0.13844716000000004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6.7846030758000266E-10</v>
      </c>
      <c r="L708" s="13">
        <f t="shared" ca="1" si="196"/>
        <v>100</v>
      </c>
      <c r="M708" s="7">
        <f t="shared" ca="1" si="197"/>
        <v>900</v>
      </c>
      <c r="N708" s="44">
        <f t="shared" ca="1" si="198"/>
        <v>8</v>
      </c>
      <c r="O708" s="94">
        <f t="shared" ca="1" si="199"/>
        <v>2.4908891993879614</v>
      </c>
      <c r="P708" s="94">
        <f t="shared" ca="1" si="200"/>
        <v>24.908891993879614</v>
      </c>
      <c r="Q708" s="94">
        <f t="shared" ca="1" si="201"/>
        <v>24.908891993879614</v>
      </c>
      <c r="R708" s="94">
        <f t="shared" ca="1" si="202"/>
        <v>2.4908891993879614</v>
      </c>
      <c r="S708" s="94">
        <f t="shared" ca="1" si="203"/>
        <v>2.4908891993879614</v>
      </c>
      <c r="T708" s="4">
        <f t="shared" ca="1" si="204"/>
        <v>1.6899694523644628E-9</v>
      </c>
      <c r="U708" s="46">
        <f t="shared" ca="1" si="205"/>
        <v>1453.6995798612329</v>
      </c>
      <c r="V708" s="4">
        <f t="shared" ca="1" si="206"/>
        <v>9.8627746408157263E-7</v>
      </c>
      <c r="W708" s="13">
        <f t="shared" ca="1" si="207"/>
        <v>3966.27</v>
      </c>
      <c r="X708" s="4">
        <f t="shared" ca="1" si="208"/>
        <v>2.6909567641453373E-6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0.13844716000000004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3.4265672100000167E-12</v>
      </c>
      <c r="L709" s="13">
        <f t="shared" ca="1" si="196"/>
        <v>100</v>
      </c>
      <c r="M709" s="7">
        <f t="shared" ca="1" si="197"/>
        <v>900</v>
      </c>
      <c r="N709" s="44">
        <f t="shared" ca="1" si="198"/>
        <v>8</v>
      </c>
      <c r="O709" s="94">
        <f t="shared" ca="1" si="199"/>
        <v>2.4908891993879614</v>
      </c>
      <c r="P709" s="94">
        <f t="shared" ca="1" si="200"/>
        <v>24.908891993879614</v>
      </c>
      <c r="Q709" s="94">
        <f t="shared" ca="1" si="201"/>
        <v>24.908891993879614</v>
      </c>
      <c r="R709" s="94">
        <f t="shared" ca="1" si="202"/>
        <v>2.4908891993879614</v>
      </c>
      <c r="S709" s="94">
        <f t="shared" ca="1" si="203"/>
        <v>2.4908891993879614</v>
      </c>
      <c r="T709" s="4">
        <f t="shared" ca="1" si="204"/>
        <v>8.5351992543659818E-12</v>
      </c>
      <c r="U709" s="46">
        <f t="shared" ca="1" si="205"/>
        <v>1453.6995798612329</v>
      </c>
      <c r="V709" s="4">
        <f t="shared" ca="1" si="206"/>
        <v>4.9811993135433015E-9</v>
      </c>
      <c r="W709" s="13">
        <f t="shared" ca="1" si="207"/>
        <v>1983.135</v>
      </c>
      <c r="X709" s="4">
        <f t="shared" ca="1" si="208"/>
        <v>6.7953453640033826E-9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0.13844716000000004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6.9223580000000397E-15</v>
      </c>
      <c r="L710" s="13">
        <f t="shared" ca="1" si="196"/>
        <v>100</v>
      </c>
      <c r="M710" s="7">
        <f t="shared" ca="1" si="197"/>
        <v>900</v>
      </c>
      <c r="N710" s="44">
        <f t="shared" ca="1" si="198"/>
        <v>8</v>
      </c>
      <c r="O710" s="94">
        <f t="shared" ca="1" si="199"/>
        <v>2.4908891993879614</v>
      </c>
      <c r="P710" s="94">
        <f t="shared" ca="1" si="200"/>
        <v>24.908891993879614</v>
      </c>
      <c r="Q710" s="94">
        <f t="shared" ca="1" si="201"/>
        <v>24.908891993879614</v>
      </c>
      <c r="R710" s="94">
        <f t="shared" ca="1" si="202"/>
        <v>2.4908891993879614</v>
      </c>
      <c r="S710" s="94">
        <f t="shared" ca="1" si="203"/>
        <v>2.4908891993879614</v>
      </c>
      <c r="T710" s="4">
        <f t="shared" ca="1" si="204"/>
        <v>1.724282677649695E-14</v>
      </c>
      <c r="U710" s="46">
        <f t="shared" ca="1" si="205"/>
        <v>1453.6995798612329</v>
      </c>
      <c r="V710" s="4">
        <f t="shared" ca="1" si="206"/>
        <v>1.0063028916249103E-11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5.6548840000000017E-2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337</v>
      </c>
      <c r="M711" s="7">
        <f t="shared" ca="1" si="197"/>
        <v>663</v>
      </c>
      <c r="N711" s="44">
        <f t="shared" ca="1" si="198"/>
        <v>6</v>
      </c>
      <c r="O711" s="94">
        <f t="shared" ca="1" si="199"/>
        <v>1.9922775034029279</v>
      </c>
      <c r="P711" s="94">
        <f t="shared" ca="1" si="200"/>
        <v>19.922775034029279</v>
      </c>
      <c r="Q711" s="94">
        <f t="shared" ca="1" si="201"/>
        <v>19.922775034029279</v>
      </c>
      <c r="R711" s="94">
        <f t="shared" ca="1" si="202"/>
        <v>1.9922775034029279</v>
      </c>
      <c r="S711" s="94">
        <f t="shared" ca="1" si="203"/>
        <v>1.9922775034029279</v>
      </c>
      <c r="T711" s="4">
        <f t="shared" ca="1" si="204"/>
        <v>0</v>
      </c>
      <c r="U711" s="46">
        <f t="shared" ca="1" si="205"/>
        <v>1472.3253840141317</v>
      </c>
      <c r="V711" s="4">
        <f t="shared" ca="1" si="206"/>
        <v>0</v>
      </c>
      <c r="W711" s="13">
        <f t="shared" ca="1" si="207"/>
        <v>17758.072499999998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5.6548840000000017E-2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5.0071853516919888E-2</v>
      </c>
      <c r="L712" s="13">
        <f t="shared" ca="1" si="196"/>
        <v>318</v>
      </c>
      <c r="M712" s="7">
        <f t="shared" ca="1" si="197"/>
        <v>682</v>
      </c>
      <c r="N712" s="44">
        <f t="shared" ca="1" si="198"/>
        <v>7</v>
      </c>
      <c r="O712" s="94">
        <f t="shared" ca="1" si="199"/>
        <v>2.2444549919727916</v>
      </c>
      <c r="P712" s="94">
        <f t="shared" ca="1" si="200"/>
        <v>20.679307499738869</v>
      </c>
      <c r="Q712" s="94">
        <f t="shared" ca="1" si="201"/>
        <v>19.922775034029279</v>
      </c>
      <c r="R712" s="94">
        <f t="shared" ca="1" si="202"/>
        <v>2.0301041266884075</v>
      </c>
      <c r="S712" s="94">
        <f t="shared" ca="1" si="203"/>
        <v>2.2444549919727916</v>
      </c>
      <c r="T712" s="4">
        <f t="shared" ca="1" si="204"/>
        <v>0.11238402158338123</v>
      </c>
      <c r="U712" s="46">
        <f t="shared" ca="1" si="205"/>
        <v>1563.7701584159711</v>
      </c>
      <c r="V712" s="4">
        <f t="shared" ca="1" si="206"/>
        <v>78.300870306335113</v>
      </c>
      <c r="W712" s="13">
        <f t="shared" ca="1" si="207"/>
        <v>15774.9375</v>
      </c>
      <c r="X712" s="4">
        <f t="shared" ca="1" si="208"/>
        <v>789.88035973856643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5.6548840000000017E-2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3.034657788904238E-3</v>
      </c>
      <c r="L713" s="13">
        <f t="shared" ca="1" si="196"/>
        <v>299</v>
      </c>
      <c r="M713" s="7">
        <f t="shared" ca="1" si="197"/>
        <v>701</v>
      </c>
      <c r="N713" s="44">
        <f t="shared" ca="1" si="198"/>
        <v>7</v>
      </c>
      <c r="O713" s="94">
        <f t="shared" ca="1" si="199"/>
        <v>2.2444549919727916</v>
      </c>
      <c r="P713" s="94">
        <f t="shared" ca="1" si="200"/>
        <v>22.444549919727915</v>
      </c>
      <c r="Q713" s="94">
        <f t="shared" ca="1" si="201"/>
        <v>22.444549919727915</v>
      </c>
      <c r="R713" s="94">
        <f t="shared" ca="1" si="202"/>
        <v>2.2444549919727916</v>
      </c>
      <c r="S713" s="94">
        <f t="shared" ca="1" si="203"/>
        <v>2.2444549919727916</v>
      </c>
      <c r="T713" s="4">
        <f t="shared" ca="1" si="204"/>
        <v>6.8111528232352309E-3</v>
      </c>
      <c r="U713" s="46">
        <f t="shared" ca="1" si="205"/>
        <v>1544.7701584159711</v>
      </c>
      <c r="V713" s="4">
        <f t="shared" ca="1" si="206"/>
        <v>4.6878487933038606</v>
      </c>
      <c r="W713" s="13">
        <f t="shared" ca="1" si="207"/>
        <v>13791.802499999998</v>
      </c>
      <c r="X713" s="4">
        <f t="shared" ca="1" si="208"/>
        <v>41.853400879653933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5.6548840000000017E-2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7.663277244707681E-5</v>
      </c>
      <c r="L714" s="13">
        <f t="shared" ca="1" si="196"/>
        <v>280</v>
      </c>
      <c r="M714" s="7">
        <f t="shared" ca="1" si="197"/>
        <v>720</v>
      </c>
      <c r="N714" s="44">
        <f t="shared" ca="1" si="198"/>
        <v>7</v>
      </c>
      <c r="O714" s="94">
        <f t="shared" ca="1" si="199"/>
        <v>2.2444549919727916</v>
      </c>
      <c r="P714" s="94">
        <f t="shared" ca="1" si="200"/>
        <v>22.444549919727915</v>
      </c>
      <c r="Q714" s="94">
        <f t="shared" ca="1" si="201"/>
        <v>22.444549919727915</v>
      </c>
      <c r="R714" s="94">
        <f t="shared" ca="1" si="202"/>
        <v>2.2444549919727916</v>
      </c>
      <c r="S714" s="94">
        <f t="shared" ca="1" si="203"/>
        <v>2.2444549919727916</v>
      </c>
      <c r="T714" s="4">
        <f t="shared" ca="1" si="204"/>
        <v>1.7199880866755656E-4</v>
      </c>
      <c r="U714" s="46">
        <f t="shared" ca="1" si="205"/>
        <v>1525.7701584159711</v>
      </c>
      <c r="V714" s="4">
        <f t="shared" ca="1" si="206"/>
        <v>0.11692399735643144</v>
      </c>
      <c r="W714" s="13">
        <f t="shared" ca="1" si="207"/>
        <v>11808.6675</v>
      </c>
      <c r="X714" s="4">
        <f t="shared" ca="1" si="208"/>
        <v>0.90493092943069131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5.6548840000000017E-2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1.0320912114084425E-6</v>
      </c>
      <c r="L715" s="13">
        <f t="shared" ca="1" si="196"/>
        <v>261</v>
      </c>
      <c r="M715" s="7">
        <f t="shared" ca="1" si="197"/>
        <v>739</v>
      </c>
      <c r="N715" s="44">
        <f t="shared" ca="1" si="198"/>
        <v>7</v>
      </c>
      <c r="O715" s="94">
        <f t="shared" ca="1" si="199"/>
        <v>2.2444549919727916</v>
      </c>
      <c r="P715" s="94">
        <f t="shared" ca="1" si="200"/>
        <v>22.444549919727915</v>
      </c>
      <c r="Q715" s="94">
        <f t="shared" ca="1" si="201"/>
        <v>22.444549919727915</v>
      </c>
      <c r="R715" s="94">
        <f t="shared" ca="1" si="202"/>
        <v>2.2444549919727916</v>
      </c>
      <c r="S715" s="94">
        <f t="shared" ca="1" si="203"/>
        <v>2.2444549919727916</v>
      </c>
      <c r="T715" s="4">
        <f t="shared" ca="1" si="204"/>
        <v>2.3164822716169245E-6</v>
      </c>
      <c r="U715" s="46">
        <f t="shared" ca="1" si="205"/>
        <v>1506.7701584159711</v>
      </c>
      <c r="V715" s="4">
        <f t="shared" ca="1" si="206"/>
        <v>1.5551242381136303E-3</v>
      </c>
      <c r="W715" s="13">
        <f t="shared" ca="1" si="207"/>
        <v>9825.5324999999993</v>
      </c>
      <c r="X715" s="4">
        <f t="shared" ca="1" si="208"/>
        <v>1.0140845740658022E-2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5.6548840000000017E-2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7.8188728137003307E-9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2.2444549919727916</v>
      </c>
      <c r="P716" s="94">
        <f t="shared" ca="1" si="200"/>
        <v>22.444549919727915</v>
      </c>
      <c r="Q716" s="94">
        <f t="shared" ca="1" si="201"/>
        <v>22.444549919727915</v>
      </c>
      <c r="R716" s="94">
        <f t="shared" ca="1" si="202"/>
        <v>2.2444549919727916</v>
      </c>
      <c r="S716" s="94">
        <f t="shared" ca="1" si="203"/>
        <v>2.2444549919727916</v>
      </c>
      <c r="T716" s="4">
        <f t="shared" ca="1" si="204"/>
        <v>1.7549108118310053E-8</v>
      </c>
      <c r="U716" s="46">
        <f t="shared" ca="1" si="205"/>
        <v>1487.7701584159711</v>
      </c>
      <c r="V716" s="4">
        <f t="shared" ca="1" si="206"/>
        <v>1.163268564467327E-5</v>
      </c>
      <c r="W716" s="13">
        <f t="shared" ca="1" si="207"/>
        <v>7842.3974999999991</v>
      </c>
      <c r="X716" s="4">
        <f t="shared" ca="1" si="208"/>
        <v>6.1318708606981426E-5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5.6548840000000017E-2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3.1591405307880153E-11</v>
      </c>
      <c r="L717" s="13">
        <f t="shared" ca="1" si="196"/>
        <v>223</v>
      </c>
      <c r="M717" s="7">
        <f t="shared" ca="1" si="197"/>
        <v>777</v>
      </c>
      <c r="N717" s="44">
        <f t="shared" ca="1" si="198"/>
        <v>7</v>
      </c>
      <c r="O717" s="94">
        <f t="shared" ca="1" si="199"/>
        <v>2.2444549919727916</v>
      </c>
      <c r="P717" s="94">
        <f t="shared" ca="1" si="200"/>
        <v>22.444549919727915</v>
      </c>
      <c r="Q717" s="94">
        <f t="shared" ca="1" si="201"/>
        <v>22.444549919727915</v>
      </c>
      <c r="R717" s="94">
        <f t="shared" ca="1" si="202"/>
        <v>2.2444549919727916</v>
      </c>
      <c r="S717" s="94">
        <f t="shared" ca="1" si="203"/>
        <v>2.2444549919727916</v>
      </c>
      <c r="T717" s="4">
        <f t="shared" ca="1" si="204"/>
        <v>7.0905487346707354E-11</v>
      </c>
      <c r="U717" s="46">
        <f t="shared" ca="1" si="205"/>
        <v>1468.7701584159711</v>
      </c>
      <c r="V717" s="4">
        <f t="shared" ca="1" si="206"/>
        <v>4.6400513378638286E-8</v>
      </c>
      <c r="W717" s="13">
        <f t="shared" ca="1" si="207"/>
        <v>5859.2624999999998</v>
      </c>
      <c r="X717" s="4">
        <f t="shared" ca="1" si="208"/>
        <v>1.8510233644276314E-7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5.6548840000000017E-2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5.3184184020000304E-14</v>
      </c>
      <c r="L718" s="13">
        <f t="shared" ca="1" si="196"/>
        <v>204</v>
      </c>
      <c r="M718" s="7">
        <f t="shared" ca="1" si="197"/>
        <v>796</v>
      </c>
      <c r="N718" s="44">
        <f t="shared" ca="1" si="198"/>
        <v>8</v>
      </c>
      <c r="O718" s="94">
        <f t="shared" ca="1" si="199"/>
        <v>2.4908891993879614</v>
      </c>
      <c r="P718" s="94">
        <f t="shared" ca="1" si="200"/>
        <v>23.430286749388593</v>
      </c>
      <c r="Q718" s="94">
        <f t="shared" ca="1" si="201"/>
        <v>22.444549919727915</v>
      </c>
      <c r="R718" s="94">
        <f t="shared" ca="1" si="202"/>
        <v>2.2937418334558251</v>
      </c>
      <c r="S718" s="94">
        <f t="shared" ca="1" si="203"/>
        <v>2.4908891993879614</v>
      </c>
      <c r="T718" s="4">
        <f t="shared" ca="1" si="204"/>
        <v>1.3247590955368057E-13</v>
      </c>
      <c r="U718" s="46">
        <f t="shared" ca="1" si="205"/>
        <v>1557.6995798612329</v>
      </c>
      <c r="V718" s="4">
        <f t="shared" ca="1" si="206"/>
        <v>8.2844981103216975E-11</v>
      </c>
      <c r="W718" s="13">
        <f t="shared" ca="1" si="207"/>
        <v>3876.1274999999996</v>
      </c>
      <c r="X718" s="4">
        <f t="shared" ca="1" si="208"/>
        <v>2.0614867824498371E-10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5.6548840000000017E-2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235</v>
      </c>
      <c r="M719" s="7">
        <f t="shared" ca="1" si="197"/>
        <v>765</v>
      </c>
      <c r="N719" s="44">
        <f t="shared" ca="1" si="198"/>
        <v>7</v>
      </c>
      <c r="O719" s="94">
        <f t="shared" ca="1" si="199"/>
        <v>2.2444549919727916</v>
      </c>
      <c r="P719" s="94">
        <f t="shared" ca="1" si="200"/>
        <v>22.444549919727915</v>
      </c>
      <c r="Q719" s="94">
        <f t="shared" ca="1" si="201"/>
        <v>22.444549919727915</v>
      </c>
      <c r="R719" s="94">
        <f t="shared" ca="1" si="202"/>
        <v>2.2444549919727916</v>
      </c>
      <c r="S719" s="94">
        <f t="shared" ca="1" si="203"/>
        <v>2.2444549919727916</v>
      </c>
      <c r="T719" s="4">
        <f t="shared" ca="1" si="204"/>
        <v>0</v>
      </c>
      <c r="U719" s="46">
        <f t="shared" ca="1" si="205"/>
        <v>1480.7701584159711</v>
      </c>
      <c r="V719" s="4">
        <f t="shared" ca="1" si="206"/>
        <v>0</v>
      </c>
      <c r="W719" s="13">
        <f t="shared" ca="1" si="207"/>
        <v>15865.08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5.6548840000000017E-2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5.0577629815070637E-4</v>
      </c>
      <c r="L720" s="13">
        <f t="shared" ca="1" si="196"/>
        <v>216</v>
      </c>
      <c r="M720" s="7">
        <f t="shared" ca="1" si="197"/>
        <v>784</v>
      </c>
      <c r="N720" s="44">
        <f t="shared" ca="1" si="198"/>
        <v>7</v>
      </c>
      <c r="O720" s="94">
        <f t="shared" ca="1" si="199"/>
        <v>2.2444549919727916</v>
      </c>
      <c r="P720" s="94">
        <f t="shared" ca="1" si="200"/>
        <v>22.444549919727915</v>
      </c>
      <c r="Q720" s="94">
        <f t="shared" ca="1" si="201"/>
        <v>22.444549919727915</v>
      </c>
      <c r="R720" s="94">
        <f t="shared" ca="1" si="202"/>
        <v>2.2444549919727916</v>
      </c>
      <c r="S720" s="94">
        <f t="shared" ca="1" si="203"/>
        <v>2.2444549919727916</v>
      </c>
      <c r="T720" s="4">
        <f t="shared" ca="1" si="204"/>
        <v>1.135192137205872E-3</v>
      </c>
      <c r="U720" s="46">
        <f t="shared" ca="1" si="205"/>
        <v>1461.7701584159711</v>
      </c>
      <c r="V720" s="4">
        <f t="shared" ca="1" si="206"/>
        <v>0.73932869947080149</v>
      </c>
      <c r="W720" s="13">
        <f t="shared" ca="1" si="207"/>
        <v>13881.945</v>
      </c>
      <c r="X720" s="4">
        <f t="shared" ca="1" si="208"/>
        <v>7.021158753231707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5.6548840000000017E-2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3.0653108978830713E-5</v>
      </c>
      <c r="L721" s="13">
        <f t="shared" ca="1" si="196"/>
        <v>197</v>
      </c>
      <c r="M721" s="7">
        <f t="shared" ca="1" si="197"/>
        <v>803</v>
      </c>
      <c r="N721" s="44">
        <f t="shared" ca="1" si="198"/>
        <v>8</v>
      </c>
      <c r="O721" s="94">
        <f t="shared" ca="1" si="199"/>
        <v>2.4908891993879614</v>
      </c>
      <c r="P721" s="94">
        <f t="shared" ca="1" si="200"/>
        <v>24.908891993879614</v>
      </c>
      <c r="Q721" s="94">
        <f t="shared" ca="1" si="201"/>
        <v>22.690984127143082</v>
      </c>
      <c r="R721" s="94">
        <f t="shared" ca="1" si="202"/>
        <v>2.379993806051135</v>
      </c>
      <c r="S721" s="94">
        <f t="shared" ca="1" si="203"/>
        <v>2.4908891993879614</v>
      </c>
      <c r="T721" s="4">
        <f t="shared" ca="1" si="204"/>
        <v>7.6353498083031571E-5</v>
      </c>
      <c r="U721" s="46">
        <f t="shared" ca="1" si="205"/>
        <v>1550.6995798612329</v>
      </c>
      <c r="V721" s="4">
        <f t="shared" ca="1" si="206"/>
        <v>4.7533763214913372E-2</v>
      </c>
      <c r="W721" s="13">
        <f t="shared" ca="1" si="207"/>
        <v>11898.81</v>
      </c>
      <c r="X721" s="4">
        <f t="shared" ca="1" si="208"/>
        <v>0.36473551964840067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5.6548840000000017E-2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7.7406840855633208E-7</v>
      </c>
      <c r="L722" s="13">
        <f t="shared" ca="1" si="196"/>
        <v>178</v>
      </c>
      <c r="M722" s="7">
        <f t="shared" ca="1" si="197"/>
        <v>822</v>
      </c>
      <c r="N722" s="44">
        <f t="shared" ca="1" si="198"/>
        <v>8</v>
      </c>
      <c r="O722" s="94">
        <f t="shared" ca="1" si="199"/>
        <v>2.4908891993879614</v>
      </c>
      <c r="P722" s="94">
        <f t="shared" ca="1" si="200"/>
        <v>24.908891993879614</v>
      </c>
      <c r="Q722" s="94">
        <f t="shared" ca="1" si="201"/>
        <v>24.908891993879614</v>
      </c>
      <c r="R722" s="94">
        <f t="shared" ca="1" si="202"/>
        <v>2.4908891993879614</v>
      </c>
      <c r="S722" s="94">
        <f t="shared" ca="1" si="203"/>
        <v>2.4908891993879614</v>
      </c>
      <c r="T722" s="4">
        <f t="shared" ca="1" si="204"/>
        <v>1.9281186384603953E-6</v>
      </c>
      <c r="U722" s="46">
        <f t="shared" ca="1" si="205"/>
        <v>1531.6995798612329</v>
      </c>
      <c r="V722" s="4">
        <f t="shared" ca="1" si="206"/>
        <v>1.185640256169587E-3</v>
      </c>
      <c r="W722" s="13">
        <f t="shared" ca="1" si="207"/>
        <v>9915.6749999999993</v>
      </c>
      <c r="X722" s="4">
        <f t="shared" ca="1" si="208"/>
        <v>7.6754107670118079E-3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5.6548840000000017E-2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1.0425163751600438E-8</v>
      </c>
      <c r="L723" s="13">
        <f t="shared" ca="1" si="196"/>
        <v>159</v>
      </c>
      <c r="M723" s="7">
        <f t="shared" ca="1" si="197"/>
        <v>841</v>
      </c>
      <c r="N723" s="44">
        <f t="shared" ca="1" si="198"/>
        <v>8</v>
      </c>
      <c r="O723" s="94">
        <f t="shared" ca="1" si="199"/>
        <v>2.4908891993879614</v>
      </c>
      <c r="P723" s="94">
        <f t="shared" ca="1" si="200"/>
        <v>24.908891993879614</v>
      </c>
      <c r="Q723" s="94">
        <f t="shared" ca="1" si="201"/>
        <v>24.908891993879614</v>
      </c>
      <c r="R723" s="94">
        <f t="shared" ca="1" si="202"/>
        <v>2.4908891993879614</v>
      </c>
      <c r="S723" s="94">
        <f t="shared" ca="1" si="203"/>
        <v>2.4908891993879614</v>
      </c>
      <c r="T723" s="4">
        <f t="shared" ca="1" si="204"/>
        <v>2.5967927790712411E-8</v>
      </c>
      <c r="U723" s="46">
        <f t="shared" ca="1" si="205"/>
        <v>1512.6995798612329</v>
      </c>
      <c r="V723" s="4">
        <f t="shared" ca="1" si="206"/>
        <v>1.5770140827030538E-5</v>
      </c>
      <c r="W723" s="13">
        <f t="shared" ca="1" si="207"/>
        <v>7932.54</v>
      </c>
      <c r="X723" s="4">
        <f t="shared" ca="1" si="208"/>
        <v>8.2698028466120533E-5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5.6548840000000017E-2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7.8978513269700387E-11</v>
      </c>
      <c r="L724" s="13">
        <f t="shared" ca="1" si="196"/>
        <v>140</v>
      </c>
      <c r="M724" s="7">
        <f t="shared" ca="1" si="197"/>
        <v>860</v>
      </c>
      <c r="N724" s="44">
        <f t="shared" ca="1" si="198"/>
        <v>8</v>
      </c>
      <c r="O724" s="94">
        <f t="shared" ca="1" si="199"/>
        <v>2.4908891993879614</v>
      </c>
      <c r="P724" s="94">
        <f t="shared" ca="1" si="200"/>
        <v>24.908891993879614</v>
      </c>
      <c r="Q724" s="94">
        <f t="shared" ca="1" si="201"/>
        <v>24.908891993879614</v>
      </c>
      <c r="R724" s="94">
        <f t="shared" ca="1" si="202"/>
        <v>2.4908891993879614</v>
      </c>
      <c r="S724" s="94">
        <f t="shared" ca="1" si="203"/>
        <v>2.4908891993879614</v>
      </c>
      <c r="T724" s="4">
        <f t="shared" ca="1" si="204"/>
        <v>1.9672672568721549E-10</v>
      </c>
      <c r="U724" s="46">
        <f t="shared" ca="1" si="205"/>
        <v>1493.6995798612329</v>
      </c>
      <c r="V724" s="4">
        <f t="shared" ca="1" si="206"/>
        <v>1.1797017208901627E-7</v>
      </c>
      <c r="W724" s="13">
        <f t="shared" ca="1" si="207"/>
        <v>5949.4049999999997</v>
      </c>
      <c r="X724" s="4">
        <f t="shared" ca="1" si="208"/>
        <v>4.6987516173932179E-7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5.6548840000000017E-2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3.1910510412000184E-13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2.4908891993879614</v>
      </c>
      <c r="P725" s="94">
        <f t="shared" ca="1" si="200"/>
        <v>24.908891993879614</v>
      </c>
      <c r="Q725" s="94">
        <f t="shared" ca="1" si="201"/>
        <v>24.908891993879614</v>
      </c>
      <c r="R725" s="94">
        <f t="shared" ca="1" si="202"/>
        <v>2.4908891993879614</v>
      </c>
      <c r="S725" s="94">
        <f t="shared" ca="1" si="203"/>
        <v>2.4908891993879614</v>
      </c>
      <c r="T725" s="4">
        <f t="shared" ca="1" si="204"/>
        <v>7.9485545732208344E-13</v>
      </c>
      <c r="U725" s="46">
        <f t="shared" ca="1" si="205"/>
        <v>1474.6995798612329</v>
      </c>
      <c r="V725" s="4">
        <f t="shared" ca="1" si="206"/>
        <v>4.7058416297734166E-10</v>
      </c>
      <c r="W725" s="13">
        <f t="shared" ca="1" si="207"/>
        <v>3966.27</v>
      </c>
      <c r="X725" s="4">
        <f t="shared" ca="1" si="208"/>
        <v>1.2656570013180397E-9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5.6548840000000017E-2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5.3721398000000363E-16</v>
      </c>
      <c r="L726" s="13">
        <f t="shared" ca="1" si="196"/>
        <v>102</v>
      </c>
      <c r="M726" s="7">
        <f t="shared" ca="1" si="197"/>
        <v>898</v>
      </c>
      <c r="N726" s="44">
        <f t="shared" ca="1" si="198"/>
        <v>8</v>
      </c>
      <c r="O726" s="94">
        <f t="shared" ca="1" si="199"/>
        <v>2.4908891993879614</v>
      </c>
      <c r="P726" s="94">
        <f t="shared" ca="1" si="200"/>
        <v>24.908891993879614</v>
      </c>
      <c r="Q726" s="94">
        <f t="shared" ca="1" si="201"/>
        <v>24.908891993879614</v>
      </c>
      <c r="R726" s="94">
        <f t="shared" ca="1" si="202"/>
        <v>2.4908891993879614</v>
      </c>
      <c r="S726" s="94">
        <f t="shared" ca="1" si="203"/>
        <v>2.4908891993879614</v>
      </c>
      <c r="T726" s="4">
        <f t="shared" ca="1" si="204"/>
        <v>1.3381405005422293E-15</v>
      </c>
      <c r="U726" s="46">
        <f t="shared" ca="1" si="205"/>
        <v>1455.6995798612329</v>
      </c>
      <c r="V726" s="4">
        <f t="shared" ca="1" si="206"/>
        <v>7.8202216498158603E-13</v>
      </c>
      <c r="W726" s="13">
        <f t="shared" ca="1" si="207"/>
        <v>1983.135</v>
      </c>
      <c r="X726" s="4">
        <f t="shared" ca="1" si="208"/>
        <v>1.0653678462273073E-12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5.6548840000000017E-2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235</v>
      </c>
      <c r="M727" s="7">
        <f t="shared" ca="1" si="197"/>
        <v>765</v>
      </c>
      <c r="N727" s="44">
        <f t="shared" ca="1" si="198"/>
        <v>7</v>
      </c>
      <c r="O727" s="94">
        <f t="shared" ca="1" si="199"/>
        <v>2.2444549919727916</v>
      </c>
      <c r="P727" s="94">
        <f t="shared" ca="1" si="200"/>
        <v>22.444549919727915</v>
      </c>
      <c r="Q727" s="94">
        <f t="shared" ca="1" si="201"/>
        <v>22.444549919727915</v>
      </c>
      <c r="R727" s="94">
        <f t="shared" ca="1" si="202"/>
        <v>2.2444549919727916</v>
      </c>
      <c r="S727" s="94">
        <f t="shared" ca="1" si="203"/>
        <v>2.2444549919727916</v>
      </c>
      <c r="T727" s="4">
        <f t="shared" ca="1" si="204"/>
        <v>0</v>
      </c>
      <c r="U727" s="46">
        <f t="shared" ca="1" si="205"/>
        <v>1480.7701584159711</v>
      </c>
      <c r="V727" s="4">
        <f t="shared" ca="1" si="206"/>
        <v>0</v>
      </c>
      <c r="W727" s="13">
        <f t="shared" ca="1" si="207"/>
        <v>15774.9375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5.6548840000000017E-2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2.6353607114168363E-3</v>
      </c>
      <c r="L728" s="13">
        <f t="shared" ca="1" si="196"/>
        <v>216</v>
      </c>
      <c r="M728" s="7">
        <f t="shared" ca="1" si="197"/>
        <v>784</v>
      </c>
      <c r="N728" s="44">
        <f t="shared" ca="1" si="198"/>
        <v>7</v>
      </c>
      <c r="O728" s="94">
        <f t="shared" ca="1" si="199"/>
        <v>2.2444549919727916</v>
      </c>
      <c r="P728" s="94">
        <f t="shared" ca="1" si="200"/>
        <v>22.444549919727915</v>
      </c>
      <c r="Q728" s="94">
        <f t="shared" ca="1" si="201"/>
        <v>22.444549919727915</v>
      </c>
      <c r="R728" s="94">
        <f t="shared" ca="1" si="202"/>
        <v>2.2444549919727916</v>
      </c>
      <c r="S728" s="94">
        <f t="shared" ca="1" si="203"/>
        <v>2.2444549919727916</v>
      </c>
      <c r="T728" s="4">
        <f t="shared" ca="1" si="204"/>
        <v>5.9149485043884856E-3</v>
      </c>
      <c r="U728" s="46">
        <f t="shared" ca="1" si="205"/>
        <v>1461.7701584159711</v>
      </c>
      <c r="V728" s="4">
        <f t="shared" ca="1" si="206"/>
        <v>3.8522916446110149</v>
      </c>
      <c r="W728" s="13">
        <f t="shared" ca="1" si="207"/>
        <v>13791.8025</v>
      </c>
      <c r="X728" s="4">
        <f t="shared" ca="1" si="208"/>
        <v>36.3463744481205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5.6548840000000017E-2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1.597188309949599E-4</v>
      </c>
      <c r="L729" s="13">
        <f t="shared" ca="1" si="196"/>
        <v>197</v>
      </c>
      <c r="M729" s="7">
        <f t="shared" ca="1" si="197"/>
        <v>803</v>
      </c>
      <c r="N729" s="44">
        <f t="shared" ca="1" si="198"/>
        <v>8</v>
      </c>
      <c r="O729" s="94">
        <f t="shared" ca="1" si="199"/>
        <v>2.4908891993879614</v>
      </c>
      <c r="P729" s="94">
        <f t="shared" ca="1" si="200"/>
        <v>24.908891993879614</v>
      </c>
      <c r="Q729" s="94">
        <f t="shared" ca="1" si="201"/>
        <v>22.690984127143082</v>
      </c>
      <c r="R729" s="94">
        <f t="shared" ca="1" si="202"/>
        <v>2.379993806051135</v>
      </c>
      <c r="S729" s="94">
        <f t="shared" ca="1" si="203"/>
        <v>2.4908891993879614</v>
      </c>
      <c r="T729" s="4">
        <f t="shared" ca="1" si="204"/>
        <v>3.9784191106421676E-4</v>
      </c>
      <c r="U729" s="46">
        <f t="shared" ca="1" si="205"/>
        <v>1550.6995798612329</v>
      </c>
      <c r="V729" s="4">
        <f t="shared" ca="1" si="206"/>
        <v>0.24767592411981157</v>
      </c>
      <c r="W729" s="13">
        <f t="shared" ca="1" si="207"/>
        <v>11808.6675</v>
      </c>
      <c r="X729" s="4">
        <f t="shared" ca="1" si="208"/>
        <v>1.8860665687081757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5.6548840000000017E-2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4.0333038130040431E-6</v>
      </c>
      <c r="L730" s="13">
        <f t="shared" ca="1" si="196"/>
        <v>178</v>
      </c>
      <c r="M730" s="7">
        <f t="shared" ca="1" si="197"/>
        <v>822</v>
      </c>
      <c r="N730" s="44">
        <f t="shared" ca="1" si="198"/>
        <v>8</v>
      </c>
      <c r="O730" s="94">
        <f t="shared" ca="1" si="199"/>
        <v>2.4908891993879614</v>
      </c>
      <c r="P730" s="94">
        <f t="shared" ca="1" si="200"/>
        <v>24.908891993879614</v>
      </c>
      <c r="Q730" s="94">
        <f t="shared" ca="1" si="201"/>
        <v>24.908891993879614</v>
      </c>
      <c r="R730" s="94">
        <f t="shared" ca="1" si="202"/>
        <v>2.4908891993879614</v>
      </c>
      <c r="S730" s="94">
        <f t="shared" ca="1" si="203"/>
        <v>2.4908891993879614</v>
      </c>
      <c r="T730" s="4">
        <f t="shared" ca="1" si="204"/>
        <v>1.0046512905662053E-5</v>
      </c>
      <c r="U730" s="46">
        <f t="shared" ca="1" si="205"/>
        <v>1531.6995798612329</v>
      </c>
      <c r="V730" s="4">
        <f t="shared" ca="1" si="206"/>
        <v>6.1778097558310013E-3</v>
      </c>
      <c r="W730" s="13">
        <f t="shared" ca="1" si="207"/>
        <v>9825.5324999999993</v>
      </c>
      <c r="X730" s="4">
        <f t="shared" ca="1" si="208"/>
        <v>3.9629357697045148E-2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5.6548840000000017E-2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5.4320590074128554E-8</v>
      </c>
      <c r="L731" s="13">
        <f t="shared" ca="1" si="196"/>
        <v>159</v>
      </c>
      <c r="M731" s="7">
        <f t="shared" ca="1" si="197"/>
        <v>841</v>
      </c>
      <c r="N731" s="44">
        <f t="shared" ca="1" si="198"/>
        <v>8</v>
      </c>
      <c r="O731" s="94">
        <f t="shared" ca="1" si="199"/>
        <v>2.4908891993879614</v>
      </c>
      <c r="P731" s="94">
        <f t="shared" ca="1" si="200"/>
        <v>24.908891993879614</v>
      </c>
      <c r="Q731" s="94">
        <f t="shared" ca="1" si="201"/>
        <v>24.908891993879614</v>
      </c>
      <c r="R731" s="94">
        <f t="shared" ca="1" si="202"/>
        <v>2.4908891993879614</v>
      </c>
      <c r="S731" s="94">
        <f t="shared" ca="1" si="203"/>
        <v>2.4908891993879614</v>
      </c>
      <c r="T731" s="4">
        <f t="shared" ca="1" si="204"/>
        <v>1.3530657112002771E-7</v>
      </c>
      <c r="U731" s="46">
        <f t="shared" ca="1" si="205"/>
        <v>1512.6995798612329</v>
      </c>
      <c r="V731" s="4">
        <f t="shared" ca="1" si="206"/>
        <v>8.2170733782948528E-5</v>
      </c>
      <c r="W731" s="13">
        <f t="shared" ca="1" si="207"/>
        <v>7842.3974999999991</v>
      </c>
      <c r="X731" s="4">
        <f t="shared" ca="1" si="208"/>
        <v>4.2600365979587055E-4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5.6548840000000017E-2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4.1151962177370173E-10</v>
      </c>
      <c r="L732" s="13">
        <f t="shared" ca="1" si="196"/>
        <v>140</v>
      </c>
      <c r="M732" s="7">
        <f t="shared" ca="1" si="197"/>
        <v>860</v>
      </c>
      <c r="N732" s="44">
        <f t="shared" ca="1" si="198"/>
        <v>8</v>
      </c>
      <c r="O732" s="94">
        <f t="shared" ca="1" si="199"/>
        <v>2.4908891993879614</v>
      </c>
      <c r="P732" s="94">
        <f t="shared" ca="1" si="200"/>
        <v>24.908891993879614</v>
      </c>
      <c r="Q732" s="94">
        <f t="shared" ca="1" si="201"/>
        <v>24.908891993879614</v>
      </c>
      <c r="R732" s="94">
        <f t="shared" ca="1" si="202"/>
        <v>2.4908891993879614</v>
      </c>
      <c r="S732" s="94">
        <f t="shared" ca="1" si="203"/>
        <v>2.4908891993879614</v>
      </c>
      <c r="T732" s="4">
        <f t="shared" ca="1" si="204"/>
        <v>1.0250497812123326E-9</v>
      </c>
      <c r="U732" s="46">
        <f t="shared" ca="1" si="205"/>
        <v>1493.6995798612329</v>
      </c>
      <c r="V732" s="4">
        <f t="shared" ca="1" si="206"/>
        <v>6.1468668614803172E-7</v>
      </c>
      <c r="W732" s="13">
        <f t="shared" ca="1" si="207"/>
        <v>5859.2624999999998</v>
      </c>
      <c r="X732" s="4">
        <f t="shared" ca="1" si="208"/>
        <v>2.4112014878728339E-6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5.6548840000000017E-2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1.662705542520008E-12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2.4908891993879614</v>
      </c>
      <c r="P733" s="94">
        <f t="shared" ca="1" si="200"/>
        <v>24.908891993879614</v>
      </c>
      <c r="Q733" s="94">
        <f t="shared" ca="1" si="201"/>
        <v>24.908891993879614</v>
      </c>
      <c r="R733" s="94">
        <f t="shared" ca="1" si="202"/>
        <v>2.4908891993879614</v>
      </c>
      <c r="S733" s="94">
        <f t="shared" ca="1" si="203"/>
        <v>2.4908891993879614</v>
      </c>
      <c r="T733" s="4">
        <f t="shared" ca="1" si="204"/>
        <v>4.1416152776255884E-12</v>
      </c>
      <c r="U733" s="46">
        <f t="shared" ca="1" si="205"/>
        <v>1474.6995798612329</v>
      </c>
      <c r="V733" s="4">
        <f t="shared" ca="1" si="206"/>
        <v>2.451991164987199E-9</v>
      </c>
      <c r="W733" s="13">
        <f t="shared" ca="1" si="207"/>
        <v>3876.1274999999996</v>
      </c>
      <c r="X733" s="4">
        <f t="shared" ca="1" si="208"/>
        <v>6.4448586777642217E-9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5.6548840000000017E-2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2.7991675800000159E-15</v>
      </c>
      <c r="L734" s="13">
        <f t="shared" ca="1" si="196"/>
        <v>102</v>
      </c>
      <c r="M734" s="7">
        <f t="shared" ca="1" si="197"/>
        <v>898</v>
      </c>
      <c r="N734" s="44">
        <f t="shared" ca="1" si="198"/>
        <v>8</v>
      </c>
      <c r="O734" s="94">
        <f t="shared" ca="1" si="199"/>
        <v>2.4908891993879614</v>
      </c>
      <c r="P734" s="94">
        <f t="shared" ca="1" si="200"/>
        <v>24.908891993879614</v>
      </c>
      <c r="Q734" s="94">
        <f t="shared" ca="1" si="201"/>
        <v>24.908891993879614</v>
      </c>
      <c r="R734" s="94">
        <f t="shared" ca="1" si="202"/>
        <v>2.4908891993879614</v>
      </c>
      <c r="S734" s="94">
        <f t="shared" ca="1" si="203"/>
        <v>2.4908891993879614</v>
      </c>
      <c r="T734" s="4">
        <f t="shared" ca="1" si="204"/>
        <v>6.972416292298977E-15</v>
      </c>
      <c r="U734" s="46">
        <f t="shared" ca="1" si="205"/>
        <v>1455.6995798612329</v>
      </c>
      <c r="V734" s="4">
        <f t="shared" ca="1" si="206"/>
        <v>4.0747470701672075E-12</v>
      </c>
      <c r="W734" s="13">
        <f t="shared" ca="1" si="207"/>
        <v>1892.9924999999998</v>
      </c>
      <c r="X734" s="4">
        <f t="shared" ca="1" si="208"/>
        <v>5.29880323518318E-12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5.6548840000000017E-2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133</v>
      </c>
      <c r="M735" s="7">
        <f t="shared" ca="1" si="197"/>
        <v>867</v>
      </c>
      <c r="N735" s="44">
        <f t="shared" ca="1" si="198"/>
        <v>8</v>
      </c>
      <c r="O735" s="94">
        <f t="shared" ca="1" si="199"/>
        <v>2.4908891993879614</v>
      </c>
      <c r="P735" s="94">
        <f t="shared" ca="1" si="200"/>
        <v>24.908891993879614</v>
      </c>
      <c r="Q735" s="94">
        <f t="shared" ca="1" si="201"/>
        <v>24.908891993879614</v>
      </c>
      <c r="R735" s="94">
        <f t="shared" ca="1" si="202"/>
        <v>2.4908891993879614</v>
      </c>
      <c r="S735" s="94">
        <f t="shared" ca="1" si="203"/>
        <v>2.4908891993879614</v>
      </c>
      <c r="T735" s="4">
        <f t="shared" ca="1" si="204"/>
        <v>0</v>
      </c>
      <c r="U735" s="46">
        <f t="shared" ca="1" si="205"/>
        <v>1486.6995798612329</v>
      </c>
      <c r="V735" s="4">
        <f t="shared" ca="1" si="206"/>
        <v>0</v>
      </c>
      <c r="W735" s="13">
        <f t="shared" ca="1" si="207"/>
        <v>13881.945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5.6548840000000017E-2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2.6619805165826651E-5</v>
      </c>
      <c r="L736" s="13">
        <f t="shared" ca="1" si="196"/>
        <v>114</v>
      </c>
      <c r="M736" s="7">
        <f t="shared" ca="1" si="197"/>
        <v>886</v>
      </c>
      <c r="N736" s="44">
        <f t="shared" ca="1" si="198"/>
        <v>8</v>
      </c>
      <c r="O736" s="94">
        <f t="shared" ca="1" si="199"/>
        <v>2.4908891993879614</v>
      </c>
      <c r="P736" s="94">
        <f t="shared" ca="1" si="200"/>
        <v>24.908891993879614</v>
      </c>
      <c r="Q736" s="94">
        <f t="shared" ca="1" si="201"/>
        <v>24.908891993879614</v>
      </c>
      <c r="R736" s="94">
        <f t="shared" ca="1" si="202"/>
        <v>2.4908891993879614</v>
      </c>
      <c r="S736" s="94">
        <f t="shared" ca="1" si="203"/>
        <v>2.4908891993879614</v>
      </c>
      <c r="T736" s="4">
        <f t="shared" ca="1" si="204"/>
        <v>6.6306985177369464E-5</v>
      </c>
      <c r="U736" s="46">
        <f t="shared" ca="1" si="205"/>
        <v>1467.6995798612329</v>
      </c>
      <c r="V736" s="4">
        <f t="shared" ca="1" si="206"/>
        <v>3.9069876857871652E-2</v>
      </c>
      <c r="W736" s="13">
        <f t="shared" ca="1" si="207"/>
        <v>11898.81</v>
      </c>
      <c r="X736" s="4">
        <f t="shared" ca="1" si="208"/>
        <v>0.31674400390518981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5.6548840000000017E-2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1.6133215252016166E-6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2.4908891993879614</v>
      </c>
      <c r="P737" s="94">
        <f t="shared" ca="1" si="200"/>
        <v>24.908891993879614</v>
      </c>
      <c r="Q737" s="94">
        <f t="shared" ca="1" si="201"/>
        <v>24.908891993879614</v>
      </c>
      <c r="R737" s="94">
        <f t="shared" ca="1" si="202"/>
        <v>2.4908891993879614</v>
      </c>
      <c r="S737" s="94">
        <f t="shared" ca="1" si="203"/>
        <v>2.4908891993879614</v>
      </c>
      <c r="T737" s="4">
        <f t="shared" ca="1" si="204"/>
        <v>4.0186051622648196E-6</v>
      </c>
      <c r="U737" s="46">
        <f t="shared" ca="1" si="205"/>
        <v>1453.6995798612329</v>
      </c>
      <c r="V737" s="4">
        <f t="shared" ca="1" si="206"/>
        <v>2.3452848233666734E-3</v>
      </c>
      <c r="W737" s="13">
        <f t="shared" ca="1" si="207"/>
        <v>9915.6749999999993</v>
      </c>
      <c r="X737" s="4">
        <f t="shared" ca="1" si="208"/>
        <v>1.599717191440354E-2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5.6548840000000017E-2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4.074044255559642E-8</v>
      </c>
      <c r="L738" s="13">
        <f t="shared" ca="1" si="196"/>
        <v>100</v>
      </c>
      <c r="M738" s="7">
        <f t="shared" ca="1" si="197"/>
        <v>900</v>
      </c>
      <c r="N738" s="44">
        <f t="shared" ca="1" si="198"/>
        <v>8</v>
      </c>
      <c r="O738" s="94">
        <f t="shared" ca="1" si="199"/>
        <v>2.4908891993879614</v>
      </c>
      <c r="P738" s="94">
        <f t="shared" ca="1" si="200"/>
        <v>24.908891993879614</v>
      </c>
      <c r="Q738" s="94">
        <f t="shared" ca="1" si="201"/>
        <v>24.908891993879614</v>
      </c>
      <c r="R738" s="94">
        <f t="shared" ca="1" si="202"/>
        <v>2.4908891993879614</v>
      </c>
      <c r="S738" s="94">
        <f t="shared" ca="1" si="203"/>
        <v>2.4908891993879614</v>
      </c>
      <c r="T738" s="4">
        <f t="shared" ca="1" si="204"/>
        <v>1.0147992834002079E-7</v>
      </c>
      <c r="U738" s="46">
        <f t="shared" ca="1" si="205"/>
        <v>1453.6995798612329</v>
      </c>
      <c r="V738" s="4">
        <f t="shared" ca="1" si="206"/>
        <v>5.9224364226431209E-5</v>
      </c>
      <c r="W738" s="13">
        <f t="shared" ca="1" si="207"/>
        <v>7932.54</v>
      </c>
      <c r="X738" s="4">
        <f t="shared" ca="1" si="208"/>
        <v>3.2317519018997085E-4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5.6548840000000017E-2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5.4869282903160207E-10</v>
      </c>
      <c r="L739" s="13">
        <f t="shared" ca="1" si="196"/>
        <v>100</v>
      </c>
      <c r="M739" s="7">
        <f t="shared" ca="1" si="197"/>
        <v>900</v>
      </c>
      <c r="N739" s="44">
        <f t="shared" ca="1" si="198"/>
        <v>8</v>
      </c>
      <c r="O739" s="94">
        <f t="shared" ca="1" si="199"/>
        <v>2.4908891993879614</v>
      </c>
      <c r="P739" s="94">
        <f t="shared" ca="1" si="200"/>
        <v>24.908891993879614</v>
      </c>
      <c r="Q739" s="94">
        <f t="shared" ca="1" si="201"/>
        <v>24.908891993879614</v>
      </c>
      <c r="R739" s="94">
        <f t="shared" ca="1" si="202"/>
        <v>2.4908891993879614</v>
      </c>
      <c r="S739" s="94">
        <f t="shared" ca="1" si="203"/>
        <v>2.4908891993879614</v>
      </c>
      <c r="T739" s="4">
        <f t="shared" ca="1" si="204"/>
        <v>1.3667330416164428E-9</v>
      </c>
      <c r="U739" s="46">
        <f t="shared" ca="1" si="205"/>
        <v>1453.6995798612329</v>
      </c>
      <c r="V739" s="4">
        <f t="shared" ca="1" si="206"/>
        <v>7.9763453503611125E-7</v>
      </c>
      <c r="W739" s="13">
        <f t="shared" ca="1" si="207"/>
        <v>5949.4049999999997</v>
      </c>
      <c r="X739" s="4">
        <f t="shared" ca="1" si="208"/>
        <v>3.2643958605047582E-6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5.6548840000000017E-2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4.1567638563000204E-12</v>
      </c>
      <c r="L740" s="13">
        <f t="shared" ca="1" si="196"/>
        <v>100</v>
      </c>
      <c r="M740" s="7">
        <f t="shared" ca="1" si="197"/>
        <v>900</v>
      </c>
      <c r="N740" s="44">
        <f t="shared" ca="1" si="198"/>
        <v>8</v>
      </c>
      <c r="O740" s="94">
        <f t="shared" ca="1" si="199"/>
        <v>2.4908891993879614</v>
      </c>
      <c r="P740" s="94">
        <f t="shared" ca="1" si="200"/>
        <v>24.908891993879614</v>
      </c>
      <c r="Q740" s="94">
        <f t="shared" ca="1" si="201"/>
        <v>24.908891993879614</v>
      </c>
      <c r="R740" s="94">
        <f t="shared" ca="1" si="202"/>
        <v>2.4908891993879614</v>
      </c>
      <c r="S740" s="94">
        <f t="shared" ca="1" si="203"/>
        <v>2.4908891993879614</v>
      </c>
      <c r="T740" s="4">
        <f t="shared" ca="1" si="204"/>
        <v>1.0354038194063973E-11</v>
      </c>
      <c r="U740" s="46">
        <f t="shared" ca="1" si="205"/>
        <v>1453.6995798612329</v>
      </c>
      <c r="V740" s="4">
        <f t="shared" ca="1" si="206"/>
        <v>6.0426858714856978E-9</v>
      </c>
      <c r="W740" s="13">
        <f t="shared" ca="1" si="207"/>
        <v>3966.27</v>
      </c>
      <c r="X740" s="4">
        <f t="shared" ca="1" si="208"/>
        <v>1.6486847780327083E-8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5.6548840000000017E-2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1.6795005480000096E-14</v>
      </c>
      <c r="L741" s="13">
        <f t="shared" ca="1" si="196"/>
        <v>100</v>
      </c>
      <c r="M741" s="7">
        <f t="shared" ca="1" si="197"/>
        <v>900</v>
      </c>
      <c r="N741" s="44">
        <f t="shared" ca="1" si="198"/>
        <v>8</v>
      </c>
      <c r="O741" s="94">
        <f t="shared" ca="1" si="199"/>
        <v>2.4908891993879614</v>
      </c>
      <c r="P741" s="94">
        <f t="shared" ca="1" si="200"/>
        <v>24.908891993879614</v>
      </c>
      <c r="Q741" s="94">
        <f t="shared" ca="1" si="201"/>
        <v>24.908891993879614</v>
      </c>
      <c r="R741" s="94">
        <f t="shared" ca="1" si="202"/>
        <v>2.4908891993879614</v>
      </c>
      <c r="S741" s="94">
        <f t="shared" ca="1" si="203"/>
        <v>2.4908891993879614</v>
      </c>
      <c r="T741" s="4">
        <f t="shared" ca="1" si="204"/>
        <v>4.1834497753793862E-14</v>
      </c>
      <c r="U741" s="46">
        <f t="shared" ca="1" si="205"/>
        <v>1453.6995798612329</v>
      </c>
      <c r="V741" s="4">
        <f t="shared" ca="1" si="206"/>
        <v>2.4414892410043245E-11</v>
      </c>
      <c r="W741" s="13">
        <f t="shared" ca="1" si="207"/>
        <v>1983.135</v>
      </c>
      <c r="X741" s="4">
        <f t="shared" ca="1" si="208"/>
        <v>3.3306763192579988E-11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5.6548840000000017E-2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2.8274420000000192E-17</v>
      </c>
      <c r="L742" s="13">
        <f t="shared" ca="1" si="196"/>
        <v>100</v>
      </c>
      <c r="M742" s="7">
        <f t="shared" ca="1" si="197"/>
        <v>900</v>
      </c>
      <c r="N742" s="44">
        <f t="shared" ca="1" si="198"/>
        <v>8</v>
      </c>
      <c r="O742" s="94">
        <f t="shared" ca="1" si="199"/>
        <v>2.4908891993879614</v>
      </c>
      <c r="P742" s="94">
        <f t="shared" ca="1" si="200"/>
        <v>24.908891993879614</v>
      </c>
      <c r="Q742" s="94">
        <f t="shared" ca="1" si="201"/>
        <v>24.908891993879614</v>
      </c>
      <c r="R742" s="94">
        <f t="shared" ca="1" si="202"/>
        <v>2.4908891993879614</v>
      </c>
      <c r="S742" s="94">
        <f t="shared" ca="1" si="203"/>
        <v>2.4908891993879614</v>
      </c>
      <c r="T742" s="4">
        <f t="shared" ca="1" si="204"/>
        <v>7.0428447396959446E-17</v>
      </c>
      <c r="U742" s="46">
        <f t="shared" ca="1" si="205"/>
        <v>1453.6995798612329</v>
      </c>
      <c r="V742" s="4">
        <f t="shared" ca="1" si="206"/>
        <v>4.1102512474820319E-14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4.2804000000000009E-2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337</v>
      </c>
      <c r="M743" s="7">
        <f t="shared" ref="M743:M806" ca="1" si="216">MAX(Set2MinTP-(L743+Set2Regain), 0)</f>
        <v>663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1.9922775034029279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19.922775034029279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19.922775034029279</v>
      </c>
      <c r="R743" s="94">
        <f t="shared" ref="R743:R806" ca="1" si="221">(P743+Q743)/20</f>
        <v>1.9922775034029279</v>
      </c>
      <c r="S743" s="94">
        <f t="shared" ref="S743:S806" ca="1" si="222">R743*Set2ConserveTP + O743*(1-Set2ConserveTP)</f>
        <v>1.9922775034029279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1472.3253840141317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17758.072499999998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4.2804000000000009E-2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3.7901318894220264E-2</v>
      </c>
      <c r="L744" s="13">
        <f t="shared" ca="1" si="215"/>
        <v>318</v>
      </c>
      <c r="M744" s="7">
        <f t="shared" ca="1" si="216"/>
        <v>682</v>
      </c>
      <c r="N744" s="44">
        <f t="shared" ca="1" si="217"/>
        <v>7</v>
      </c>
      <c r="O744" s="94">
        <f t="shared" ca="1" si="218"/>
        <v>2.2444549919727916</v>
      </c>
      <c r="P744" s="94">
        <f t="shared" ca="1" si="219"/>
        <v>20.679307499738869</v>
      </c>
      <c r="Q744" s="94">
        <f t="shared" ca="1" si="220"/>
        <v>19.922775034029279</v>
      </c>
      <c r="R744" s="94">
        <f t="shared" ca="1" si="221"/>
        <v>2.0301041266884075</v>
      </c>
      <c r="S744" s="94">
        <f t="shared" ca="1" si="222"/>
        <v>2.2444549919727916</v>
      </c>
      <c r="T744" s="4">
        <f t="shared" ca="1" si="223"/>
        <v>8.5067804394485358E-2</v>
      </c>
      <c r="U744" s="46">
        <f t="shared" ca="1" si="224"/>
        <v>1563.7701584159711</v>
      </c>
      <c r="V744" s="4">
        <f t="shared" ca="1" si="225"/>
        <v>59.268951451389057</v>
      </c>
      <c r="W744" s="13">
        <f t="shared" ca="1" si="226"/>
        <v>15774.9375</v>
      </c>
      <c r="X744" s="4">
        <f t="shared" ca="1" si="227"/>
        <v>597.89093672389379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4.2804000000000009E-2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2.2970496299527451E-3</v>
      </c>
      <c r="L745" s="13">
        <f t="shared" ca="1" si="215"/>
        <v>299</v>
      </c>
      <c r="M745" s="7">
        <f t="shared" ca="1" si="216"/>
        <v>701</v>
      </c>
      <c r="N745" s="44">
        <f t="shared" ca="1" si="217"/>
        <v>7</v>
      </c>
      <c r="O745" s="94">
        <f t="shared" ca="1" si="218"/>
        <v>2.2444549919727916</v>
      </c>
      <c r="P745" s="94">
        <f t="shared" ca="1" si="219"/>
        <v>22.444549919727915</v>
      </c>
      <c r="Q745" s="94">
        <f t="shared" ca="1" si="220"/>
        <v>22.444549919727915</v>
      </c>
      <c r="R745" s="94">
        <f t="shared" ca="1" si="221"/>
        <v>2.2444549919727916</v>
      </c>
      <c r="S745" s="94">
        <f t="shared" ca="1" si="222"/>
        <v>2.2444549919727916</v>
      </c>
      <c r="T745" s="4">
        <f t="shared" ca="1" si="223"/>
        <v>5.1556245087566923E-3</v>
      </c>
      <c r="U745" s="46">
        <f t="shared" ca="1" si="224"/>
        <v>1544.7701584159711</v>
      </c>
      <c r="V745" s="4">
        <f t="shared" ca="1" si="225"/>
        <v>3.5484137207514497</v>
      </c>
      <c r="W745" s="13">
        <f t="shared" ca="1" si="226"/>
        <v>13791.802499999998</v>
      </c>
      <c r="X745" s="4">
        <f t="shared" ca="1" si="227"/>
        <v>31.68045482900634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4.2804000000000009E-2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5.8006303786685552E-5</v>
      </c>
      <c r="L746" s="13">
        <f t="shared" ca="1" si="215"/>
        <v>280</v>
      </c>
      <c r="M746" s="7">
        <f t="shared" ca="1" si="216"/>
        <v>720</v>
      </c>
      <c r="N746" s="44">
        <f t="shared" ca="1" si="217"/>
        <v>7</v>
      </c>
      <c r="O746" s="94">
        <f t="shared" ca="1" si="218"/>
        <v>2.2444549919727916</v>
      </c>
      <c r="P746" s="94">
        <f t="shared" ca="1" si="219"/>
        <v>22.444549919727915</v>
      </c>
      <c r="Q746" s="94">
        <f t="shared" ca="1" si="220"/>
        <v>22.444549919727915</v>
      </c>
      <c r="R746" s="94">
        <f t="shared" ca="1" si="221"/>
        <v>2.2444549919727916</v>
      </c>
      <c r="S746" s="94">
        <f t="shared" ca="1" si="222"/>
        <v>2.2444549919727916</v>
      </c>
      <c r="T746" s="4">
        <f t="shared" ca="1" si="223"/>
        <v>1.3019253809991662E-4</v>
      </c>
      <c r="U746" s="46">
        <f t="shared" ca="1" si="224"/>
        <v>1525.7701584159711</v>
      </c>
      <c r="V746" s="4">
        <f t="shared" ca="1" si="225"/>
        <v>8.8504287317736158E-2</v>
      </c>
      <c r="W746" s="13">
        <f t="shared" ca="1" si="226"/>
        <v>11808.6675</v>
      </c>
      <c r="X746" s="4">
        <f t="shared" ca="1" si="227"/>
        <v>0.68497715432096062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4.2804000000000009E-2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7.812296806287621E-7</v>
      </c>
      <c r="L747" s="13">
        <f t="shared" ca="1" si="215"/>
        <v>261</v>
      </c>
      <c r="M747" s="7">
        <f t="shared" ca="1" si="216"/>
        <v>739</v>
      </c>
      <c r="N747" s="44">
        <f t="shared" ca="1" si="217"/>
        <v>7</v>
      </c>
      <c r="O747" s="94">
        <f t="shared" ca="1" si="218"/>
        <v>2.2444549919727916</v>
      </c>
      <c r="P747" s="94">
        <f t="shared" ca="1" si="219"/>
        <v>22.444549919727915</v>
      </c>
      <c r="Q747" s="94">
        <f t="shared" ca="1" si="220"/>
        <v>22.444549919727915</v>
      </c>
      <c r="R747" s="94">
        <f t="shared" ca="1" si="221"/>
        <v>2.2444549919727916</v>
      </c>
      <c r="S747" s="94">
        <f t="shared" ca="1" si="222"/>
        <v>2.2444549919727916</v>
      </c>
      <c r="T747" s="4">
        <f t="shared" ca="1" si="223"/>
        <v>1.7534348565645348E-6</v>
      </c>
      <c r="U747" s="46">
        <f t="shared" ca="1" si="224"/>
        <v>1506.7701584159711</v>
      </c>
      <c r="V747" s="4">
        <f t="shared" ca="1" si="225"/>
        <v>1.1771335696402583E-3</v>
      </c>
      <c r="W747" s="13">
        <f t="shared" ca="1" si="226"/>
        <v>9825.5324999999993</v>
      </c>
      <c r="X747" s="4">
        <f t="shared" ca="1" si="227"/>
        <v>7.6759976169825219E-3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4.2804000000000009E-2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5.9184066714300231E-9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2.2444549919727916</v>
      </c>
      <c r="P748" s="94">
        <f t="shared" ca="1" si="219"/>
        <v>22.444549919727915</v>
      </c>
      <c r="Q748" s="94">
        <f t="shared" ca="1" si="220"/>
        <v>22.444549919727915</v>
      </c>
      <c r="R748" s="94">
        <f t="shared" ca="1" si="221"/>
        <v>2.2444549919727916</v>
      </c>
      <c r="S748" s="94">
        <f t="shared" ca="1" si="222"/>
        <v>2.2444549919727916</v>
      </c>
      <c r="T748" s="4">
        <f t="shared" ca="1" si="223"/>
        <v>1.3283597398216189E-8</v>
      </c>
      <c r="U748" s="46">
        <f t="shared" ca="1" si="224"/>
        <v>1487.7701584159711</v>
      </c>
      <c r="V748" s="4">
        <f t="shared" ca="1" si="225"/>
        <v>8.8052288311235864E-6</v>
      </c>
      <c r="W748" s="13">
        <f t="shared" ca="1" si="226"/>
        <v>7842.3974999999991</v>
      </c>
      <c r="X748" s="4">
        <f t="shared" ca="1" si="227"/>
        <v>4.6414497684006128E-5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4.2804000000000009E-2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2.3912754228000114E-11</v>
      </c>
      <c r="L749" s="13">
        <f t="shared" ca="1" si="215"/>
        <v>223</v>
      </c>
      <c r="M749" s="7">
        <f t="shared" ca="1" si="216"/>
        <v>777</v>
      </c>
      <c r="N749" s="44">
        <f t="shared" ca="1" si="217"/>
        <v>7</v>
      </c>
      <c r="O749" s="94">
        <f t="shared" ca="1" si="218"/>
        <v>2.2444549919727916</v>
      </c>
      <c r="P749" s="94">
        <f t="shared" ca="1" si="219"/>
        <v>22.444549919727915</v>
      </c>
      <c r="Q749" s="94">
        <f t="shared" ca="1" si="220"/>
        <v>22.444549919727915</v>
      </c>
      <c r="R749" s="94">
        <f t="shared" ca="1" si="221"/>
        <v>2.2444549919727916</v>
      </c>
      <c r="S749" s="94">
        <f t="shared" ca="1" si="222"/>
        <v>2.2444549919727916</v>
      </c>
      <c r="T749" s="4">
        <f t="shared" ca="1" si="223"/>
        <v>5.3671100598853336E-11</v>
      </c>
      <c r="U749" s="46">
        <f t="shared" ca="1" si="224"/>
        <v>1468.7701584159711</v>
      </c>
      <c r="V749" s="4">
        <f t="shared" ca="1" si="225"/>
        <v>3.5122339815621909E-8</v>
      </c>
      <c r="W749" s="13">
        <f t="shared" ca="1" si="226"/>
        <v>5859.2624999999998</v>
      </c>
      <c r="X749" s="4">
        <f t="shared" ca="1" si="227"/>
        <v>1.4011110411983752E-7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4.2804000000000009E-2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4.025716200000023E-14</v>
      </c>
      <c r="L750" s="13">
        <f t="shared" ca="1" si="215"/>
        <v>204</v>
      </c>
      <c r="M750" s="7">
        <f t="shared" ca="1" si="216"/>
        <v>796</v>
      </c>
      <c r="N750" s="44">
        <f t="shared" ca="1" si="217"/>
        <v>8</v>
      </c>
      <c r="O750" s="94">
        <f t="shared" ca="1" si="218"/>
        <v>2.4908891993879614</v>
      </c>
      <c r="P750" s="94">
        <f t="shared" ca="1" si="219"/>
        <v>23.430286749388593</v>
      </c>
      <c r="Q750" s="94">
        <f t="shared" ca="1" si="220"/>
        <v>22.444549919727915</v>
      </c>
      <c r="R750" s="94">
        <f t="shared" ca="1" si="221"/>
        <v>2.2937418334558251</v>
      </c>
      <c r="S750" s="94">
        <f t="shared" ca="1" si="222"/>
        <v>2.4908891993879614</v>
      </c>
      <c r="T750" s="4">
        <f t="shared" ca="1" si="223"/>
        <v>1.0027613002381203E-13</v>
      </c>
      <c r="U750" s="46">
        <f t="shared" ca="1" si="224"/>
        <v>1557.6995798612329</v>
      </c>
      <c r="V750" s="4">
        <f t="shared" ca="1" si="225"/>
        <v>6.2708564333805952E-11</v>
      </c>
      <c r="W750" s="13">
        <f t="shared" ca="1" si="226"/>
        <v>3876.1274999999996</v>
      </c>
      <c r="X750" s="4">
        <f t="shared" ca="1" si="227"/>
        <v>1.5604189270015588E-10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4.2804000000000009E-2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235</v>
      </c>
      <c r="M751" s="7">
        <f t="shared" ca="1" si="216"/>
        <v>765</v>
      </c>
      <c r="N751" s="44">
        <f t="shared" ca="1" si="217"/>
        <v>7</v>
      </c>
      <c r="O751" s="94">
        <f t="shared" ca="1" si="218"/>
        <v>2.2444549919727916</v>
      </c>
      <c r="P751" s="94">
        <f t="shared" ca="1" si="219"/>
        <v>22.444549919727915</v>
      </c>
      <c r="Q751" s="94">
        <f t="shared" ca="1" si="220"/>
        <v>22.444549919727915</v>
      </c>
      <c r="R751" s="94">
        <f t="shared" ca="1" si="221"/>
        <v>2.2444549919727916</v>
      </c>
      <c r="S751" s="94">
        <f t="shared" ca="1" si="222"/>
        <v>2.2444549919727916</v>
      </c>
      <c r="T751" s="4">
        <f t="shared" ca="1" si="223"/>
        <v>0</v>
      </c>
      <c r="U751" s="46">
        <f t="shared" ca="1" si="224"/>
        <v>1480.7701584159711</v>
      </c>
      <c r="V751" s="4">
        <f t="shared" ca="1" si="225"/>
        <v>0</v>
      </c>
      <c r="W751" s="13">
        <f t="shared" ca="1" si="226"/>
        <v>15865.08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4.2804000000000009E-2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3.8284160499212419E-4</v>
      </c>
      <c r="L752" s="13">
        <f t="shared" ca="1" si="215"/>
        <v>216</v>
      </c>
      <c r="M752" s="7">
        <f t="shared" ca="1" si="216"/>
        <v>784</v>
      </c>
      <c r="N752" s="44">
        <f t="shared" ca="1" si="217"/>
        <v>7</v>
      </c>
      <c r="O752" s="94">
        <f t="shared" ca="1" si="218"/>
        <v>2.2444549919727916</v>
      </c>
      <c r="P752" s="94">
        <f t="shared" ca="1" si="219"/>
        <v>22.444549919727915</v>
      </c>
      <c r="Q752" s="94">
        <f t="shared" ca="1" si="220"/>
        <v>22.444549919727915</v>
      </c>
      <c r="R752" s="94">
        <f t="shared" ca="1" si="221"/>
        <v>2.2444549919727916</v>
      </c>
      <c r="S752" s="94">
        <f t="shared" ca="1" si="222"/>
        <v>2.2444549919727916</v>
      </c>
      <c r="T752" s="4">
        <f t="shared" ca="1" si="223"/>
        <v>8.5927075145944879E-4</v>
      </c>
      <c r="U752" s="46">
        <f t="shared" ca="1" si="224"/>
        <v>1461.7701584159711</v>
      </c>
      <c r="V752" s="4">
        <f t="shared" ca="1" si="225"/>
        <v>0.55962643357756203</v>
      </c>
      <c r="W752" s="13">
        <f t="shared" ca="1" si="226"/>
        <v>13881.945</v>
      </c>
      <c r="X752" s="4">
        <f t="shared" ca="1" si="227"/>
        <v>5.3145861042123936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4.2804000000000009E-2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2.3202521514674215E-5</v>
      </c>
      <c r="L753" s="13">
        <f t="shared" ca="1" si="215"/>
        <v>197</v>
      </c>
      <c r="M753" s="7">
        <f t="shared" ca="1" si="216"/>
        <v>803</v>
      </c>
      <c r="N753" s="44">
        <f t="shared" ca="1" si="217"/>
        <v>8</v>
      </c>
      <c r="O753" s="94">
        <f t="shared" ca="1" si="218"/>
        <v>2.4908891993879614</v>
      </c>
      <c r="P753" s="94">
        <f t="shared" ca="1" si="219"/>
        <v>24.908891993879614</v>
      </c>
      <c r="Q753" s="94">
        <f t="shared" ca="1" si="220"/>
        <v>22.690984127143082</v>
      </c>
      <c r="R753" s="94">
        <f t="shared" ca="1" si="221"/>
        <v>2.379993806051135</v>
      </c>
      <c r="S753" s="94">
        <f t="shared" ca="1" si="222"/>
        <v>2.4908891993879614</v>
      </c>
      <c r="T753" s="4">
        <f t="shared" ca="1" si="223"/>
        <v>5.7794910239468803E-5</v>
      </c>
      <c r="U753" s="46">
        <f t="shared" ca="1" si="224"/>
        <v>1550.6995798612329</v>
      </c>
      <c r="V753" s="4">
        <f t="shared" ca="1" si="225"/>
        <v>3.5980140364526521E-2</v>
      </c>
      <c r="W753" s="13">
        <f t="shared" ca="1" si="226"/>
        <v>11898.81</v>
      </c>
      <c r="X753" s="4">
        <f t="shared" ca="1" si="227"/>
        <v>0.27608239502402065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4.2804000000000009E-2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5.8592226047157176E-7</v>
      </c>
      <c r="L754" s="13">
        <f t="shared" ca="1" si="215"/>
        <v>178</v>
      </c>
      <c r="M754" s="7">
        <f t="shared" ca="1" si="216"/>
        <v>822</v>
      </c>
      <c r="N754" s="44">
        <f t="shared" ca="1" si="217"/>
        <v>8</v>
      </c>
      <c r="O754" s="94">
        <f t="shared" ca="1" si="218"/>
        <v>2.4908891993879614</v>
      </c>
      <c r="P754" s="94">
        <f t="shared" ca="1" si="219"/>
        <v>24.908891993879614</v>
      </c>
      <c r="Q754" s="94">
        <f t="shared" ca="1" si="220"/>
        <v>24.908891993879614</v>
      </c>
      <c r="R754" s="94">
        <f t="shared" ca="1" si="221"/>
        <v>2.4908891993879614</v>
      </c>
      <c r="S754" s="94">
        <f t="shared" ca="1" si="222"/>
        <v>2.4908891993879614</v>
      </c>
      <c r="T754" s="4">
        <f t="shared" ca="1" si="223"/>
        <v>1.4594674302896179E-6</v>
      </c>
      <c r="U754" s="46">
        <f t="shared" ca="1" si="224"/>
        <v>1531.6995798612329</v>
      </c>
      <c r="V754" s="4">
        <f t="shared" ca="1" si="225"/>
        <v>8.9745688019565034E-4</v>
      </c>
      <c r="W754" s="13">
        <f t="shared" ca="1" si="226"/>
        <v>9915.6749999999993</v>
      </c>
      <c r="X754" s="4">
        <f t="shared" ca="1" si="227"/>
        <v>5.8098147101014515E-3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4.2804000000000009E-2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7.8912088952400286E-9</v>
      </c>
      <c r="L755" s="13">
        <f t="shared" ca="1" si="215"/>
        <v>159</v>
      </c>
      <c r="M755" s="7">
        <f t="shared" ca="1" si="216"/>
        <v>841</v>
      </c>
      <c r="N755" s="44">
        <f t="shared" ca="1" si="217"/>
        <v>8</v>
      </c>
      <c r="O755" s="94">
        <f t="shared" ca="1" si="218"/>
        <v>2.4908891993879614</v>
      </c>
      <c r="P755" s="94">
        <f t="shared" ca="1" si="219"/>
        <v>24.908891993879614</v>
      </c>
      <c r="Q755" s="94">
        <f t="shared" ca="1" si="220"/>
        <v>24.908891993879614</v>
      </c>
      <c r="R755" s="94">
        <f t="shared" ca="1" si="221"/>
        <v>2.4908891993879614</v>
      </c>
      <c r="S755" s="94">
        <f t="shared" ca="1" si="222"/>
        <v>2.4908891993879614</v>
      </c>
      <c r="T755" s="4">
        <f t="shared" ca="1" si="223"/>
        <v>1.9656127007267594E-8</v>
      </c>
      <c r="U755" s="46">
        <f t="shared" ca="1" si="224"/>
        <v>1512.6995798612329</v>
      </c>
      <c r="V755" s="4">
        <f t="shared" ca="1" si="225"/>
        <v>1.1937028380426816E-5</v>
      </c>
      <c r="W755" s="13">
        <f t="shared" ca="1" si="226"/>
        <v>7932.54</v>
      </c>
      <c r="X755" s="4">
        <f t="shared" ca="1" si="227"/>
        <v>6.2597330209847337E-5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4.2804000000000009E-2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5.9781885570000281E-11</v>
      </c>
      <c r="L756" s="13">
        <f t="shared" ca="1" si="215"/>
        <v>140</v>
      </c>
      <c r="M756" s="7">
        <f t="shared" ca="1" si="216"/>
        <v>860</v>
      </c>
      <c r="N756" s="44">
        <f t="shared" ca="1" si="217"/>
        <v>8</v>
      </c>
      <c r="O756" s="94">
        <f t="shared" ca="1" si="218"/>
        <v>2.4908891993879614</v>
      </c>
      <c r="P756" s="94">
        <f t="shared" ca="1" si="219"/>
        <v>24.908891993879614</v>
      </c>
      <c r="Q756" s="94">
        <f t="shared" ca="1" si="220"/>
        <v>24.908891993879614</v>
      </c>
      <c r="R756" s="94">
        <f t="shared" ca="1" si="221"/>
        <v>2.4908891993879614</v>
      </c>
      <c r="S756" s="94">
        <f t="shared" ca="1" si="222"/>
        <v>2.4908891993879614</v>
      </c>
      <c r="T756" s="4">
        <f t="shared" ca="1" si="223"/>
        <v>1.4891005308536073E-10</v>
      </c>
      <c r="U756" s="46">
        <f t="shared" ca="1" si="224"/>
        <v>1493.6995798612329</v>
      </c>
      <c r="V756" s="4">
        <f t="shared" ca="1" si="225"/>
        <v>8.9296177359221724E-8</v>
      </c>
      <c r="W756" s="13">
        <f t="shared" ca="1" si="226"/>
        <v>5949.4049999999997</v>
      </c>
      <c r="X756" s="4">
        <f t="shared" ca="1" si="227"/>
        <v>3.5566664891958748E-7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4.2804000000000009E-2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2.4154297200000136E-13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2.4908891993879614</v>
      </c>
      <c r="P757" s="94">
        <f t="shared" ca="1" si="219"/>
        <v>24.908891993879614</v>
      </c>
      <c r="Q757" s="94">
        <f t="shared" ca="1" si="220"/>
        <v>24.908891993879614</v>
      </c>
      <c r="R757" s="94">
        <f t="shared" ca="1" si="221"/>
        <v>2.4908891993879614</v>
      </c>
      <c r="S757" s="94">
        <f t="shared" ca="1" si="222"/>
        <v>2.4908891993879614</v>
      </c>
      <c r="T757" s="4">
        <f t="shared" ca="1" si="223"/>
        <v>6.0165678014287211E-13</v>
      </c>
      <c r="U757" s="46">
        <f t="shared" ca="1" si="224"/>
        <v>1474.6995798612329</v>
      </c>
      <c r="V757" s="4">
        <f t="shared" ca="1" si="225"/>
        <v>3.5620331932683553E-10</v>
      </c>
      <c r="W757" s="13">
        <f t="shared" ca="1" si="226"/>
        <v>3966.27</v>
      </c>
      <c r="X757" s="4">
        <f t="shared" ca="1" si="227"/>
        <v>9.580246435544453E-10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4.2804000000000009E-2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4.0663800000000266E-16</v>
      </c>
      <c r="L758" s="13">
        <f t="shared" ca="1" si="215"/>
        <v>102</v>
      </c>
      <c r="M758" s="7">
        <f t="shared" ca="1" si="216"/>
        <v>898</v>
      </c>
      <c r="N758" s="44">
        <f t="shared" ca="1" si="217"/>
        <v>8</v>
      </c>
      <c r="O758" s="94">
        <f t="shared" ca="1" si="218"/>
        <v>2.4908891993879614</v>
      </c>
      <c r="P758" s="94">
        <f t="shared" ca="1" si="219"/>
        <v>24.908891993879614</v>
      </c>
      <c r="Q758" s="94">
        <f t="shared" ca="1" si="220"/>
        <v>24.908891993879614</v>
      </c>
      <c r="R758" s="94">
        <f t="shared" ca="1" si="221"/>
        <v>2.4908891993879614</v>
      </c>
      <c r="S758" s="94">
        <f t="shared" ca="1" si="222"/>
        <v>2.4908891993879614</v>
      </c>
      <c r="T758" s="4">
        <f t="shared" ca="1" si="223"/>
        <v>1.0128902022607286E-15</v>
      </c>
      <c r="U758" s="46">
        <f t="shared" ca="1" si="224"/>
        <v>1455.6995798612329</v>
      </c>
      <c r="V758" s="4">
        <f t="shared" ca="1" si="225"/>
        <v>5.9194276575561586E-13</v>
      </c>
      <c r="W758" s="13">
        <f t="shared" ca="1" si="226"/>
        <v>1983.135</v>
      </c>
      <c r="X758" s="4">
        <f t="shared" ca="1" si="227"/>
        <v>8.0641805013000528E-13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4.2804000000000009E-2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235</v>
      </c>
      <c r="M759" s="7">
        <f t="shared" ca="1" si="216"/>
        <v>765</v>
      </c>
      <c r="N759" s="44">
        <f t="shared" ca="1" si="217"/>
        <v>7</v>
      </c>
      <c r="O759" s="94">
        <f t="shared" ca="1" si="218"/>
        <v>2.2444549919727916</v>
      </c>
      <c r="P759" s="94">
        <f t="shared" ca="1" si="219"/>
        <v>22.444549919727915</v>
      </c>
      <c r="Q759" s="94">
        <f t="shared" ca="1" si="220"/>
        <v>22.444549919727915</v>
      </c>
      <c r="R759" s="94">
        <f t="shared" ca="1" si="221"/>
        <v>2.2444549919727916</v>
      </c>
      <c r="S759" s="94">
        <f t="shared" ca="1" si="222"/>
        <v>2.2444549919727916</v>
      </c>
      <c r="T759" s="4">
        <f t="shared" ca="1" si="223"/>
        <v>0</v>
      </c>
      <c r="U759" s="46">
        <f t="shared" ca="1" si="224"/>
        <v>1480.7701584159711</v>
      </c>
      <c r="V759" s="4">
        <f t="shared" ca="1" si="225"/>
        <v>0</v>
      </c>
      <c r="W759" s="13">
        <f t="shared" ca="1" si="226"/>
        <v>15774.9375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4.2804000000000009E-2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1.9948062575905405E-3</v>
      </c>
      <c r="L760" s="13">
        <f t="shared" ca="1" si="215"/>
        <v>216</v>
      </c>
      <c r="M760" s="7">
        <f t="shared" ca="1" si="216"/>
        <v>784</v>
      </c>
      <c r="N760" s="44">
        <f t="shared" ca="1" si="217"/>
        <v>7</v>
      </c>
      <c r="O760" s="94">
        <f t="shared" ca="1" si="218"/>
        <v>2.2444549919727916</v>
      </c>
      <c r="P760" s="94">
        <f t="shared" ca="1" si="219"/>
        <v>22.444549919727915</v>
      </c>
      <c r="Q760" s="94">
        <f t="shared" ca="1" si="220"/>
        <v>22.444549919727915</v>
      </c>
      <c r="R760" s="94">
        <f t="shared" ca="1" si="221"/>
        <v>2.2444549919727916</v>
      </c>
      <c r="S760" s="94">
        <f t="shared" ca="1" si="222"/>
        <v>2.2444549919727916</v>
      </c>
      <c r="T760" s="4">
        <f t="shared" ca="1" si="223"/>
        <v>4.4772528628676507E-3</v>
      </c>
      <c r="U760" s="46">
        <f t="shared" ca="1" si="224"/>
        <v>1461.7701584159711</v>
      </c>
      <c r="V760" s="4">
        <f t="shared" ca="1" si="225"/>
        <v>2.9159482591672949</v>
      </c>
      <c r="W760" s="13">
        <f t="shared" ca="1" si="226"/>
        <v>13791.8025</v>
      </c>
      <c r="X760" s="4">
        <f t="shared" ca="1" si="227"/>
        <v>27.511973930452861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4.2804000000000009E-2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1.2089734894488132E-4</v>
      </c>
      <c r="L761" s="13">
        <f t="shared" ca="1" si="215"/>
        <v>197</v>
      </c>
      <c r="M761" s="7">
        <f t="shared" ca="1" si="216"/>
        <v>803</v>
      </c>
      <c r="N761" s="44">
        <f t="shared" ca="1" si="217"/>
        <v>8</v>
      </c>
      <c r="O761" s="94">
        <f t="shared" ca="1" si="218"/>
        <v>2.4908891993879614</v>
      </c>
      <c r="P761" s="94">
        <f t="shared" ca="1" si="219"/>
        <v>24.908891993879614</v>
      </c>
      <c r="Q761" s="94">
        <f t="shared" ca="1" si="220"/>
        <v>22.690984127143082</v>
      </c>
      <c r="R761" s="94">
        <f t="shared" ca="1" si="221"/>
        <v>2.379993806051135</v>
      </c>
      <c r="S761" s="94">
        <f t="shared" ca="1" si="222"/>
        <v>2.4908891993879614</v>
      </c>
      <c r="T761" s="4">
        <f t="shared" ca="1" si="223"/>
        <v>3.0114190072144241E-4</v>
      </c>
      <c r="U761" s="46">
        <f t="shared" ca="1" si="224"/>
        <v>1550.6995798612329</v>
      </c>
      <c r="V761" s="4">
        <f t="shared" ca="1" si="225"/>
        <v>0.18747546821516434</v>
      </c>
      <c r="W761" s="13">
        <f t="shared" ca="1" si="226"/>
        <v>11808.6675</v>
      </c>
      <c r="X761" s="4">
        <f t="shared" ca="1" si="227"/>
        <v>1.4276365953215793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4.2804000000000009E-2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3.0529633571939767E-6</v>
      </c>
      <c r="L762" s="13">
        <f t="shared" ca="1" si="215"/>
        <v>178</v>
      </c>
      <c r="M762" s="7">
        <f t="shared" ca="1" si="216"/>
        <v>822</v>
      </c>
      <c r="N762" s="44">
        <f t="shared" ca="1" si="217"/>
        <v>8</v>
      </c>
      <c r="O762" s="94">
        <f t="shared" ca="1" si="218"/>
        <v>2.4908891993879614</v>
      </c>
      <c r="P762" s="94">
        <f t="shared" ca="1" si="219"/>
        <v>24.908891993879614</v>
      </c>
      <c r="Q762" s="94">
        <f t="shared" ca="1" si="220"/>
        <v>24.908891993879614</v>
      </c>
      <c r="R762" s="94">
        <f t="shared" ca="1" si="221"/>
        <v>2.4908891993879614</v>
      </c>
      <c r="S762" s="94">
        <f t="shared" ca="1" si="222"/>
        <v>2.4908891993879614</v>
      </c>
      <c r="T762" s="4">
        <f t="shared" ca="1" si="223"/>
        <v>7.6045934525616874E-6</v>
      </c>
      <c r="U762" s="46">
        <f t="shared" ca="1" si="224"/>
        <v>1531.6995798612329</v>
      </c>
      <c r="V762" s="4">
        <f t="shared" ca="1" si="225"/>
        <v>4.6762226915457528E-3</v>
      </c>
      <c r="W762" s="13">
        <f t="shared" ca="1" si="226"/>
        <v>9825.5324999999993</v>
      </c>
      <c r="X762" s="4">
        <f t="shared" ca="1" si="227"/>
        <v>2.9996990687418526E-2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4.2804000000000009E-2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4.1117351612040113E-8</v>
      </c>
      <c r="L763" s="13">
        <f t="shared" ca="1" si="215"/>
        <v>159</v>
      </c>
      <c r="M763" s="7">
        <f t="shared" ca="1" si="216"/>
        <v>841</v>
      </c>
      <c r="N763" s="44">
        <f t="shared" ca="1" si="217"/>
        <v>8</v>
      </c>
      <c r="O763" s="94">
        <f t="shared" ca="1" si="218"/>
        <v>2.4908891993879614</v>
      </c>
      <c r="P763" s="94">
        <f t="shared" ca="1" si="219"/>
        <v>24.908891993879614</v>
      </c>
      <c r="Q763" s="94">
        <f t="shared" ca="1" si="220"/>
        <v>24.908891993879614</v>
      </c>
      <c r="R763" s="94">
        <f t="shared" ca="1" si="221"/>
        <v>2.4908891993879614</v>
      </c>
      <c r="S763" s="94">
        <f t="shared" ca="1" si="222"/>
        <v>2.4908891993879614</v>
      </c>
      <c r="T763" s="4">
        <f t="shared" ca="1" si="223"/>
        <v>1.0241876703786791E-7</v>
      </c>
      <c r="U763" s="46">
        <f t="shared" ca="1" si="224"/>
        <v>1512.6995798612329</v>
      </c>
      <c r="V763" s="4">
        <f t="shared" ca="1" si="225"/>
        <v>6.2198200508539666E-5</v>
      </c>
      <c r="W763" s="13">
        <f t="shared" ca="1" si="226"/>
        <v>7842.3974999999991</v>
      </c>
      <c r="X763" s="4">
        <f t="shared" ca="1" si="227"/>
        <v>3.2245861548888433E-4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4.2804000000000009E-2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3.1149508797000128E-10</v>
      </c>
      <c r="L764" s="13">
        <f t="shared" ca="1" si="215"/>
        <v>140</v>
      </c>
      <c r="M764" s="7">
        <f t="shared" ca="1" si="216"/>
        <v>860</v>
      </c>
      <c r="N764" s="44">
        <f t="shared" ca="1" si="217"/>
        <v>8</v>
      </c>
      <c r="O764" s="94">
        <f t="shared" ca="1" si="218"/>
        <v>2.4908891993879614</v>
      </c>
      <c r="P764" s="94">
        <f t="shared" ca="1" si="219"/>
        <v>24.908891993879614</v>
      </c>
      <c r="Q764" s="94">
        <f t="shared" ca="1" si="220"/>
        <v>24.908891993879614</v>
      </c>
      <c r="R764" s="94">
        <f t="shared" ca="1" si="221"/>
        <v>2.4908891993879614</v>
      </c>
      <c r="S764" s="94">
        <f t="shared" ca="1" si="222"/>
        <v>2.4908891993879614</v>
      </c>
      <c r="T764" s="4">
        <f t="shared" ca="1" si="223"/>
        <v>7.7589975028687906E-10</v>
      </c>
      <c r="U764" s="46">
        <f t="shared" ca="1" si="224"/>
        <v>1493.6995798612329</v>
      </c>
      <c r="V764" s="4">
        <f t="shared" ca="1" si="225"/>
        <v>4.6528008202962871E-7</v>
      </c>
      <c r="W764" s="13">
        <f t="shared" ca="1" si="226"/>
        <v>5859.2624999999998</v>
      </c>
      <c r="X764" s="4">
        <f t="shared" ca="1" si="227"/>
        <v>1.8251314878768295E-6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4.2804000000000009E-2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1.258566012000006E-12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2.4908891993879614</v>
      </c>
      <c r="P765" s="94">
        <f t="shared" ca="1" si="219"/>
        <v>24.908891993879614</v>
      </c>
      <c r="Q765" s="94">
        <f t="shared" ca="1" si="220"/>
        <v>24.908891993879614</v>
      </c>
      <c r="R765" s="94">
        <f t="shared" ca="1" si="221"/>
        <v>2.4908891993879614</v>
      </c>
      <c r="S765" s="94">
        <f t="shared" ca="1" si="222"/>
        <v>2.4908891993879614</v>
      </c>
      <c r="T765" s="4">
        <f t="shared" ca="1" si="223"/>
        <v>3.1349484860075941E-12</v>
      </c>
      <c r="U765" s="46">
        <f t="shared" ca="1" si="224"/>
        <v>1474.6995798612329</v>
      </c>
      <c r="V765" s="4">
        <f t="shared" ca="1" si="225"/>
        <v>1.8560067691240362E-9</v>
      </c>
      <c r="W765" s="13">
        <f t="shared" ca="1" si="226"/>
        <v>3876.1274999999996</v>
      </c>
      <c r="X765" s="4">
        <f t="shared" ca="1" si="227"/>
        <v>4.8783623296785526E-9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4.2804000000000009E-2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2.1187980000000118E-15</v>
      </c>
      <c r="L766" s="13">
        <f t="shared" ca="1" si="215"/>
        <v>102</v>
      </c>
      <c r="M766" s="7">
        <f t="shared" ca="1" si="216"/>
        <v>898</v>
      </c>
      <c r="N766" s="44">
        <f t="shared" ca="1" si="217"/>
        <v>8</v>
      </c>
      <c r="O766" s="94">
        <f t="shared" ca="1" si="218"/>
        <v>2.4908891993879614</v>
      </c>
      <c r="P766" s="94">
        <f t="shared" ca="1" si="219"/>
        <v>24.908891993879614</v>
      </c>
      <c r="Q766" s="94">
        <f t="shared" ca="1" si="220"/>
        <v>24.908891993879614</v>
      </c>
      <c r="R766" s="94">
        <f t="shared" ca="1" si="221"/>
        <v>2.4908891993879614</v>
      </c>
      <c r="S766" s="94">
        <f t="shared" ca="1" si="222"/>
        <v>2.4908891993879614</v>
      </c>
      <c r="T766" s="4">
        <f t="shared" ca="1" si="223"/>
        <v>5.2776910538848431E-15</v>
      </c>
      <c r="U766" s="46">
        <f t="shared" ca="1" si="224"/>
        <v>1455.6995798612329</v>
      </c>
      <c r="V766" s="4">
        <f t="shared" ca="1" si="225"/>
        <v>3.0843333584108379E-12</v>
      </c>
      <c r="W766" s="13">
        <f t="shared" ca="1" si="226"/>
        <v>1892.9924999999998</v>
      </c>
      <c r="X766" s="4">
        <f t="shared" ca="1" si="227"/>
        <v>4.0108687230150217E-12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4.2804000000000009E-2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133</v>
      </c>
      <c r="M767" s="7">
        <f t="shared" ca="1" si="216"/>
        <v>867</v>
      </c>
      <c r="N767" s="44">
        <f t="shared" ca="1" si="217"/>
        <v>8</v>
      </c>
      <c r="O767" s="94">
        <f t="shared" ca="1" si="218"/>
        <v>2.4908891993879614</v>
      </c>
      <c r="P767" s="94">
        <f t="shared" ca="1" si="219"/>
        <v>24.908891993879614</v>
      </c>
      <c r="Q767" s="94">
        <f t="shared" ca="1" si="220"/>
        <v>24.908891993879614</v>
      </c>
      <c r="R767" s="94">
        <f t="shared" ca="1" si="221"/>
        <v>2.4908891993879614</v>
      </c>
      <c r="S767" s="94">
        <f t="shared" ca="1" si="222"/>
        <v>2.4908891993879614</v>
      </c>
      <c r="T767" s="4">
        <f t="shared" ca="1" si="223"/>
        <v>0</v>
      </c>
      <c r="U767" s="46">
        <f t="shared" ca="1" si="224"/>
        <v>1486.6995798612329</v>
      </c>
      <c r="V767" s="4">
        <f t="shared" ca="1" si="225"/>
        <v>0</v>
      </c>
      <c r="W767" s="13">
        <f t="shared" ca="1" si="226"/>
        <v>13881.945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4.2804000000000009E-2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2.0149558157480223E-5</v>
      </c>
      <c r="L768" s="13">
        <f t="shared" ca="1" si="215"/>
        <v>114</v>
      </c>
      <c r="M768" s="7">
        <f t="shared" ca="1" si="216"/>
        <v>886</v>
      </c>
      <c r="N768" s="44">
        <f t="shared" ca="1" si="217"/>
        <v>8</v>
      </c>
      <c r="O768" s="94">
        <f t="shared" ca="1" si="218"/>
        <v>2.4908891993879614</v>
      </c>
      <c r="P768" s="94">
        <f t="shared" ca="1" si="219"/>
        <v>24.908891993879614</v>
      </c>
      <c r="Q768" s="94">
        <f t="shared" ca="1" si="220"/>
        <v>24.908891993879614</v>
      </c>
      <c r="R768" s="94">
        <f t="shared" ca="1" si="221"/>
        <v>2.4908891993879614</v>
      </c>
      <c r="S768" s="94">
        <f t="shared" ca="1" si="222"/>
        <v>2.4908891993879614</v>
      </c>
      <c r="T768" s="4">
        <f t="shared" ca="1" si="223"/>
        <v>5.0190316786907076E-5</v>
      </c>
      <c r="U768" s="46">
        <f t="shared" ca="1" si="224"/>
        <v>1467.6995798612329</v>
      </c>
      <c r="V768" s="4">
        <f t="shared" ca="1" si="225"/>
        <v>2.9573498042123201E-2</v>
      </c>
      <c r="W768" s="13">
        <f t="shared" ca="1" si="226"/>
        <v>11898.81</v>
      </c>
      <c r="X768" s="4">
        <f t="shared" ca="1" si="227"/>
        <v>0.23975576409980723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4.2804000000000009E-2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1.2211853428775901E-6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2.4908891993879614</v>
      </c>
      <c r="P769" s="94">
        <f t="shared" ca="1" si="219"/>
        <v>24.908891993879614</v>
      </c>
      <c r="Q769" s="94">
        <f t="shared" ca="1" si="220"/>
        <v>24.908891993879614</v>
      </c>
      <c r="R769" s="94">
        <f t="shared" ca="1" si="221"/>
        <v>2.4908891993879614</v>
      </c>
      <c r="S769" s="94">
        <f t="shared" ca="1" si="222"/>
        <v>2.4908891993879614</v>
      </c>
      <c r="T769" s="4">
        <f t="shared" ca="1" si="223"/>
        <v>3.0418373810246734E-6</v>
      </c>
      <c r="U769" s="46">
        <f t="shared" ca="1" si="224"/>
        <v>1453.6995798612329</v>
      </c>
      <c r="V769" s="4">
        <f t="shared" ca="1" si="225"/>
        <v>1.7752366198738483E-3</v>
      </c>
      <c r="W769" s="13">
        <f t="shared" ca="1" si="226"/>
        <v>9915.6749999999993</v>
      </c>
      <c r="X769" s="4">
        <f t="shared" ca="1" si="227"/>
        <v>1.2108876974737748E-2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4.2804000000000009E-2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3.0838013709030087E-8</v>
      </c>
      <c r="L770" s="13">
        <f t="shared" ca="1" si="215"/>
        <v>100</v>
      </c>
      <c r="M770" s="7">
        <f t="shared" ca="1" si="216"/>
        <v>900</v>
      </c>
      <c r="N770" s="44">
        <f t="shared" ca="1" si="217"/>
        <v>8</v>
      </c>
      <c r="O770" s="94">
        <f t="shared" ca="1" si="218"/>
        <v>2.4908891993879614</v>
      </c>
      <c r="P770" s="94">
        <f t="shared" ca="1" si="219"/>
        <v>24.908891993879614</v>
      </c>
      <c r="Q770" s="94">
        <f t="shared" ca="1" si="220"/>
        <v>24.908891993879614</v>
      </c>
      <c r="R770" s="94">
        <f t="shared" ca="1" si="221"/>
        <v>2.4908891993879614</v>
      </c>
      <c r="S770" s="94">
        <f t="shared" ca="1" si="222"/>
        <v>2.4908891993879614</v>
      </c>
      <c r="T770" s="4">
        <f t="shared" ca="1" si="223"/>
        <v>7.6814075278400932E-8</v>
      </c>
      <c r="U770" s="46">
        <f t="shared" ca="1" si="224"/>
        <v>1453.6995798612329</v>
      </c>
      <c r="V770" s="4">
        <f t="shared" ca="1" si="225"/>
        <v>4.4829207572571979E-5</v>
      </c>
      <c r="W770" s="13">
        <f t="shared" ca="1" si="226"/>
        <v>7932.54</v>
      </c>
      <c r="X770" s="4">
        <f t="shared" ca="1" si="227"/>
        <v>2.4462377726742953E-4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4.2804000000000009E-2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4.1532678396000153E-10</v>
      </c>
      <c r="L771" s="13">
        <f t="shared" ca="1" si="215"/>
        <v>100</v>
      </c>
      <c r="M771" s="7">
        <f t="shared" ca="1" si="216"/>
        <v>900</v>
      </c>
      <c r="N771" s="44">
        <f t="shared" ca="1" si="217"/>
        <v>8</v>
      </c>
      <c r="O771" s="94">
        <f t="shared" ca="1" si="218"/>
        <v>2.4908891993879614</v>
      </c>
      <c r="P771" s="94">
        <f t="shared" ca="1" si="219"/>
        <v>24.908891993879614</v>
      </c>
      <c r="Q771" s="94">
        <f t="shared" ca="1" si="220"/>
        <v>24.908891993879614</v>
      </c>
      <c r="R771" s="94">
        <f t="shared" ca="1" si="221"/>
        <v>2.4908891993879614</v>
      </c>
      <c r="S771" s="94">
        <f t="shared" ca="1" si="222"/>
        <v>2.4908891993879614</v>
      </c>
      <c r="T771" s="4">
        <f t="shared" ca="1" si="223"/>
        <v>1.0345330003825049E-9</v>
      </c>
      <c r="U771" s="46">
        <f t="shared" ca="1" si="224"/>
        <v>1453.6995798612329</v>
      </c>
      <c r="V771" s="4">
        <f t="shared" ca="1" si="225"/>
        <v>6.0376037134777126E-7</v>
      </c>
      <c r="W771" s="13">
        <f t="shared" ca="1" si="226"/>
        <v>5949.4049999999997</v>
      </c>
      <c r="X771" s="4">
        <f t="shared" ca="1" si="227"/>
        <v>2.4709472451255528E-6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4.2804000000000009E-2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3.1464150300000154E-12</v>
      </c>
      <c r="L772" s="13">
        <f t="shared" ca="1" si="215"/>
        <v>100</v>
      </c>
      <c r="M772" s="7">
        <f t="shared" ca="1" si="216"/>
        <v>900</v>
      </c>
      <c r="N772" s="44">
        <f t="shared" ca="1" si="217"/>
        <v>8</v>
      </c>
      <c r="O772" s="94">
        <f t="shared" ca="1" si="218"/>
        <v>2.4908891993879614</v>
      </c>
      <c r="P772" s="94">
        <f t="shared" ca="1" si="219"/>
        <v>24.908891993879614</v>
      </c>
      <c r="Q772" s="94">
        <f t="shared" ca="1" si="220"/>
        <v>24.908891993879614</v>
      </c>
      <c r="R772" s="94">
        <f t="shared" ca="1" si="221"/>
        <v>2.4908891993879614</v>
      </c>
      <c r="S772" s="94">
        <f t="shared" ca="1" si="222"/>
        <v>2.4908891993879614</v>
      </c>
      <c r="T772" s="4">
        <f t="shared" ca="1" si="223"/>
        <v>7.8373712150189876E-12</v>
      </c>
      <c r="U772" s="46">
        <f t="shared" ca="1" si="224"/>
        <v>1453.6995798612329</v>
      </c>
      <c r="V772" s="4">
        <f t="shared" ca="1" si="225"/>
        <v>4.5739422071800906E-9</v>
      </c>
      <c r="W772" s="13">
        <f t="shared" ca="1" si="226"/>
        <v>3966.27</v>
      </c>
      <c r="X772" s="4">
        <f t="shared" ca="1" si="227"/>
        <v>1.2479531541038162E-8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4.2804000000000009E-2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1.2712788000000071E-14</v>
      </c>
      <c r="L773" s="13">
        <f t="shared" ca="1" si="215"/>
        <v>100</v>
      </c>
      <c r="M773" s="7">
        <f t="shared" ca="1" si="216"/>
        <v>900</v>
      </c>
      <c r="N773" s="44">
        <f t="shared" ca="1" si="217"/>
        <v>8</v>
      </c>
      <c r="O773" s="94">
        <f t="shared" ca="1" si="218"/>
        <v>2.4908891993879614</v>
      </c>
      <c r="P773" s="94">
        <f t="shared" ca="1" si="219"/>
        <v>24.908891993879614</v>
      </c>
      <c r="Q773" s="94">
        <f t="shared" ca="1" si="220"/>
        <v>24.908891993879614</v>
      </c>
      <c r="R773" s="94">
        <f t="shared" ca="1" si="221"/>
        <v>2.4908891993879614</v>
      </c>
      <c r="S773" s="94">
        <f t="shared" ca="1" si="222"/>
        <v>2.4908891993879614</v>
      </c>
      <c r="T773" s="4">
        <f t="shared" ca="1" si="223"/>
        <v>3.1666146323309062E-14</v>
      </c>
      <c r="U773" s="46">
        <f t="shared" ca="1" si="224"/>
        <v>1453.6995798612329</v>
      </c>
      <c r="V773" s="4">
        <f t="shared" ca="1" si="225"/>
        <v>1.8480574574465028E-11</v>
      </c>
      <c r="W773" s="13">
        <f t="shared" ca="1" si="226"/>
        <v>1983.135</v>
      </c>
      <c r="X773" s="4">
        <f t="shared" ca="1" si="227"/>
        <v>2.5211174830380139E-11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4.2804000000000009E-2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2.1402000000000142E-17</v>
      </c>
      <c r="L774" s="13">
        <f t="shared" ca="1" si="215"/>
        <v>100</v>
      </c>
      <c r="M774" s="7">
        <f t="shared" ca="1" si="216"/>
        <v>900</v>
      </c>
      <c r="N774" s="44">
        <f t="shared" ca="1" si="217"/>
        <v>8</v>
      </c>
      <c r="O774" s="94">
        <f t="shared" ca="1" si="218"/>
        <v>2.4908891993879614</v>
      </c>
      <c r="P774" s="94">
        <f t="shared" ca="1" si="219"/>
        <v>24.908891993879614</v>
      </c>
      <c r="Q774" s="94">
        <f t="shared" ca="1" si="220"/>
        <v>24.908891993879614</v>
      </c>
      <c r="R774" s="94">
        <f t="shared" ca="1" si="221"/>
        <v>2.4908891993879614</v>
      </c>
      <c r="S774" s="94">
        <f t="shared" ca="1" si="222"/>
        <v>2.4908891993879614</v>
      </c>
      <c r="T774" s="4">
        <f t="shared" ca="1" si="223"/>
        <v>5.3310010645301504E-17</v>
      </c>
      <c r="U774" s="46">
        <f t="shared" ca="1" si="224"/>
        <v>1453.6995798612329</v>
      </c>
      <c r="V774" s="4">
        <f t="shared" ca="1" si="225"/>
        <v>3.1112078408190311E-14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337</v>
      </c>
      <c r="M775" s="7">
        <f t="shared" ca="1" si="216"/>
        <v>663</v>
      </c>
      <c r="N775" s="44">
        <f t="shared" ca="1" si="217"/>
        <v>6</v>
      </c>
      <c r="O775" s="94">
        <f t="shared" ca="1" si="218"/>
        <v>1.9922775034029279</v>
      </c>
      <c r="P775" s="94">
        <f t="shared" ca="1" si="219"/>
        <v>19.922775034029279</v>
      </c>
      <c r="Q775" s="94">
        <f t="shared" ca="1" si="220"/>
        <v>19.922775034029279</v>
      </c>
      <c r="R775" s="94">
        <f t="shared" ca="1" si="221"/>
        <v>1.9922775034029279</v>
      </c>
      <c r="S775" s="94">
        <f t="shared" ca="1" si="222"/>
        <v>1.9922775034029279</v>
      </c>
      <c r="T775" s="4">
        <f t="shared" ca="1" si="223"/>
        <v>0</v>
      </c>
      <c r="U775" s="46">
        <f t="shared" ca="1" si="224"/>
        <v>1472.3253840141317</v>
      </c>
      <c r="V775" s="4">
        <f t="shared" ca="1" si="225"/>
        <v>0</v>
      </c>
      <c r="W775" s="13">
        <f t="shared" ca="1" si="226"/>
        <v>17758.072499999998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318</v>
      </c>
      <c r="M776" s="7">
        <f t="shared" ca="1" si="216"/>
        <v>682</v>
      </c>
      <c r="N776" s="44">
        <f t="shared" ca="1" si="217"/>
        <v>7</v>
      </c>
      <c r="O776" s="94">
        <f t="shared" ca="1" si="218"/>
        <v>2.2444549919727916</v>
      </c>
      <c r="P776" s="94">
        <f t="shared" ca="1" si="219"/>
        <v>20.679307499738869</v>
      </c>
      <c r="Q776" s="94">
        <f t="shared" ca="1" si="220"/>
        <v>19.922775034029279</v>
      </c>
      <c r="R776" s="94">
        <f t="shared" ca="1" si="221"/>
        <v>2.0301041266884075</v>
      </c>
      <c r="S776" s="94">
        <f t="shared" ca="1" si="222"/>
        <v>2.2444549919727916</v>
      </c>
      <c r="T776" s="4">
        <f t="shared" ca="1" si="223"/>
        <v>0</v>
      </c>
      <c r="U776" s="46">
        <f t="shared" ca="1" si="224"/>
        <v>1563.7701584159711</v>
      </c>
      <c r="V776" s="4">
        <f t="shared" ca="1" si="225"/>
        <v>0</v>
      </c>
      <c r="W776" s="13">
        <f t="shared" ca="1" si="226"/>
        <v>15774.9375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299</v>
      </c>
      <c r="M777" s="7">
        <f t="shared" ca="1" si="216"/>
        <v>701</v>
      </c>
      <c r="N777" s="44">
        <f t="shared" ca="1" si="217"/>
        <v>7</v>
      </c>
      <c r="O777" s="94">
        <f t="shared" ca="1" si="218"/>
        <v>2.2444549919727916</v>
      </c>
      <c r="P777" s="94">
        <f t="shared" ca="1" si="219"/>
        <v>22.444549919727915</v>
      </c>
      <c r="Q777" s="94">
        <f t="shared" ca="1" si="220"/>
        <v>22.444549919727915</v>
      </c>
      <c r="R777" s="94">
        <f t="shared" ca="1" si="221"/>
        <v>2.2444549919727916</v>
      </c>
      <c r="S777" s="94">
        <f t="shared" ca="1" si="222"/>
        <v>2.2444549919727916</v>
      </c>
      <c r="T777" s="4">
        <f t="shared" ca="1" si="223"/>
        <v>0</v>
      </c>
      <c r="U777" s="46">
        <f t="shared" ca="1" si="224"/>
        <v>1544.7701584159711</v>
      </c>
      <c r="V777" s="4">
        <f t="shared" ca="1" si="225"/>
        <v>0</v>
      </c>
      <c r="W777" s="13">
        <f t="shared" ca="1" si="226"/>
        <v>13791.802499999998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280</v>
      </c>
      <c r="M778" s="7">
        <f t="shared" ca="1" si="216"/>
        <v>720</v>
      </c>
      <c r="N778" s="44">
        <f t="shared" ca="1" si="217"/>
        <v>7</v>
      </c>
      <c r="O778" s="94">
        <f t="shared" ca="1" si="218"/>
        <v>2.2444549919727916</v>
      </c>
      <c r="P778" s="94">
        <f t="shared" ca="1" si="219"/>
        <v>22.444549919727915</v>
      </c>
      <c r="Q778" s="94">
        <f t="shared" ca="1" si="220"/>
        <v>22.444549919727915</v>
      </c>
      <c r="R778" s="94">
        <f t="shared" ca="1" si="221"/>
        <v>2.2444549919727916</v>
      </c>
      <c r="S778" s="94">
        <f t="shared" ca="1" si="222"/>
        <v>2.2444549919727916</v>
      </c>
      <c r="T778" s="4">
        <f t="shared" ca="1" si="223"/>
        <v>0</v>
      </c>
      <c r="U778" s="46">
        <f t="shared" ca="1" si="224"/>
        <v>1525.7701584159711</v>
      </c>
      <c r="V778" s="4">
        <f t="shared" ca="1" si="225"/>
        <v>0</v>
      </c>
      <c r="W778" s="13">
        <f t="shared" ca="1" si="226"/>
        <v>11808.6675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261</v>
      </c>
      <c r="M779" s="7">
        <f t="shared" ca="1" si="216"/>
        <v>739</v>
      </c>
      <c r="N779" s="44">
        <f t="shared" ca="1" si="217"/>
        <v>7</v>
      </c>
      <c r="O779" s="94">
        <f t="shared" ca="1" si="218"/>
        <v>2.2444549919727916</v>
      </c>
      <c r="P779" s="94">
        <f t="shared" ca="1" si="219"/>
        <v>22.444549919727915</v>
      </c>
      <c r="Q779" s="94">
        <f t="shared" ca="1" si="220"/>
        <v>22.444549919727915</v>
      </c>
      <c r="R779" s="94">
        <f t="shared" ca="1" si="221"/>
        <v>2.2444549919727916</v>
      </c>
      <c r="S779" s="94">
        <f t="shared" ca="1" si="222"/>
        <v>2.2444549919727916</v>
      </c>
      <c r="T779" s="4">
        <f t="shared" ca="1" si="223"/>
        <v>0</v>
      </c>
      <c r="U779" s="46">
        <f t="shared" ca="1" si="224"/>
        <v>1506.7701584159711</v>
      </c>
      <c r="V779" s="4">
        <f t="shared" ca="1" si="225"/>
        <v>0</v>
      </c>
      <c r="W779" s="13">
        <f t="shared" ca="1" si="226"/>
        <v>9825.5324999999993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2.2444549919727916</v>
      </c>
      <c r="P780" s="94">
        <f t="shared" ca="1" si="219"/>
        <v>22.444549919727915</v>
      </c>
      <c r="Q780" s="94">
        <f t="shared" ca="1" si="220"/>
        <v>22.444549919727915</v>
      </c>
      <c r="R780" s="94">
        <f t="shared" ca="1" si="221"/>
        <v>2.2444549919727916</v>
      </c>
      <c r="S780" s="94">
        <f t="shared" ca="1" si="222"/>
        <v>2.2444549919727916</v>
      </c>
      <c r="T780" s="4">
        <f t="shared" ca="1" si="223"/>
        <v>0</v>
      </c>
      <c r="U780" s="46">
        <f t="shared" ca="1" si="224"/>
        <v>1487.7701584159711</v>
      </c>
      <c r="V780" s="4">
        <f t="shared" ca="1" si="225"/>
        <v>0</v>
      </c>
      <c r="W780" s="13">
        <f t="shared" ca="1" si="226"/>
        <v>7842.3974999999991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223</v>
      </c>
      <c r="M781" s="7">
        <f t="shared" ca="1" si="216"/>
        <v>777</v>
      </c>
      <c r="N781" s="44">
        <f t="shared" ca="1" si="217"/>
        <v>7</v>
      </c>
      <c r="O781" s="94">
        <f t="shared" ca="1" si="218"/>
        <v>2.2444549919727916</v>
      </c>
      <c r="P781" s="94">
        <f t="shared" ca="1" si="219"/>
        <v>22.444549919727915</v>
      </c>
      <c r="Q781" s="94">
        <f t="shared" ca="1" si="220"/>
        <v>22.444549919727915</v>
      </c>
      <c r="R781" s="94">
        <f t="shared" ca="1" si="221"/>
        <v>2.2444549919727916</v>
      </c>
      <c r="S781" s="94">
        <f t="shared" ca="1" si="222"/>
        <v>2.2444549919727916</v>
      </c>
      <c r="T781" s="4">
        <f t="shared" ca="1" si="223"/>
        <v>0</v>
      </c>
      <c r="U781" s="46">
        <f t="shared" ca="1" si="224"/>
        <v>1468.7701584159711</v>
      </c>
      <c r="V781" s="4">
        <f t="shared" ca="1" si="225"/>
        <v>0</v>
      </c>
      <c r="W781" s="13">
        <f t="shared" ca="1" si="226"/>
        <v>5859.2624999999998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204</v>
      </c>
      <c r="M782" s="7">
        <f t="shared" ca="1" si="216"/>
        <v>796</v>
      </c>
      <c r="N782" s="44">
        <f t="shared" ca="1" si="217"/>
        <v>8</v>
      </c>
      <c r="O782" s="94">
        <f t="shared" ca="1" si="218"/>
        <v>2.4908891993879614</v>
      </c>
      <c r="P782" s="94">
        <f t="shared" ca="1" si="219"/>
        <v>23.430286749388593</v>
      </c>
      <c r="Q782" s="94">
        <f t="shared" ca="1" si="220"/>
        <v>22.444549919727915</v>
      </c>
      <c r="R782" s="94">
        <f t="shared" ca="1" si="221"/>
        <v>2.2937418334558251</v>
      </c>
      <c r="S782" s="94">
        <f t="shared" ca="1" si="222"/>
        <v>2.4908891993879614</v>
      </c>
      <c r="T782" s="4">
        <f t="shared" ca="1" si="223"/>
        <v>0</v>
      </c>
      <c r="U782" s="46">
        <f t="shared" ca="1" si="224"/>
        <v>1557.6995798612329</v>
      </c>
      <c r="V782" s="4">
        <f t="shared" ca="1" si="225"/>
        <v>0</v>
      </c>
      <c r="W782" s="13">
        <f t="shared" ca="1" si="226"/>
        <v>3876.1274999999996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235</v>
      </c>
      <c r="M783" s="7">
        <f t="shared" ca="1" si="216"/>
        <v>765</v>
      </c>
      <c r="N783" s="44">
        <f t="shared" ca="1" si="217"/>
        <v>7</v>
      </c>
      <c r="O783" s="94">
        <f t="shared" ca="1" si="218"/>
        <v>2.2444549919727916</v>
      </c>
      <c r="P783" s="94">
        <f t="shared" ca="1" si="219"/>
        <v>22.444549919727915</v>
      </c>
      <c r="Q783" s="94">
        <f t="shared" ca="1" si="220"/>
        <v>22.444549919727915</v>
      </c>
      <c r="R783" s="94">
        <f t="shared" ca="1" si="221"/>
        <v>2.2444549919727916</v>
      </c>
      <c r="S783" s="94">
        <f t="shared" ca="1" si="222"/>
        <v>2.2444549919727916</v>
      </c>
      <c r="T783" s="4">
        <f t="shared" ca="1" si="223"/>
        <v>0</v>
      </c>
      <c r="U783" s="46">
        <f t="shared" ca="1" si="224"/>
        <v>1480.7701584159711</v>
      </c>
      <c r="V783" s="4">
        <f t="shared" ca="1" si="225"/>
        <v>0</v>
      </c>
      <c r="W783" s="13">
        <f t="shared" ca="1" si="226"/>
        <v>15865.08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216</v>
      </c>
      <c r="M784" s="7">
        <f t="shared" ca="1" si="216"/>
        <v>784</v>
      </c>
      <c r="N784" s="44">
        <f t="shared" ca="1" si="217"/>
        <v>7</v>
      </c>
      <c r="O784" s="94">
        <f t="shared" ca="1" si="218"/>
        <v>2.2444549919727916</v>
      </c>
      <c r="P784" s="94">
        <f t="shared" ca="1" si="219"/>
        <v>22.444549919727915</v>
      </c>
      <c r="Q784" s="94">
        <f t="shared" ca="1" si="220"/>
        <v>22.444549919727915</v>
      </c>
      <c r="R784" s="94">
        <f t="shared" ca="1" si="221"/>
        <v>2.2444549919727916</v>
      </c>
      <c r="S784" s="94">
        <f t="shared" ca="1" si="222"/>
        <v>2.2444549919727916</v>
      </c>
      <c r="T784" s="4">
        <f t="shared" ca="1" si="223"/>
        <v>0</v>
      </c>
      <c r="U784" s="46">
        <f t="shared" ca="1" si="224"/>
        <v>1461.7701584159711</v>
      </c>
      <c r="V784" s="4">
        <f t="shared" ca="1" si="225"/>
        <v>0</v>
      </c>
      <c r="W784" s="13">
        <f t="shared" ca="1" si="226"/>
        <v>13881.945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197</v>
      </c>
      <c r="M785" s="7">
        <f t="shared" ca="1" si="216"/>
        <v>803</v>
      </c>
      <c r="N785" s="44">
        <f t="shared" ca="1" si="217"/>
        <v>8</v>
      </c>
      <c r="O785" s="94">
        <f t="shared" ca="1" si="218"/>
        <v>2.4908891993879614</v>
      </c>
      <c r="P785" s="94">
        <f t="shared" ca="1" si="219"/>
        <v>24.908891993879614</v>
      </c>
      <c r="Q785" s="94">
        <f t="shared" ca="1" si="220"/>
        <v>22.690984127143082</v>
      </c>
      <c r="R785" s="94">
        <f t="shared" ca="1" si="221"/>
        <v>2.379993806051135</v>
      </c>
      <c r="S785" s="94">
        <f t="shared" ca="1" si="222"/>
        <v>2.4908891993879614</v>
      </c>
      <c r="T785" s="4">
        <f t="shared" ca="1" si="223"/>
        <v>0</v>
      </c>
      <c r="U785" s="46">
        <f t="shared" ca="1" si="224"/>
        <v>1550.6995798612329</v>
      </c>
      <c r="V785" s="4">
        <f t="shared" ca="1" si="225"/>
        <v>0</v>
      </c>
      <c r="W785" s="13">
        <f t="shared" ca="1" si="226"/>
        <v>11898.81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178</v>
      </c>
      <c r="M786" s="7">
        <f t="shared" ca="1" si="216"/>
        <v>822</v>
      </c>
      <c r="N786" s="44">
        <f t="shared" ca="1" si="217"/>
        <v>8</v>
      </c>
      <c r="O786" s="94">
        <f t="shared" ca="1" si="218"/>
        <v>2.4908891993879614</v>
      </c>
      <c r="P786" s="94">
        <f t="shared" ca="1" si="219"/>
        <v>24.908891993879614</v>
      </c>
      <c r="Q786" s="94">
        <f t="shared" ca="1" si="220"/>
        <v>24.908891993879614</v>
      </c>
      <c r="R786" s="94">
        <f t="shared" ca="1" si="221"/>
        <v>2.4908891993879614</v>
      </c>
      <c r="S786" s="94">
        <f t="shared" ca="1" si="222"/>
        <v>2.4908891993879614</v>
      </c>
      <c r="T786" s="4">
        <f t="shared" ca="1" si="223"/>
        <v>0</v>
      </c>
      <c r="U786" s="46">
        <f t="shared" ca="1" si="224"/>
        <v>1531.6995798612329</v>
      </c>
      <c r="V786" s="4">
        <f t="shared" ca="1" si="225"/>
        <v>0</v>
      </c>
      <c r="W786" s="13">
        <f t="shared" ca="1" si="226"/>
        <v>9915.6749999999993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159</v>
      </c>
      <c r="M787" s="7">
        <f t="shared" ca="1" si="216"/>
        <v>841</v>
      </c>
      <c r="N787" s="44">
        <f t="shared" ca="1" si="217"/>
        <v>8</v>
      </c>
      <c r="O787" s="94">
        <f t="shared" ca="1" si="218"/>
        <v>2.4908891993879614</v>
      </c>
      <c r="P787" s="94">
        <f t="shared" ca="1" si="219"/>
        <v>24.908891993879614</v>
      </c>
      <c r="Q787" s="94">
        <f t="shared" ca="1" si="220"/>
        <v>24.908891993879614</v>
      </c>
      <c r="R787" s="94">
        <f t="shared" ca="1" si="221"/>
        <v>2.4908891993879614</v>
      </c>
      <c r="S787" s="94">
        <f t="shared" ca="1" si="222"/>
        <v>2.4908891993879614</v>
      </c>
      <c r="T787" s="4">
        <f t="shared" ca="1" si="223"/>
        <v>0</v>
      </c>
      <c r="U787" s="46">
        <f t="shared" ca="1" si="224"/>
        <v>1512.6995798612329</v>
      </c>
      <c r="V787" s="4">
        <f t="shared" ca="1" si="225"/>
        <v>0</v>
      </c>
      <c r="W787" s="13">
        <f t="shared" ca="1" si="226"/>
        <v>7932.54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140</v>
      </c>
      <c r="M788" s="7">
        <f t="shared" ca="1" si="216"/>
        <v>860</v>
      </c>
      <c r="N788" s="44">
        <f t="shared" ca="1" si="217"/>
        <v>8</v>
      </c>
      <c r="O788" s="94">
        <f t="shared" ca="1" si="218"/>
        <v>2.4908891993879614</v>
      </c>
      <c r="P788" s="94">
        <f t="shared" ca="1" si="219"/>
        <v>24.908891993879614</v>
      </c>
      <c r="Q788" s="94">
        <f t="shared" ca="1" si="220"/>
        <v>24.908891993879614</v>
      </c>
      <c r="R788" s="94">
        <f t="shared" ca="1" si="221"/>
        <v>2.4908891993879614</v>
      </c>
      <c r="S788" s="94">
        <f t="shared" ca="1" si="222"/>
        <v>2.4908891993879614</v>
      </c>
      <c r="T788" s="4">
        <f t="shared" ca="1" si="223"/>
        <v>0</v>
      </c>
      <c r="U788" s="46">
        <f t="shared" ca="1" si="224"/>
        <v>1493.6995798612329</v>
      </c>
      <c r="V788" s="4">
        <f t="shared" ca="1" si="225"/>
        <v>0</v>
      </c>
      <c r="W788" s="13">
        <f t="shared" ca="1" si="226"/>
        <v>5949.4049999999997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2.4908891993879614</v>
      </c>
      <c r="P789" s="94">
        <f t="shared" ca="1" si="219"/>
        <v>24.908891993879614</v>
      </c>
      <c r="Q789" s="94">
        <f t="shared" ca="1" si="220"/>
        <v>24.908891993879614</v>
      </c>
      <c r="R789" s="94">
        <f t="shared" ca="1" si="221"/>
        <v>2.4908891993879614</v>
      </c>
      <c r="S789" s="94">
        <f t="shared" ca="1" si="222"/>
        <v>2.4908891993879614</v>
      </c>
      <c r="T789" s="4">
        <f t="shared" ca="1" si="223"/>
        <v>0</v>
      </c>
      <c r="U789" s="46">
        <f t="shared" ca="1" si="224"/>
        <v>1474.6995798612329</v>
      </c>
      <c r="V789" s="4">
        <f t="shared" ca="1" si="225"/>
        <v>0</v>
      </c>
      <c r="W789" s="13">
        <f t="shared" ca="1" si="226"/>
        <v>3966.27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102</v>
      </c>
      <c r="M790" s="7">
        <f t="shared" ca="1" si="216"/>
        <v>898</v>
      </c>
      <c r="N790" s="44">
        <f t="shared" ca="1" si="217"/>
        <v>8</v>
      </c>
      <c r="O790" s="94">
        <f t="shared" ca="1" si="218"/>
        <v>2.4908891993879614</v>
      </c>
      <c r="P790" s="94">
        <f t="shared" ca="1" si="219"/>
        <v>24.908891993879614</v>
      </c>
      <c r="Q790" s="94">
        <f t="shared" ca="1" si="220"/>
        <v>24.908891993879614</v>
      </c>
      <c r="R790" s="94">
        <f t="shared" ca="1" si="221"/>
        <v>2.4908891993879614</v>
      </c>
      <c r="S790" s="94">
        <f t="shared" ca="1" si="222"/>
        <v>2.4908891993879614</v>
      </c>
      <c r="T790" s="4">
        <f t="shared" ca="1" si="223"/>
        <v>0</v>
      </c>
      <c r="U790" s="46">
        <f t="shared" ca="1" si="224"/>
        <v>1455.6995798612329</v>
      </c>
      <c r="V790" s="4">
        <f t="shared" ca="1" si="225"/>
        <v>0</v>
      </c>
      <c r="W790" s="13">
        <f t="shared" ca="1" si="226"/>
        <v>1983.135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235</v>
      </c>
      <c r="M791" s="7">
        <f t="shared" ca="1" si="216"/>
        <v>765</v>
      </c>
      <c r="N791" s="44">
        <f t="shared" ca="1" si="217"/>
        <v>7</v>
      </c>
      <c r="O791" s="94">
        <f t="shared" ca="1" si="218"/>
        <v>2.2444549919727916</v>
      </c>
      <c r="P791" s="94">
        <f t="shared" ca="1" si="219"/>
        <v>22.444549919727915</v>
      </c>
      <c r="Q791" s="94">
        <f t="shared" ca="1" si="220"/>
        <v>22.444549919727915</v>
      </c>
      <c r="R791" s="94">
        <f t="shared" ca="1" si="221"/>
        <v>2.2444549919727916</v>
      </c>
      <c r="S791" s="94">
        <f t="shared" ca="1" si="222"/>
        <v>2.2444549919727916</v>
      </c>
      <c r="T791" s="4">
        <f t="shared" ca="1" si="223"/>
        <v>0</v>
      </c>
      <c r="U791" s="46">
        <f t="shared" ca="1" si="224"/>
        <v>1480.7701584159711</v>
      </c>
      <c r="V791" s="4">
        <f t="shared" ca="1" si="225"/>
        <v>0</v>
      </c>
      <c r="W791" s="13">
        <f t="shared" ca="1" si="226"/>
        <v>15774.9375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216</v>
      </c>
      <c r="M792" s="7">
        <f t="shared" ca="1" si="216"/>
        <v>784</v>
      </c>
      <c r="N792" s="44">
        <f t="shared" ca="1" si="217"/>
        <v>7</v>
      </c>
      <c r="O792" s="94">
        <f t="shared" ca="1" si="218"/>
        <v>2.2444549919727916</v>
      </c>
      <c r="P792" s="94">
        <f t="shared" ca="1" si="219"/>
        <v>22.444549919727915</v>
      </c>
      <c r="Q792" s="94">
        <f t="shared" ca="1" si="220"/>
        <v>22.444549919727915</v>
      </c>
      <c r="R792" s="94">
        <f t="shared" ca="1" si="221"/>
        <v>2.2444549919727916</v>
      </c>
      <c r="S792" s="94">
        <f t="shared" ca="1" si="222"/>
        <v>2.2444549919727916</v>
      </c>
      <c r="T792" s="4">
        <f t="shared" ca="1" si="223"/>
        <v>0</v>
      </c>
      <c r="U792" s="46">
        <f t="shared" ca="1" si="224"/>
        <v>1461.7701584159711</v>
      </c>
      <c r="V792" s="4">
        <f t="shared" ca="1" si="225"/>
        <v>0</v>
      </c>
      <c r="W792" s="13">
        <f t="shared" ca="1" si="226"/>
        <v>13791.8025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197</v>
      </c>
      <c r="M793" s="7">
        <f t="shared" ca="1" si="216"/>
        <v>803</v>
      </c>
      <c r="N793" s="44">
        <f t="shared" ca="1" si="217"/>
        <v>8</v>
      </c>
      <c r="O793" s="94">
        <f t="shared" ca="1" si="218"/>
        <v>2.4908891993879614</v>
      </c>
      <c r="P793" s="94">
        <f t="shared" ca="1" si="219"/>
        <v>24.908891993879614</v>
      </c>
      <c r="Q793" s="94">
        <f t="shared" ca="1" si="220"/>
        <v>22.690984127143082</v>
      </c>
      <c r="R793" s="94">
        <f t="shared" ca="1" si="221"/>
        <v>2.379993806051135</v>
      </c>
      <c r="S793" s="94">
        <f t="shared" ca="1" si="222"/>
        <v>2.4908891993879614</v>
      </c>
      <c r="T793" s="4">
        <f t="shared" ca="1" si="223"/>
        <v>0</v>
      </c>
      <c r="U793" s="46">
        <f t="shared" ca="1" si="224"/>
        <v>1550.6995798612329</v>
      </c>
      <c r="V793" s="4">
        <f t="shared" ca="1" si="225"/>
        <v>0</v>
      </c>
      <c r="W793" s="13">
        <f t="shared" ca="1" si="226"/>
        <v>11808.6675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178</v>
      </c>
      <c r="M794" s="7">
        <f t="shared" ca="1" si="216"/>
        <v>822</v>
      </c>
      <c r="N794" s="44">
        <f t="shared" ca="1" si="217"/>
        <v>8</v>
      </c>
      <c r="O794" s="94">
        <f t="shared" ca="1" si="218"/>
        <v>2.4908891993879614</v>
      </c>
      <c r="P794" s="94">
        <f t="shared" ca="1" si="219"/>
        <v>24.908891993879614</v>
      </c>
      <c r="Q794" s="94">
        <f t="shared" ca="1" si="220"/>
        <v>24.908891993879614</v>
      </c>
      <c r="R794" s="94">
        <f t="shared" ca="1" si="221"/>
        <v>2.4908891993879614</v>
      </c>
      <c r="S794" s="94">
        <f t="shared" ca="1" si="222"/>
        <v>2.4908891993879614</v>
      </c>
      <c r="T794" s="4">
        <f t="shared" ca="1" si="223"/>
        <v>0</v>
      </c>
      <c r="U794" s="46">
        <f t="shared" ca="1" si="224"/>
        <v>1531.6995798612329</v>
      </c>
      <c r="V794" s="4">
        <f t="shared" ca="1" si="225"/>
        <v>0</v>
      </c>
      <c r="W794" s="13">
        <f t="shared" ca="1" si="226"/>
        <v>9825.5324999999993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159</v>
      </c>
      <c r="M795" s="7">
        <f t="shared" ca="1" si="216"/>
        <v>841</v>
      </c>
      <c r="N795" s="44">
        <f t="shared" ca="1" si="217"/>
        <v>8</v>
      </c>
      <c r="O795" s="94">
        <f t="shared" ca="1" si="218"/>
        <v>2.4908891993879614</v>
      </c>
      <c r="P795" s="94">
        <f t="shared" ca="1" si="219"/>
        <v>24.908891993879614</v>
      </c>
      <c r="Q795" s="94">
        <f t="shared" ca="1" si="220"/>
        <v>24.908891993879614</v>
      </c>
      <c r="R795" s="94">
        <f t="shared" ca="1" si="221"/>
        <v>2.4908891993879614</v>
      </c>
      <c r="S795" s="94">
        <f t="shared" ca="1" si="222"/>
        <v>2.4908891993879614</v>
      </c>
      <c r="T795" s="4">
        <f t="shared" ca="1" si="223"/>
        <v>0</v>
      </c>
      <c r="U795" s="46">
        <f t="shared" ca="1" si="224"/>
        <v>1512.6995798612329</v>
      </c>
      <c r="V795" s="4">
        <f t="shared" ca="1" si="225"/>
        <v>0</v>
      </c>
      <c r="W795" s="13">
        <f t="shared" ca="1" si="226"/>
        <v>7842.3974999999991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140</v>
      </c>
      <c r="M796" s="7">
        <f t="shared" ca="1" si="216"/>
        <v>860</v>
      </c>
      <c r="N796" s="44">
        <f t="shared" ca="1" si="217"/>
        <v>8</v>
      </c>
      <c r="O796" s="94">
        <f t="shared" ca="1" si="218"/>
        <v>2.4908891993879614</v>
      </c>
      <c r="P796" s="94">
        <f t="shared" ca="1" si="219"/>
        <v>24.908891993879614</v>
      </c>
      <c r="Q796" s="94">
        <f t="shared" ca="1" si="220"/>
        <v>24.908891993879614</v>
      </c>
      <c r="R796" s="94">
        <f t="shared" ca="1" si="221"/>
        <v>2.4908891993879614</v>
      </c>
      <c r="S796" s="94">
        <f t="shared" ca="1" si="222"/>
        <v>2.4908891993879614</v>
      </c>
      <c r="T796" s="4">
        <f t="shared" ca="1" si="223"/>
        <v>0</v>
      </c>
      <c r="U796" s="46">
        <f t="shared" ca="1" si="224"/>
        <v>1493.6995798612329</v>
      </c>
      <c r="V796" s="4">
        <f t="shared" ca="1" si="225"/>
        <v>0</v>
      </c>
      <c r="W796" s="13">
        <f t="shared" ca="1" si="226"/>
        <v>5859.2624999999998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2.4908891993879614</v>
      </c>
      <c r="P797" s="94">
        <f t="shared" ca="1" si="219"/>
        <v>24.908891993879614</v>
      </c>
      <c r="Q797" s="94">
        <f t="shared" ca="1" si="220"/>
        <v>24.908891993879614</v>
      </c>
      <c r="R797" s="94">
        <f t="shared" ca="1" si="221"/>
        <v>2.4908891993879614</v>
      </c>
      <c r="S797" s="94">
        <f t="shared" ca="1" si="222"/>
        <v>2.4908891993879614</v>
      </c>
      <c r="T797" s="4">
        <f t="shared" ca="1" si="223"/>
        <v>0</v>
      </c>
      <c r="U797" s="46">
        <f t="shared" ca="1" si="224"/>
        <v>1474.6995798612329</v>
      </c>
      <c r="V797" s="4">
        <f t="shared" ca="1" si="225"/>
        <v>0</v>
      </c>
      <c r="W797" s="13">
        <f t="shared" ca="1" si="226"/>
        <v>3876.1274999999996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102</v>
      </c>
      <c r="M798" s="7">
        <f t="shared" ca="1" si="216"/>
        <v>898</v>
      </c>
      <c r="N798" s="44">
        <f t="shared" ca="1" si="217"/>
        <v>8</v>
      </c>
      <c r="O798" s="94">
        <f t="shared" ca="1" si="218"/>
        <v>2.4908891993879614</v>
      </c>
      <c r="P798" s="94">
        <f t="shared" ca="1" si="219"/>
        <v>24.908891993879614</v>
      </c>
      <c r="Q798" s="94">
        <f t="shared" ca="1" si="220"/>
        <v>24.908891993879614</v>
      </c>
      <c r="R798" s="94">
        <f t="shared" ca="1" si="221"/>
        <v>2.4908891993879614</v>
      </c>
      <c r="S798" s="94">
        <f t="shared" ca="1" si="222"/>
        <v>2.4908891993879614</v>
      </c>
      <c r="T798" s="4">
        <f t="shared" ca="1" si="223"/>
        <v>0</v>
      </c>
      <c r="U798" s="46">
        <f t="shared" ca="1" si="224"/>
        <v>1455.6995798612329</v>
      </c>
      <c r="V798" s="4">
        <f t="shared" ca="1" si="225"/>
        <v>0</v>
      </c>
      <c r="W798" s="13">
        <f t="shared" ca="1" si="226"/>
        <v>1892.9924999999998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133</v>
      </c>
      <c r="M799" s="7">
        <f t="shared" ca="1" si="216"/>
        <v>867</v>
      </c>
      <c r="N799" s="44">
        <f t="shared" ca="1" si="217"/>
        <v>8</v>
      </c>
      <c r="O799" s="94">
        <f t="shared" ca="1" si="218"/>
        <v>2.4908891993879614</v>
      </c>
      <c r="P799" s="94">
        <f t="shared" ca="1" si="219"/>
        <v>24.908891993879614</v>
      </c>
      <c r="Q799" s="94">
        <f t="shared" ca="1" si="220"/>
        <v>24.908891993879614</v>
      </c>
      <c r="R799" s="94">
        <f t="shared" ca="1" si="221"/>
        <v>2.4908891993879614</v>
      </c>
      <c r="S799" s="94">
        <f t="shared" ca="1" si="222"/>
        <v>2.4908891993879614</v>
      </c>
      <c r="T799" s="4">
        <f t="shared" ca="1" si="223"/>
        <v>0</v>
      </c>
      <c r="U799" s="46">
        <f t="shared" ca="1" si="224"/>
        <v>1486.6995798612329</v>
      </c>
      <c r="V799" s="4">
        <f t="shared" ca="1" si="225"/>
        <v>0</v>
      </c>
      <c r="W799" s="13">
        <f t="shared" ca="1" si="226"/>
        <v>13881.945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114</v>
      </c>
      <c r="M800" s="7">
        <f t="shared" ca="1" si="216"/>
        <v>886</v>
      </c>
      <c r="N800" s="44">
        <f t="shared" ca="1" si="217"/>
        <v>8</v>
      </c>
      <c r="O800" s="94">
        <f t="shared" ca="1" si="218"/>
        <v>2.4908891993879614</v>
      </c>
      <c r="P800" s="94">
        <f t="shared" ca="1" si="219"/>
        <v>24.908891993879614</v>
      </c>
      <c r="Q800" s="94">
        <f t="shared" ca="1" si="220"/>
        <v>24.908891993879614</v>
      </c>
      <c r="R800" s="94">
        <f t="shared" ca="1" si="221"/>
        <v>2.4908891993879614</v>
      </c>
      <c r="S800" s="94">
        <f t="shared" ca="1" si="222"/>
        <v>2.4908891993879614</v>
      </c>
      <c r="T800" s="4">
        <f t="shared" ca="1" si="223"/>
        <v>0</v>
      </c>
      <c r="U800" s="46">
        <f t="shared" ca="1" si="224"/>
        <v>1467.6995798612329</v>
      </c>
      <c r="V800" s="4">
        <f t="shared" ca="1" si="225"/>
        <v>0</v>
      </c>
      <c r="W800" s="13">
        <f t="shared" ca="1" si="226"/>
        <v>11898.81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2.4908891993879614</v>
      </c>
      <c r="P801" s="94">
        <f t="shared" ca="1" si="219"/>
        <v>24.908891993879614</v>
      </c>
      <c r="Q801" s="94">
        <f t="shared" ca="1" si="220"/>
        <v>24.908891993879614</v>
      </c>
      <c r="R801" s="94">
        <f t="shared" ca="1" si="221"/>
        <v>2.4908891993879614</v>
      </c>
      <c r="S801" s="94">
        <f t="shared" ca="1" si="222"/>
        <v>2.4908891993879614</v>
      </c>
      <c r="T801" s="4">
        <f t="shared" ca="1" si="223"/>
        <v>0</v>
      </c>
      <c r="U801" s="46">
        <f t="shared" ca="1" si="224"/>
        <v>1453.6995798612329</v>
      </c>
      <c r="V801" s="4">
        <f t="shared" ca="1" si="225"/>
        <v>0</v>
      </c>
      <c r="W801" s="13">
        <f t="shared" ca="1" si="226"/>
        <v>9915.6749999999993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100</v>
      </c>
      <c r="M802" s="7">
        <f t="shared" ca="1" si="216"/>
        <v>900</v>
      </c>
      <c r="N802" s="44">
        <f t="shared" ca="1" si="217"/>
        <v>8</v>
      </c>
      <c r="O802" s="94">
        <f t="shared" ca="1" si="218"/>
        <v>2.4908891993879614</v>
      </c>
      <c r="P802" s="94">
        <f t="shared" ca="1" si="219"/>
        <v>24.908891993879614</v>
      </c>
      <c r="Q802" s="94">
        <f t="shared" ca="1" si="220"/>
        <v>24.908891993879614</v>
      </c>
      <c r="R802" s="94">
        <f t="shared" ca="1" si="221"/>
        <v>2.4908891993879614</v>
      </c>
      <c r="S802" s="94">
        <f t="shared" ca="1" si="222"/>
        <v>2.4908891993879614</v>
      </c>
      <c r="T802" s="4">
        <f t="shared" ca="1" si="223"/>
        <v>0</v>
      </c>
      <c r="U802" s="46">
        <f t="shared" ca="1" si="224"/>
        <v>1453.6995798612329</v>
      </c>
      <c r="V802" s="4">
        <f t="shared" ca="1" si="225"/>
        <v>0</v>
      </c>
      <c r="W802" s="13">
        <f t="shared" ca="1" si="226"/>
        <v>7932.54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100</v>
      </c>
      <c r="M803" s="7">
        <f t="shared" ca="1" si="216"/>
        <v>900</v>
      </c>
      <c r="N803" s="44">
        <f t="shared" ca="1" si="217"/>
        <v>8</v>
      </c>
      <c r="O803" s="94">
        <f t="shared" ca="1" si="218"/>
        <v>2.4908891993879614</v>
      </c>
      <c r="P803" s="94">
        <f t="shared" ca="1" si="219"/>
        <v>24.908891993879614</v>
      </c>
      <c r="Q803" s="94">
        <f t="shared" ca="1" si="220"/>
        <v>24.908891993879614</v>
      </c>
      <c r="R803" s="94">
        <f t="shared" ca="1" si="221"/>
        <v>2.4908891993879614</v>
      </c>
      <c r="S803" s="94">
        <f t="shared" ca="1" si="222"/>
        <v>2.4908891993879614</v>
      </c>
      <c r="T803" s="4">
        <f t="shared" ca="1" si="223"/>
        <v>0</v>
      </c>
      <c r="U803" s="46">
        <f t="shared" ca="1" si="224"/>
        <v>1453.6995798612329</v>
      </c>
      <c r="V803" s="4">
        <f t="shared" ca="1" si="225"/>
        <v>0</v>
      </c>
      <c r="W803" s="13">
        <f t="shared" ca="1" si="226"/>
        <v>5949.4049999999997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100</v>
      </c>
      <c r="M804" s="7">
        <f t="shared" ca="1" si="216"/>
        <v>900</v>
      </c>
      <c r="N804" s="44">
        <f t="shared" ca="1" si="217"/>
        <v>8</v>
      </c>
      <c r="O804" s="94">
        <f t="shared" ca="1" si="218"/>
        <v>2.4908891993879614</v>
      </c>
      <c r="P804" s="94">
        <f t="shared" ca="1" si="219"/>
        <v>24.908891993879614</v>
      </c>
      <c r="Q804" s="94">
        <f t="shared" ca="1" si="220"/>
        <v>24.908891993879614</v>
      </c>
      <c r="R804" s="94">
        <f t="shared" ca="1" si="221"/>
        <v>2.4908891993879614</v>
      </c>
      <c r="S804" s="94">
        <f t="shared" ca="1" si="222"/>
        <v>2.4908891993879614</v>
      </c>
      <c r="T804" s="4">
        <f t="shared" ca="1" si="223"/>
        <v>0</v>
      </c>
      <c r="U804" s="46">
        <f t="shared" ca="1" si="224"/>
        <v>1453.6995798612329</v>
      </c>
      <c r="V804" s="4">
        <f t="shared" ca="1" si="225"/>
        <v>0</v>
      </c>
      <c r="W804" s="13">
        <f t="shared" ca="1" si="226"/>
        <v>3966.27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100</v>
      </c>
      <c r="M805" s="7">
        <f t="shared" ca="1" si="216"/>
        <v>900</v>
      </c>
      <c r="N805" s="44">
        <f t="shared" ca="1" si="217"/>
        <v>8</v>
      </c>
      <c r="O805" s="94">
        <f t="shared" ca="1" si="218"/>
        <v>2.4908891993879614</v>
      </c>
      <c r="P805" s="94">
        <f t="shared" ca="1" si="219"/>
        <v>24.908891993879614</v>
      </c>
      <c r="Q805" s="94">
        <f t="shared" ca="1" si="220"/>
        <v>24.908891993879614</v>
      </c>
      <c r="R805" s="94">
        <f t="shared" ca="1" si="221"/>
        <v>2.4908891993879614</v>
      </c>
      <c r="S805" s="94">
        <f t="shared" ca="1" si="222"/>
        <v>2.4908891993879614</v>
      </c>
      <c r="T805" s="4">
        <f t="shared" ca="1" si="223"/>
        <v>0</v>
      </c>
      <c r="U805" s="46">
        <f t="shared" ca="1" si="224"/>
        <v>1453.6995798612329</v>
      </c>
      <c r="V805" s="4">
        <f t="shared" ca="1" si="225"/>
        <v>0</v>
      </c>
      <c r="W805" s="13">
        <f t="shared" ca="1" si="226"/>
        <v>1983.135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100</v>
      </c>
      <c r="M806" s="7">
        <f t="shared" ca="1" si="216"/>
        <v>900</v>
      </c>
      <c r="N806" s="44">
        <f t="shared" ca="1" si="217"/>
        <v>8</v>
      </c>
      <c r="O806" s="94">
        <f t="shared" ca="1" si="218"/>
        <v>2.4908891993879614</v>
      </c>
      <c r="P806" s="94">
        <f t="shared" ca="1" si="219"/>
        <v>24.908891993879614</v>
      </c>
      <c r="Q806" s="94">
        <f t="shared" ca="1" si="220"/>
        <v>24.908891993879614</v>
      </c>
      <c r="R806" s="94">
        <f t="shared" ca="1" si="221"/>
        <v>2.4908891993879614</v>
      </c>
      <c r="S806" s="94">
        <f t="shared" ca="1" si="222"/>
        <v>2.4908891993879614</v>
      </c>
      <c r="T806" s="4">
        <f t="shared" ca="1" si="223"/>
        <v>0</v>
      </c>
      <c r="U806" s="46">
        <f t="shared" ca="1" si="224"/>
        <v>1453.6995798612329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0.104796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337</v>
      </c>
      <c r="M807" s="7">
        <f t="shared" ref="M807:M870" ca="1" si="235">MAX(Set2MinTP-(L807+Set2Regain), 0)</f>
        <v>663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1.9922775034029279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19.922775034029279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19.922775034029279</v>
      </c>
      <c r="R807" s="94">
        <f t="shared" ref="R807:R870" ca="1" si="240">(P807+Q807)/20</f>
        <v>1.9922775034029279</v>
      </c>
      <c r="S807" s="94">
        <f t="shared" ref="S807:S870" ca="1" si="241">R807*Set2ConserveTP + O807*(1-Set2ConserveTP)</f>
        <v>1.9922775034029279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1472.3253840141317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17758.072499999998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0.104796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9.2792884189297875E-2</v>
      </c>
      <c r="L808" s="13">
        <f t="shared" ca="1" si="234"/>
        <v>318</v>
      </c>
      <c r="M808" s="7">
        <f t="shared" ca="1" si="235"/>
        <v>682</v>
      </c>
      <c r="N808" s="44">
        <f t="shared" ca="1" si="236"/>
        <v>7</v>
      </c>
      <c r="O808" s="94">
        <f t="shared" ca="1" si="237"/>
        <v>2.2444549919727916</v>
      </c>
      <c r="P808" s="94">
        <f t="shared" ca="1" si="238"/>
        <v>20.679307499738869</v>
      </c>
      <c r="Q808" s="94">
        <f t="shared" ca="1" si="239"/>
        <v>19.922775034029279</v>
      </c>
      <c r="R808" s="94">
        <f t="shared" ca="1" si="240"/>
        <v>2.0301041266884075</v>
      </c>
      <c r="S808" s="94">
        <f t="shared" ca="1" si="241"/>
        <v>2.2444549919727916</v>
      </c>
      <c r="T808" s="4">
        <f t="shared" ca="1" si="242"/>
        <v>0.20826945213822273</v>
      </c>
      <c r="U808" s="46">
        <f t="shared" ca="1" si="243"/>
        <v>1563.7701584159711</v>
      </c>
      <c r="V808" s="4">
        <f t="shared" ca="1" si="244"/>
        <v>145.10674320857319</v>
      </c>
      <c r="W808" s="13">
        <f t="shared" ca="1" si="245"/>
        <v>15774.9375</v>
      </c>
      <c r="X808" s="4">
        <f t="shared" ca="1" si="246"/>
        <v>1463.8019485309121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0.104796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5.6238111629877546E-3</v>
      </c>
      <c r="L809" s="13">
        <f t="shared" ca="1" si="234"/>
        <v>299</v>
      </c>
      <c r="M809" s="7">
        <f t="shared" ca="1" si="235"/>
        <v>701</v>
      </c>
      <c r="N809" s="44">
        <f t="shared" ca="1" si="236"/>
        <v>7</v>
      </c>
      <c r="O809" s="94">
        <f t="shared" ca="1" si="237"/>
        <v>2.2444549919727916</v>
      </c>
      <c r="P809" s="94">
        <f t="shared" ca="1" si="238"/>
        <v>22.444549919727915</v>
      </c>
      <c r="Q809" s="94">
        <f t="shared" ca="1" si="239"/>
        <v>22.444549919727915</v>
      </c>
      <c r="R809" s="94">
        <f t="shared" ca="1" si="240"/>
        <v>2.2444549919727916</v>
      </c>
      <c r="S809" s="94">
        <f t="shared" ca="1" si="241"/>
        <v>2.2444549919727916</v>
      </c>
      <c r="T809" s="4">
        <f t="shared" ca="1" si="242"/>
        <v>1.2622391038680177E-2</v>
      </c>
      <c r="U809" s="46">
        <f t="shared" ca="1" si="243"/>
        <v>1544.7701584159711</v>
      </c>
      <c r="V809" s="4">
        <f t="shared" ca="1" si="244"/>
        <v>8.6874956611501002</v>
      </c>
      <c r="W809" s="13">
        <f t="shared" ca="1" si="245"/>
        <v>13791.802499999998</v>
      </c>
      <c r="X809" s="4">
        <f t="shared" ca="1" si="246"/>
        <v>77.562492857222409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0.104796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1.4201543340878185E-4</v>
      </c>
      <c r="L810" s="13">
        <f t="shared" ca="1" si="234"/>
        <v>280</v>
      </c>
      <c r="M810" s="7">
        <f t="shared" ca="1" si="235"/>
        <v>720</v>
      </c>
      <c r="N810" s="44">
        <f t="shared" ca="1" si="236"/>
        <v>7</v>
      </c>
      <c r="O810" s="94">
        <f t="shared" ca="1" si="237"/>
        <v>2.2444549919727916</v>
      </c>
      <c r="P810" s="94">
        <f t="shared" ca="1" si="238"/>
        <v>22.444549919727915</v>
      </c>
      <c r="Q810" s="94">
        <f t="shared" ca="1" si="239"/>
        <v>22.444549919727915</v>
      </c>
      <c r="R810" s="94">
        <f t="shared" ca="1" si="240"/>
        <v>2.2444549919727916</v>
      </c>
      <c r="S810" s="94">
        <f t="shared" ca="1" si="241"/>
        <v>2.2444549919727916</v>
      </c>
      <c r="T810" s="4">
        <f t="shared" ca="1" si="242"/>
        <v>3.1874724845151997E-4</v>
      </c>
      <c r="U810" s="46">
        <f t="shared" ca="1" si="243"/>
        <v>1525.7701584159711</v>
      </c>
      <c r="V810" s="4">
        <f t="shared" ca="1" si="244"/>
        <v>0.21668291032962986</v>
      </c>
      <c r="W810" s="13">
        <f t="shared" ca="1" si="245"/>
        <v>11808.6675</v>
      </c>
      <c r="X810" s="4">
        <f t="shared" ca="1" si="246"/>
        <v>1.6770130329926964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0.104796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1.9126657698152448E-6</v>
      </c>
      <c r="L811" s="13">
        <f t="shared" ca="1" si="234"/>
        <v>261</v>
      </c>
      <c r="M811" s="7">
        <f t="shared" ca="1" si="235"/>
        <v>739</v>
      </c>
      <c r="N811" s="44">
        <f t="shared" ca="1" si="236"/>
        <v>7</v>
      </c>
      <c r="O811" s="94">
        <f t="shared" ca="1" si="237"/>
        <v>2.2444549919727916</v>
      </c>
      <c r="P811" s="94">
        <f t="shared" ca="1" si="238"/>
        <v>22.444549919727915</v>
      </c>
      <c r="Q811" s="94">
        <f t="shared" ca="1" si="239"/>
        <v>22.444549919727915</v>
      </c>
      <c r="R811" s="94">
        <f t="shared" ca="1" si="240"/>
        <v>2.2444549919727916</v>
      </c>
      <c r="S811" s="94">
        <f t="shared" ca="1" si="241"/>
        <v>2.2444549919727916</v>
      </c>
      <c r="T811" s="4">
        <f t="shared" ca="1" si="242"/>
        <v>4.2928922350373083E-6</v>
      </c>
      <c r="U811" s="46">
        <f t="shared" ca="1" si="243"/>
        <v>1506.7701584159711</v>
      </c>
      <c r="V811" s="4">
        <f t="shared" ca="1" si="244"/>
        <v>2.8819477049813217E-3</v>
      </c>
      <c r="W811" s="13">
        <f t="shared" ca="1" si="245"/>
        <v>9825.5324999999993</v>
      </c>
      <c r="X811" s="4">
        <f t="shared" ca="1" si="246"/>
        <v>1.8792959682957206E-2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0.104796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1.4489892195570054E-8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2.2444549919727916</v>
      </c>
      <c r="P812" s="94">
        <f t="shared" ca="1" si="238"/>
        <v>22.444549919727915</v>
      </c>
      <c r="Q812" s="94">
        <f t="shared" ca="1" si="239"/>
        <v>22.444549919727915</v>
      </c>
      <c r="R812" s="94">
        <f t="shared" ca="1" si="240"/>
        <v>2.2444549919727916</v>
      </c>
      <c r="S812" s="94">
        <f t="shared" ca="1" si="241"/>
        <v>2.2444549919727916</v>
      </c>
      <c r="T812" s="4">
        <f t="shared" ca="1" si="242"/>
        <v>3.2521910871494798E-8</v>
      </c>
      <c r="U812" s="46">
        <f t="shared" ca="1" si="243"/>
        <v>1487.7701584159711</v>
      </c>
      <c r="V812" s="4">
        <f t="shared" ca="1" si="244"/>
        <v>2.1557629207233601E-5</v>
      </c>
      <c r="W812" s="13">
        <f t="shared" ca="1" si="245"/>
        <v>7842.3974999999991</v>
      </c>
      <c r="X812" s="4">
        <f t="shared" ca="1" si="246"/>
        <v>1.1363549432980809E-4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0.104796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5.8545018972000267E-11</v>
      </c>
      <c r="L813" s="13">
        <f t="shared" ca="1" si="234"/>
        <v>223</v>
      </c>
      <c r="M813" s="7">
        <f t="shared" ca="1" si="235"/>
        <v>777</v>
      </c>
      <c r="N813" s="44">
        <f t="shared" ca="1" si="236"/>
        <v>7</v>
      </c>
      <c r="O813" s="94">
        <f t="shared" ca="1" si="237"/>
        <v>2.2444549919727916</v>
      </c>
      <c r="P813" s="94">
        <f t="shared" ca="1" si="238"/>
        <v>22.444549919727915</v>
      </c>
      <c r="Q813" s="94">
        <f t="shared" ca="1" si="239"/>
        <v>22.444549919727915</v>
      </c>
      <c r="R813" s="94">
        <f t="shared" ca="1" si="240"/>
        <v>2.2444549919727916</v>
      </c>
      <c r="S813" s="94">
        <f t="shared" ca="1" si="241"/>
        <v>2.2444549919727916</v>
      </c>
      <c r="T813" s="4">
        <f t="shared" ca="1" si="242"/>
        <v>1.3140166008684779E-10</v>
      </c>
      <c r="U813" s="46">
        <f t="shared" ca="1" si="243"/>
        <v>1468.7701584159711</v>
      </c>
      <c r="V813" s="4">
        <f t="shared" ca="1" si="244"/>
        <v>8.5989176789970859E-8</v>
      </c>
      <c r="W813" s="13">
        <f t="shared" ca="1" si="245"/>
        <v>5859.2624999999998</v>
      </c>
      <c r="X813" s="4">
        <f t="shared" ca="1" si="246"/>
        <v>3.4303063422442968E-7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0.104796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9.856063800000054E-14</v>
      </c>
      <c r="L814" s="13">
        <f t="shared" ca="1" si="234"/>
        <v>204</v>
      </c>
      <c r="M814" s="7">
        <f t="shared" ca="1" si="235"/>
        <v>796</v>
      </c>
      <c r="N814" s="44">
        <f t="shared" ca="1" si="236"/>
        <v>8</v>
      </c>
      <c r="O814" s="94">
        <f t="shared" ca="1" si="237"/>
        <v>2.4908891993879614</v>
      </c>
      <c r="P814" s="94">
        <f t="shared" ca="1" si="238"/>
        <v>23.430286749388593</v>
      </c>
      <c r="Q814" s="94">
        <f t="shared" ca="1" si="239"/>
        <v>22.444549919727915</v>
      </c>
      <c r="R814" s="94">
        <f t="shared" ca="1" si="240"/>
        <v>2.2937418334558251</v>
      </c>
      <c r="S814" s="94">
        <f t="shared" ca="1" si="241"/>
        <v>2.4908891993879614</v>
      </c>
      <c r="T814" s="4">
        <f t="shared" ca="1" si="242"/>
        <v>2.4550362867898805E-13</v>
      </c>
      <c r="U814" s="46">
        <f t="shared" ca="1" si="243"/>
        <v>1557.6995798612329</v>
      </c>
      <c r="V814" s="4">
        <f t="shared" ca="1" si="244"/>
        <v>1.5352786440345592E-10</v>
      </c>
      <c r="W814" s="13">
        <f t="shared" ca="1" si="245"/>
        <v>3876.1274999999996</v>
      </c>
      <c r="X814" s="4">
        <f t="shared" ca="1" si="246"/>
        <v>3.8203359936934704E-10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0.104796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235</v>
      </c>
      <c r="M815" s="7">
        <f t="shared" ca="1" si="235"/>
        <v>765</v>
      </c>
      <c r="N815" s="44">
        <f t="shared" ca="1" si="236"/>
        <v>7</v>
      </c>
      <c r="O815" s="94">
        <f t="shared" ca="1" si="237"/>
        <v>2.2444549919727916</v>
      </c>
      <c r="P815" s="94">
        <f t="shared" ca="1" si="238"/>
        <v>22.444549919727915</v>
      </c>
      <c r="Q815" s="94">
        <f t="shared" ca="1" si="239"/>
        <v>22.444549919727915</v>
      </c>
      <c r="R815" s="94">
        <f t="shared" ca="1" si="240"/>
        <v>2.2444549919727916</v>
      </c>
      <c r="S815" s="94">
        <f t="shared" ca="1" si="241"/>
        <v>2.2444549919727916</v>
      </c>
      <c r="T815" s="4">
        <f t="shared" ca="1" si="242"/>
        <v>0</v>
      </c>
      <c r="U815" s="46">
        <f t="shared" ca="1" si="243"/>
        <v>1480.7701584159711</v>
      </c>
      <c r="V815" s="4">
        <f t="shared" ca="1" si="244"/>
        <v>0</v>
      </c>
      <c r="W815" s="13">
        <f t="shared" ca="1" si="245"/>
        <v>15865.08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0.104796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9.3730186049795911E-4</v>
      </c>
      <c r="L816" s="13">
        <f t="shared" ca="1" si="234"/>
        <v>216</v>
      </c>
      <c r="M816" s="7">
        <f t="shared" ca="1" si="235"/>
        <v>784</v>
      </c>
      <c r="N816" s="44">
        <f t="shared" ca="1" si="236"/>
        <v>7</v>
      </c>
      <c r="O816" s="94">
        <f t="shared" ca="1" si="237"/>
        <v>2.2444549919727916</v>
      </c>
      <c r="P816" s="94">
        <f t="shared" ca="1" si="238"/>
        <v>22.444549919727915</v>
      </c>
      <c r="Q816" s="94">
        <f t="shared" ca="1" si="239"/>
        <v>22.444549919727915</v>
      </c>
      <c r="R816" s="94">
        <f t="shared" ca="1" si="240"/>
        <v>2.2444549919727916</v>
      </c>
      <c r="S816" s="94">
        <f t="shared" ca="1" si="241"/>
        <v>2.2444549919727916</v>
      </c>
      <c r="T816" s="4">
        <f t="shared" ca="1" si="242"/>
        <v>2.1037318397800295E-3</v>
      </c>
      <c r="U816" s="46">
        <f t="shared" ca="1" si="243"/>
        <v>1461.7701584159711</v>
      </c>
      <c r="V816" s="4">
        <f t="shared" ca="1" si="244"/>
        <v>1.3701198891036861</v>
      </c>
      <c r="W816" s="13">
        <f t="shared" ca="1" si="245"/>
        <v>13881.945</v>
      </c>
      <c r="X816" s="4">
        <f t="shared" ca="1" si="246"/>
        <v>13.011572875830341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0.104796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5.6806173363512718E-5</v>
      </c>
      <c r="L817" s="13">
        <f t="shared" ca="1" si="234"/>
        <v>197</v>
      </c>
      <c r="M817" s="7">
        <f t="shared" ca="1" si="235"/>
        <v>803</v>
      </c>
      <c r="N817" s="44">
        <f t="shared" ca="1" si="236"/>
        <v>8</v>
      </c>
      <c r="O817" s="94">
        <f t="shared" ca="1" si="237"/>
        <v>2.4908891993879614</v>
      </c>
      <c r="P817" s="94">
        <f t="shared" ca="1" si="238"/>
        <v>24.908891993879614</v>
      </c>
      <c r="Q817" s="94">
        <f t="shared" ca="1" si="239"/>
        <v>22.690984127143082</v>
      </c>
      <c r="R817" s="94">
        <f t="shared" ca="1" si="240"/>
        <v>2.379993806051135</v>
      </c>
      <c r="S817" s="94">
        <f t="shared" ca="1" si="241"/>
        <v>2.4908891993879614</v>
      </c>
      <c r="T817" s="4">
        <f t="shared" ca="1" si="242"/>
        <v>1.4149788368973394E-4</v>
      </c>
      <c r="U817" s="46">
        <f t="shared" ca="1" si="243"/>
        <v>1550.6995798612329</v>
      </c>
      <c r="V817" s="4">
        <f t="shared" ca="1" si="244"/>
        <v>8.8089309168323526E-2</v>
      </c>
      <c r="W817" s="13">
        <f t="shared" ca="1" si="245"/>
        <v>11898.81</v>
      </c>
      <c r="X817" s="4">
        <f t="shared" ca="1" si="246"/>
        <v>0.6759258636794987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0.104796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1.434499327361434E-6</v>
      </c>
      <c r="L818" s="13">
        <f t="shared" ca="1" si="234"/>
        <v>178</v>
      </c>
      <c r="M818" s="7">
        <f t="shared" ca="1" si="235"/>
        <v>822</v>
      </c>
      <c r="N818" s="44">
        <f t="shared" ca="1" si="236"/>
        <v>8</v>
      </c>
      <c r="O818" s="94">
        <f t="shared" ca="1" si="237"/>
        <v>2.4908891993879614</v>
      </c>
      <c r="P818" s="94">
        <f t="shared" ca="1" si="238"/>
        <v>24.908891993879614</v>
      </c>
      <c r="Q818" s="94">
        <f t="shared" ca="1" si="239"/>
        <v>24.908891993879614</v>
      </c>
      <c r="R818" s="94">
        <f t="shared" ca="1" si="240"/>
        <v>2.4908891993879614</v>
      </c>
      <c r="S818" s="94">
        <f t="shared" ca="1" si="241"/>
        <v>2.4908891993879614</v>
      </c>
      <c r="T818" s="4">
        <f t="shared" ca="1" si="242"/>
        <v>3.5731788810538915E-6</v>
      </c>
      <c r="U818" s="46">
        <f t="shared" ca="1" si="243"/>
        <v>1531.6995798612329</v>
      </c>
      <c r="V818" s="4">
        <f t="shared" ca="1" si="244"/>
        <v>2.1972220170307297E-3</v>
      </c>
      <c r="W818" s="13">
        <f t="shared" ca="1" si="245"/>
        <v>9915.6749999999993</v>
      </c>
      <c r="X818" s="4">
        <f t="shared" ca="1" si="246"/>
        <v>1.4224029117834587E-2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0.104796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1.9319856260760066E-8</v>
      </c>
      <c r="L819" s="13">
        <f t="shared" ca="1" si="234"/>
        <v>159</v>
      </c>
      <c r="M819" s="7">
        <f t="shared" ca="1" si="235"/>
        <v>841</v>
      </c>
      <c r="N819" s="44">
        <f t="shared" ca="1" si="236"/>
        <v>8</v>
      </c>
      <c r="O819" s="94">
        <f t="shared" ca="1" si="237"/>
        <v>2.4908891993879614</v>
      </c>
      <c r="P819" s="94">
        <f t="shared" ca="1" si="238"/>
        <v>24.908891993879614</v>
      </c>
      <c r="Q819" s="94">
        <f t="shared" ca="1" si="239"/>
        <v>24.908891993879614</v>
      </c>
      <c r="R819" s="94">
        <f t="shared" ca="1" si="240"/>
        <v>2.4908891993879614</v>
      </c>
      <c r="S819" s="94">
        <f t="shared" ca="1" si="241"/>
        <v>2.4908891993879614</v>
      </c>
      <c r="T819" s="4">
        <f t="shared" ca="1" si="242"/>
        <v>4.8123621293655136E-8</v>
      </c>
      <c r="U819" s="46">
        <f t="shared" ca="1" si="243"/>
        <v>1512.6995798612329</v>
      </c>
      <c r="V819" s="4">
        <f t="shared" ca="1" si="244"/>
        <v>2.9225138448631163E-5</v>
      </c>
      <c r="W819" s="13">
        <f t="shared" ca="1" si="245"/>
        <v>7932.54</v>
      </c>
      <c r="X819" s="4">
        <f t="shared" ca="1" si="246"/>
        <v>1.5325553258272966E-4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0.104796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1.4636254743000067E-10</v>
      </c>
      <c r="L820" s="13">
        <f t="shared" ca="1" si="234"/>
        <v>140</v>
      </c>
      <c r="M820" s="7">
        <f t="shared" ca="1" si="235"/>
        <v>860</v>
      </c>
      <c r="N820" s="44">
        <f t="shared" ca="1" si="236"/>
        <v>8</v>
      </c>
      <c r="O820" s="94">
        <f t="shared" ca="1" si="237"/>
        <v>2.4908891993879614</v>
      </c>
      <c r="P820" s="94">
        <f t="shared" ca="1" si="238"/>
        <v>24.908891993879614</v>
      </c>
      <c r="Q820" s="94">
        <f t="shared" ca="1" si="239"/>
        <v>24.908891993879614</v>
      </c>
      <c r="R820" s="94">
        <f t="shared" ca="1" si="240"/>
        <v>2.4908891993879614</v>
      </c>
      <c r="S820" s="94">
        <f t="shared" ca="1" si="241"/>
        <v>2.4908891993879614</v>
      </c>
      <c r="T820" s="4">
        <f t="shared" ca="1" si="242"/>
        <v>3.6457288858829688E-10</v>
      </c>
      <c r="U820" s="46">
        <f t="shared" ca="1" si="243"/>
        <v>1493.6995798612329</v>
      </c>
      <c r="V820" s="4">
        <f t="shared" ca="1" si="244"/>
        <v>2.1862167560361177E-7</v>
      </c>
      <c r="W820" s="13">
        <f t="shared" ca="1" si="245"/>
        <v>5949.4049999999997</v>
      </c>
      <c r="X820" s="4">
        <f t="shared" ca="1" si="246"/>
        <v>8.7077007149278307E-7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0.104796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5.9136382800000324E-13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2.4908891993879614</v>
      </c>
      <c r="P821" s="94">
        <f t="shared" ca="1" si="238"/>
        <v>24.908891993879614</v>
      </c>
      <c r="Q821" s="94">
        <f t="shared" ca="1" si="239"/>
        <v>24.908891993879614</v>
      </c>
      <c r="R821" s="94">
        <f t="shared" ca="1" si="240"/>
        <v>2.4908891993879614</v>
      </c>
      <c r="S821" s="94">
        <f t="shared" ca="1" si="241"/>
        <v>2.4908891993879614</v>
      </c>
      <c r="T821" s="4">
        <f t="shared" ca="1" si="242"/>
        <v>1.4730217720739281E-12</v>
      </c>
      <c r="U821" s="46">
        <f t="shared" ca="1" si="243"/>
        <v>1474.6995798612329</v>
      </c>
      <c r="V821" s="4">
        <f t="shared" ca="1" si="244"/>
        <v>8.7208398869673522E-10</v>
      </c>
      <c r="W821" s="13">
        <f t="shared" ca="1" si="245"/>
        <v>3966.27</v>
      </c>
      <c r="X821" s="4">
        <f t="shared" ca="1" si="246"/>
        <v>2.3455086100815727E-9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0.104796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9.955620000000063E-16</v>
      </c>
      <c r="L822" s="13">
        <f t="shared" ca="1" si="234"/>
        <v>102</v>
      </c>
      <c r="M822" s="7">
        <f t="shared" ca="1" si="235"/>
        <v>898</v>
      </c>
      <c r="N822" s="44">
        <f t="shared" ca="1" si="236"/>
        <v>8</v>
      </c>
      <c r="O822" s="94">
        <f t="shared" ca="1" si="237"/>
        <v>2.4908891993879614</v>
      </c>
      <c r="P822" s="94">
        <f t="shared" ca="1" si="238"/>
        <v>24.908891993879614</v>
      </c>
      <c r="Q822" s="94">
        <f t="shared" ca="1" si="239"/>
        <v>24.908891993879614</v>
      </c>
      <c r="R822" s="94">
        <f t="shared" ca="1" si="240"/>
        <v>2.4908891993879614</v>
      </c>
      <c r="S822" s="94">
        <f t="shared" ca="1" si="241"/>
        <v>2.4908891993879614</v>
      </c>
      <c r="T822" s="4">
        <f t="shared" ca="1" si="242"/>
        <v>2.4798346331210933E-15</v>
      </c>
      <c r="U822" s="46">
        <f t="shared" ca="1" si="243"/>
        <v>1455.6995798612329</v>
      </c>
      <c r="V822" s="4">
        <f t="shared" ca="1" si="244"/>
        <v>1.4492391851258179E-12</v>
      </c>
      <c r="W822" s="13">
        <f t="shared" ca="1" si="245"/>
        <v>1983.135</v>
      </c>
      <c r="X822" s="4">
        <f t="shared" ca="1" si="246"/>
        <v>1.9743338468700123E-12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0.104796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235</v>
      </c>
      <c r="M823" s="7">
        <f t="shared" ca="1" si="235"/>
        <v>765</v>
      </c>
      <c r="N823" s="44">
        <f t="shared" ca="1" si="236"/>
        <v>7</v>
      </c>
      <c r="O823" s="94">
        <f t="shared" ca="1" si="237"/>
        <v>2.2444549919727916</v>
      </c>
      <c r="P823" s="94">
        <f t="shared" ca="1" si="238"/>
        <v>22.444549919727915</v>
      </c>
      <c r="Q823" s="94">
        <f t="shared" ca="1" si="239"/>
        <v>22.444549919727915</v>
      </c>
      <c r="R823" s="94">
        <f t="shared" ca="1" si="240"/>
        <v>2.2444549919727916</v>
      </c>
      <c r="S823" s="94">
        <f t="shared" ca="1" si="241"/>
        <v>2.2444549919727916</v>
      </c>
      <c r="T823" s="4">
        <f t="shared" ca="1" si="242"/>
        <v>0</v>
      </c>
      <c r="U823" s="46">
        <f t="shared" ca="1" si="243"/>
        <v>1480.7701584159711</v>
      </c>
      <c r="V823" s="4">
        <f t="shared" ca="1" si="244"/>
        <v>0</v>
      </c>
      <c r="W823" s="13">
        <f t="shared" ca="1" si="245"/>
        <v>15774.9375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0.104796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4.8838360099630459E-3</v>
      </c>
      <c r="L824" s="13">
        <f t="shared" ca="1" si="234"/>
        <v>216</v>
      </c>
      <c r="M824" s="7">
        <f t="shared" ca="1" si="235"/>
        <v>784</v>
      </c>
      <c r="N824" s="44">
        <f t="shared" ca="1" si="236"/>
        <v>7</v>
      </c>
      <c r="O824" s="94">
        <f t="shared" ca="1" si="237"/>
        <v>2.2444549919727916</v>
      </c>
      <c r="P824" s="94">
        <f t="shared" ca="1" si="238"/>
        <v>22.444549919727915</v>
      </c>
      <c r="Q824" s="94">
        <f t="shared" ca="1" si="239"/>
        <v>22.444549919727915</v>
      </c>
      <c r="R824" s="94">
        <f t="shared" ca="1" si="240"/>
        <v>2.2444549919727916</v>
      </c>
      <c r="S824" s="94">
        <f t="shared" ca="1" si="241"/>
        <v>2.2444549919727916</v>
      </c>
      <c r="T824" s="4">
        <f t="shared" ca="1" si="242"/>
        <v>1.0961550112538038E-2</v>
      </c>
      <c r="U824" s="46">
        <f t="shared" ca="1" si="243"/>
        <v>1461.7701584159711</v>
      </c>
      <c r="V824" s="4">
        <f t="shared" ca="1" si="244"/>
        <v>7.1390457379613057</v>
      </c>
      <c r="W824" s="13">
        <f t="shared" ca="1" si="245"/>
        <v>13791.8025</v>
      </c>
      <c r="X824" s="4">
        <f t="shared" ca="1" si="246"/>
        <v>67.356901691798356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0.104796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2.9599006120988183E-4</v>
      </c>
      <c r="L825" s="13">
        <f t="shared" ca="1" si="234"/>
        <v>197</v>
      </c>
      <c r="M825" s="7">
        <f t="shared" ca="1" si="235"/>
        <v>803</v>
      </c>
      <c r="N825" s="44">
        <f t="shared" ca="1" si="236"/>
        <v>8</v>
      </c>
      <c r="O825" s="94">
        <f t="shared" ca="1" si="237"/>
        <v>2.4908891993879614</v>
      </c>
      <c r="P825" s="94">
        <f t="shared" ca="1" si="238"/>
        <v>24.908891993879614</v>
      </c>
      <c r="Q825" s="94">
        <f t="shared" ca="1" si="239"/>
        <v>22.690984127143082</v>
      </c>
      <c r="R825" s="94">
        <f t="shared" ca="1" si="240"/>
        <v>2.379993806051135</v>
      </c>
      <c r="S825" s="94">
        <f t="shared" ca="1" si="241"/>
        <v>2.4908891993879614</v>
      </c>
      <c r="T825" s="4">
        <f t="shared" ca="1" si="242"/>
        <v>7.372784465938762E-4</v>
      </c>
      <c r="U825" s="46">
        <f t="shared" ca="1" si="243"/>
        <v>1550.6995798612329</v>
      </c>
      <c r="V825" s="4">
        <f t="shared" ca="1" si="244"/>
        <v>0.45899166356126436</v>
      </c>
      <c r="W825" s="13">
        <f t="shared" ca="1" si="245"/>
        <v>11808.6675</v>
      </c>
      <c r="X825" s="4">
        <f t="shared" ca="1" si="246"/>
        <v>3.4952482161321421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0.104796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7.474496495199045E-6</v>
      </c>
      <c r="L826" s="13">
        <f t="shared" ca="1" si="234"/>
        <v>178</v>
      </c>
      <c r="M826" s="7">
        <f t="shared" ca="1" si="235"/>
        <v>822</v>
      </c>
      <c r="N826" s="44">
        <f t="shared" ca="1" si="236"/>
        <v>8</v>
      </c>
      <c r="O826" s="94">
        <f t="shared" ca="1" si="237"/>
        <v>2.4908891993879614</v>
      </c>
      <c r="P826" s="94">
        <f t="shared" ca="1" si="238"/>
        <v>24.908891993879614</v>
      </c>
      <c r="Q826" s="94">
        <f t="shared" ca="1" si="239"/>
        <v>24.908891993879614</v>
      </c>
      <c r="R826" s="94">
        <f t="shared" ca="1" si="240"/>
        <v>2.4908891993879614</v>
      </c>
      <c r="S826" s="94">
        <f t="shared" ca="1" si="241"/>
        <v>2.4908891993879614</v>
      </c>
      <c r="T826" s="4">
        <f t="shared" ca="1" si="242"/>
        <v>1.8618142590754471E-5</v>
      </c>
      <c r="U826" s="46">
        <f t="shared" ca="1" si="243"/>
        <v>1531.6995798612329</v>
      </c>
      <c r="V826" s="4">
        <f t="shared" ca="1" si="244"/>
        <v>1.1448683141370635E-2</v>
      </c>
      <c r="W826" s="13">
        <f t="shared" ca="1" si="245"/>
        <v>9825.5324999999993</v>
      </c>
      <c r="X826" s="4">
        <f t="shared" ca="1" si="246"/>
        <v>7.3440908234714303E-2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0.104796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1.0066661946396025E-7</v>
      </c>
      <c r="L827" s="13">
        <f t="shared" ca="1" si="234"/>
        <v>159</v>
      </c>
      <c r="M827" s="7">
        <f t="shared" ca="1" si="235"/>
        <v>841</v>
      </c>
      <c r="N827" s="44">
        <f t="shared" ca="1" si="236"/>
        <v>8</v>
      </c>
      <c r="O827" s="94">
        <f t="shared" ca="1" si="237"/>
        <v>2.4908891993879614</v>
      </c>
      <c r="P827" s="94">
        <f t="shared" ca="1" si="238"/>
        <v>24.908891993879614</v>
      </c>
      <c r="Q827" s="94">
        <f t="shared" ca="1" si="239"/>
        <v>24.908891993879614</v>
      </c>
      <c r="R827" s="94">
        <f t="shared" ca="1" si="240"/>
        <v>2.4908891993879614</v>
      </c>
      <c r="S827" s="94">
        <f t="shared" ca="1" si="241"/>
        <v>2.4908891993879614</v>
      </c>
      <c r="T827" s="4">
        <f t="shared" ca="1" si="242"/>
        <v>2.5074939516167653E-7</v>
      </c>
      <c r="U827" s="46">
        <f t="shared" ca="1" si="243"/>
        <v>1512.6995798612329</v>
      </c>
      <c r="V827" s="4">
        <f t="shared" ca="1" si="244"/>
        <v>1.5227835296918328E-4</v>
      </c>
      <c r="W827" s="13">
        <f t="shared" ca="1" si="245"/>
        <v>7842.3974999999991</v>
      </c>
      <c r="X827" s="4">
        <f t="shared" ca="1" si="246"/>
        <v>7.8946764481761312E-4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0.104796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7.6262590503000292E-10</v>
      </c>
      <c r="L828" s="13">
        <f t="shared" ca="1" si="234"/>
        <v>140</v>
      </c>
      <c r="M828" s="7">
        <f t="shared" ca="1" si="235"/>
        <v>860</v>
      </c>
      <c r="N828" s="44">
        <f t="shared" ca="1" si="236"/>
        <v>8</v>
      </c>
      <c r="O828" s="94">
        <f t="shared" ca="1" si="237"/>
        <v>2.4908891993879614</v>
      </c>
      <c r="P828" s="94">
        <f t="shared" ca="1" si="238"/>
        <v>24.908891993879614</v>
      </c>
      <c r="Q828" s="94">
        <f t="shared" ca="1" si="239"/>
        <v>24.908891993879614</v>
      </c>
      <c r="R828" s="94">
        <f t="shared" ca="1" si="240"/>
        <v>2.4908891993879614</v>
      </c>
      <c r="S828" s="94">
        <f t="shared" ca="1" si="241"/>
        <v>2.4908891993879614</v>
      </c>
      <c r="T828" s="4">
        <f t="shared" ca="1" si="242"/>
        <v>1.8996166300127036E-9</v>
      </c>
      <c r="U828" s="46">
        <f t="shared" ca="1" si="243"/>
        <v>1493.6995798612329</v>
      </c>
      <c r="V828" s="4">
        <f t="shared" ca="1" si="244"/>
        <v>1.1391339939346079E-6</v>
      </c>
      <c r="W828" s="13">
        <f t="shared" ca="1" si="245"/>
        <v>5859.2624999999998</v>
      </c>
      <c r="X828" s="4">
        <f t="shared" ca="1" si="246"/>
        <v>4.4684253668708576E-6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0.104796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3.0813167880000139E-12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2.4908891993879614</v>
      </c>
      <c r="P829" s="94">
        <f t="shared" ca="1" si="238"/>
        <v>24.908891993879614</v>
      </c>
      <c r="Q829" s="94">
        <f t="shared" ca="1" si="239"/>
        <v>24.908891993879614</v>
      </c>
      <c r="R829" s="94">
        <f t="shared" ca="1" si="240"/>
        <v>2.4908891993879614</v>
      </c>
      <c r="S829" s="94">
        <f t="shared" ca="1" si="241"/>
        <v>2.4908891993879614</v>
      </c>
      <c r="T829" s="4">
        <f t="shared" ca="1" si="242"/>
        <v>7.6752187071220402E-12</v>
      </c>
      <c r="U829" s="46">
        <f t="shared" ca="1" si="243"/>
        <v>1474.6995798612329</v>
      </c>
      <c r="V829" s="4">
        <f t="shared" ca="1" si="244"/>
        <v>4.5440165726829843E-9</v>
      </c>
      <c r="W829" s="13">
        <f t="shared" ca="1" si="245"/>
        <v>3876.1274999999996</v>
      </c>
      <c r="X829" s="4">
        <f t="shared" ca="1" si="246"/>
        <v>1.1943576738178523E-8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0.104796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5.1874020000000279E-15</v>
      </c>
      <c r="L830" s="13">
        <f t="shared" ca="1" si="234"/>
        <v>102</v>
      </c>
      <c r="M830" s="7">
        <f t="shared" ca="1" si="235"/>
        <v>898</v>
      </c>
      <c r="N830" s="44">
        <f t="shared" ca="1" si="236"/>
        <v>8</v>
      </c>
      <c r="O830" s="94">
        <f t="shared" ca="1" si="237"/>
        <v>2.4908891993879614</v>
      </c>
      <c r="P830" s="94">
        <f t="shared" ca="1" si="238"/>
        <v>24.908891993879614</v>
      </c>
      <c r="Q830" s="94">
        <f t="shared" ca="1" si="239"/>
        <v>24.908891993879614</v>
      </c>
      <c r="R830" s="94">
        <f t="shared" ca="1" si="240"/>
        <v>2.4908891993879614</v>
      </c>
      <c r="S830" s="94">
        <f t="shared" ca="1" si="241"/>
        <v>2.4908891993879614</v>
      </c>
      <c r="T830" s="4">
        <f t="shared" ca="1" si="242"/>
        <v>1.2921243614683579E-14</v>
      </c>
      <c r="U830" s="46">
        <f t="shared" ca="1" si="243"/>
        <v>1455.6995798612329</v>
      </c>
      <c r="V830" s="4">
        <f t="shared" ca="1" si="244"/>
        <v>7.5512989119713594E-12</v>
      </c>
      <c r="W830" s="13">
        <f t="shared" ca="1" si="245"/>
        <v>1892.9924999999998</v>
      </c>
      <c r="X830" s="4">
        <f t="shared" ca="1" si="246"/>
        <v>9.8197130804850521E-12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0.104796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133</v>
      </c>
      <c r="M831" s="7">
        <f t="shared" ca="1" si="235"/>
        <v>867</v>
      </c>
      <c r="N831" s="44">
        <f t="shared" ca="1" si="236"/>
        <v>8</v>
      </c>
      <c r="O831" s="94">
        <f t="shared" ca="1" si="237"/>
        <v>2.4908891993879614</v>
      </c>
      <c r="P831" s="94">
        <f t="shared" ca="1" si="238"/>
        <v>24.908891993879614</v>
      </c>
      <c r="Q831" s="94">
        <f t="shared" ca="1" si="239"/>
        <v>24.908891993879614</v>
      </c>
      <c r="R831" s="94">
        <f t="shared" ca="1" si="240"/>
        <v>2.4908891993879614</v>
      </c>
      <c r="S831" s="94">
        <f t="shared" ca="1" si="241"/>
        <v>2.4908891993879614</v>
      </c>
      <c r="T831" s="4">
        <f t="shared" ca="1" si="242"/>
        <v>0</v>
      </c>
      <c r="U831" s="46">
        <f t="shared" ca="1" si="243"/>
        <v>1486.6995798612329</v>
      </c>
      <c r="V831" s="4">
        <f t="shared" ca="1" si="244"/>
        <v>0</v>
      </c>
      <c r="W831" s="13">
        <f t="shared" ca="1" si="245"/>
        <v>13881.945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0.104796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4.9331676868313635E-5</v>
      </c>
      <c r="L832" s="13">
        <f t="shared" ca="1" si="234"/>
        <v>114</v>
      </c>
      <c r="M832" s="7">
        <f t="shared" ca="1" si="235"/>
        <v>886</v>
      </c>
      <c r="N832" s="44">
        <f t="shared" ca="1" si="236"/>
        <v>8</v>
      </c>
      <c r="O832" s="94">
        <f t="shared" ca="1" si="237"/>
        <v>2.4908891993879614</v>
      </c>
      <c r="P832" s="94">
        <f t="shared" ca="1" si="238"/>
        <v>24.908891993879614</v>
      </c>
      <c r="Q832" s="94">
        <f t="shared" ca="1" si="239"/>
        <v>24.908891993879614</v>
      </c>
      <c r="R832" s="94">
        <f t="shared" ca="1" si="240"/>
        <v>2.4908891993879614</v>
      </c>
      <c r="S832" s="94">
        <f t="shared" ca="1" si="241"/>
        <v>2.4908891993879614</v>
      </c>
      <c r="T832" s="4">
        <f t="shared" ca="1" si="242"/>
        <v>1.2287974109897936E-4</v>
      </c>
      <c r="U832" s="46">
        <f t="shared" ca="1" si="243"/>
        <v>1467.6995798612329</v>
      </c>
      <c r="V832" s="4">
        <f t="shared" ca="1" si="244"/>
        <v>7.2404081413474028E-2</v>
      </c>
      <c r="W832" s="13">
        <f t="shared" ca="1" si="245"/>
        <v>11898.81</v>
      </c>
      <c r="X832" s="4">
        <f t="shared" ca="1" si="246"/>
        <v>0.58698825003745891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0.104796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2.9897985980796168E-6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2.4908891993879614</v>
      </c>
      <c r="P833" s="94">
        <f t="shared" ca="1" si="238"/>
        <v>24.908891993879614</v>
      </c>
      <c r="Q833" s="94">
        <f t="shared" ca="1" si="239"/>
        <v>24.908891993879614</v>
      </c>
      <c r="R833" s="94">
        <f t="shared" ca="1" si="240"/>
        <v>2.4908891993879614</v>
      </c>
      <c r="S833" s="94">
        <f t="shared" ca="1" si="241"/>
        <v>2.4908891993879614</v>
      </c>
      <c r="T833" s="4">
        <f t="shared" ca="1" si="242"/>
        <v>7.4472570363017862E-6</v>
      </c>
      <c r="U833" s="46">
        <f t="shared" ca="1" si="243"/>
        <v>1453.6995798612329</v>
      </c>
      <c r="V833" s="4">
        <f t="shared" ca="1" si="244"/>
        <v>4.3462689658980425E-3</v>
      </c>
      <c r="W833" s="13">
        <f t="shared" ca="1" si="245"/>
        <v>9915.6749999999993</v>
      </c>
      <c r="X833" s="4">
        <f t="shared" ca="1" si="246"/>
        <v>2.9645871214013103E-2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0.104796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7.5499964597970198E-8</v>
      </c>
      <c r="L834" s="13">
        <f t="shared" ca="1" si="234"/>
        <v>100</v>
      </c>
      <c r="M834" s="7">
        <f t="shared" ca="1" si="235"/>
        <v>900</v>
      </c>
      <c r="N834" s="44">
        <f t="shared" ca="1" si="236"/>
        <v>8</v>
      </c>
      <c r="O834" s="94">
        <f t="shared" ca="1" si="237"/>
        <v>2.4908891993879614</v>
      </c>
      <c r="P834" s="94">
        <f t="shared" ca="1" si="238"/>
        <v>24.908891993879614</v>
      </c>
      <c r="Q834" s="94">
        <f t="shared" ca="1" si="239"/>
        <v>24.908891993879614</v>
      </c>
      <c r="R834" s="94">
        <f t="shared" ca="1" si="240"/>
        <v>2.4908891993879614</v>
      </c>
      <c r="S834" s="94">
        <f t="shared" ca="1" si="241"/>
        <v>2.4908891993879614</v>
      </c>
      <c r="T834" s="4">
        <f t="shared" ca="1" si="242"/>
        <v>1.8806204637125741E-7</v>
      </c>
      <c r="U834" s="46">
        <f t="shared" ca="1" si="243"/>
        <v>1453.6995798612329</v>
      </c>
      <c r="V834" s="4">
        <f t="shared" ca="1" si="244"/>
        <v>1.0975426681560724E-4</v>
      </c>
      <c r="W834" s="13">
        <f t="shared" ca="1" si="245"/>
        <v>7932.54</v>
      </c>
      <c r="X834" s="4">
        <f t="shared" ca="1" si="246"/>
        <v>5.989064891719825E-4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0.104796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1.0168345400400035E-9</v>
      </c>
      <c r="L835" s="13">
        <f t="shared" ca="1" si="234"/>
        <v>100</v>
      </c>
      <c r="M835" s="7">
        <f t="shared" ca="1" si="235"/>
        <v>900</v>
      </c>
      <c r="N835" s="44">
        <f t="shared" ca="1" si="236"/>
        <v>8</v>
      </c>
      <c r="O835" s="94">
        <f t="shared" ca="1" si="237"/>
        <v>2.4908891993879614</v>
      </c>
      <c r="P835" s="94">
        <f t="shared" ca="1" si="238"/>
        <v>24.908891993879614</v>
      </c>
      <c r="Q835" s="94">
        <f t="shared" ca="1" si="239"/>
        <v>24.908891993879614</v>
      </c>
      <c r="R835" s="94">
        <f t="shared" ca="1" si="240"/>
        <v>2.4908891993879614</v>
      </c>
      <c r="S835" s="94">
        <f t="shared" ca="1" si="241"/>
        <v>2.4908891993879614</v>
      </c>
      <c r="T835" s="4">
        <f t="shared" ca="1" si="242"/>
        <v>2.5328221733502704E-9</v>
      </c>
      <c r="U835" s="46">
        <f t="shared" ca="1" si="243"/>
        <v>1453.6995798612329</v>
      </c>
      <c r="V835" s="4">
        <f t="shared" ca="1" si="244"/>
        <v>1.4781719436445432E-6</v>
      </c>
      <c r="W835" s="13">
        <f t="shared" ca="1" si="245"/>
        <v>5949.4049999999997</v>
      </c>
      <c r="X835" s="4">
        <f t="shared" ca="1" si="246"/>
        <v>6.0495604966866967E-6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0.104796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7.7032919700000352E-12</v>
      </c>
      <c r="L836" s="13">
        <f t="shared" ca="1" si="234"/>
        <v>100</v>
      </c>
      <c r="M836" s="7">
        <f t="shared" ca="1" si="235"/>
        <v>900</v>
      </c>
      <c r="N836" s="44">
        <f t="shared" ca="1" si="236"/>
        <v>8</v>
      </c>
      <c r="O836" s="94">
        <f t="shared" ca="1" si="237"/>
        <v>2.4908891993879614</v>
      </c>
      <c r="P836" s="94">
        <f t="shared" ca="1" si="238"/>
        <v>24.908891993879614</v>
      </c>
      <c r="Q836" s="94">
        <f t="shared" ca="1" si="239"/>
        <v>24.908891993879614</v>
      </c>
      <c r="R836" s="94">
        <f t="shared" ca="1" si="240"/>
        <v>2.4908891993879614</v>
      </c>
      <c r="S836" s="94">
        <f t="shared" ca="1" si="241"/>
        <v>2.4908891993879614</v>
      </c>
      <c r="T836" s="4">
        <f t="shared" ca="1" si="242"/>
        <v>1.91880467678051E-11</v>
      </c>
      <c r="U836" s="46">
        <f t="shared" ca="1" si="243"/>
        <v>1453.6995798612329</v>
      </c>
      <c r="V836" s="4">
        <f t="shared" ca="1" si="244"/>
        <v>1.1198272300337461E-8</v>
      </c>
      <c r="W836" s="13">
        <f t="shared" ca="1" si="245"/>
        <v>3966.27</v>
      </c>
      <c r="X836" s="4">
        <f t="shared" ca="1" si="246"/>
        <v>3.0553335841852037E-8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0.104796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3.1124412000000169E-14</v>
      </c>
      <c r="L837" s="13">
        <f t="shared" ca="1" si="234"/>
        <v>100</v>
      </c>
      <c r="M837" s="7">
        <f t="shared" ca="1" si="235"/>
        <v>900</v>
      </c>
      <c r="N837" s="44">
        <f t="shared" ca="1" si="236"/>
        <v>8</v>
      </c>
      <c r="O837" s="94">
        <f t="shared" ca="1" si="237"/>
        <v>2.4908891993879614</v>
      </c>
      <c r="P837" s="94">
        <f t="shared" ca="1" si="238"/>
        <v>24.908891993879614</v>
      </c>
      <c r="Q837" s="94">
        <f t="shared" ca="1" si="239"/>
        <v>24.908891993879614</v>
      </c>
      <c r="R837" s="94">
        <f t="shared" ca="1" si="240"/>
        <v>2.4908891993879614</v>
      </c>
      <c r="S837" s="94">
        <f t="shared" ca="1" si="241"/>
        <v>2.4908891993879614</v>
      </c>
      <c r="T837" s="4">
        <f t="shared" ca="1" si="242"/>
        <v>7.7527461688101477E-14</v>
      </c>
      <c r="U837" s="46">
        <f t="shared" ca="1" si="243"/>
        <v>1453.6995798612329</v>
      </c>
      <c r="V837" s="4">
        <f t="shared" ca="1" si="244"/>
        <v>4.5245544647828164E-11</v>
      </c>
      <c r="W837" s="13">
        <f t="shared" ca="1" si="245"/>
        <v>1983.135</v>
      </c>
      <c r="X837" s="4">
        <f t="shared" ca="1" si="246"/>
        <v>6.1723910791620341E-11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0.104796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5.2398000000000334E-17</v>
      </c>
      <c r="L838" s="13">
        <f t="shared" ca="1" si="234"/>
        <v>100</v>
      </c>
      <c r="M838" s="7">
        <f t="shared" ca="1" si="235"/>
        <v>900</v>
      </c>
      <c r="N838" s="44">
        <f t="shared" ca="1" si="236"/>
        <v>8</v>
      </c>
      <c r="O838" s="94">
        <f t="shared" ca="1" si="237"/>
        <v>2.4908891993879614</v>
      </c>
      <c r="P838" s="94">
        <f t="shared" ca="1" si="238"/>
        <v>24.908891993879614</v>
      </c>
      <c r="Q838" s="94">
        <f t="shared" ca="1" si="239"/>
        <v>24.908891993879614</v>
      </c>
      <c r="R838" s="94">
        <f t="shared" ca="1" si="240"/>
        <v>2.4908891993879614</v>
      </c>
      <c r="S838" s="94">
        <f t="shared" ca="1" si="241"/>
        <v>2.4908891993879614</v>
      </c>
      <c r="T838" s="4">
        <f t="shared" ca="1" si="242"/>
        <v>1.3051761226953124E-16</v>
      </c>
      <c r="U838" s="46">
        <f t="shared" ca="1" si="243"/>
        <v>1453.6995798612329</v>
      </c>
      <c r="V838" s="4">
        <f t="shared" ca="1" si="244"/>
        <v>7.6170950585569366E-14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4.2804000000000009E-2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337</v>
      </c>
      <c r="M839" s="7">
        <f t="shared" ca="1" si="235"/>
        <v>663</v>
      </c>
      <c r="N839" s="44">
        <f t="shared" ca="1" si="236"/>
        <v>6</v>
      </c>
      <c r="O839" s="94">
        <f t="shared" ca="1" si="237"/>
        <v>1.9922775034029279</v>
      </c>
      <c r="P839" s="94">
        <f t="shared" ca="1" si="238"/>
        <v>19.922775034029279</v>
      </c>
      <c r="Q839" s="94">
        <f t="shared" ca="1" si="239"/>
        <v>19.922775034029279</v>
      </c>
      <c r="R839" s="94">
        <f t="shared" ca="1" si="240"/>
        <v>1.9922775034029279</v>
      </c>
      <c r="S839" s="94">
        <f t="shared" ca="1" si="241"/>
        <v>1.9922775034029279</v>
      </c>
      <c r="T839" s="4">
        <f t="shared" ca="1" si="242"/>
        <v>0</v>
      </c>
      <c r="U839" s="46">
        <f t="shared" ca="1" si="243"/>
        <v>1472.3253840141317</v>
      </c>
      <c r="V839" s="4">
        <f t="shared" ca="1" si="244"/>
        <v>0</v>
      </c>
      <c r="W839" s="13">
        <f t="shared" ca="1" si="245"/>
        <v>17758.072499999998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4.2804000000000009E-2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3.7901318894220264E-2</v>
      </c>
      <c r="L840" s="13">
        <f t="shared" ca="1" si="234"/>
        <v>318</v>
      </c>
      <c r="M840" s="7">
        <f t="shared" ca="1" si="235"/>
        <v>682</v>
      </c>
      <c r="N840" s="44">
        <f t="shared" ca="1" si="236"/>
        <v>7</v>
      </c>
      <c r="O840" s="94">
        <f t="shared" ca="1" si="237"/>
        <v>2.2444549919727916</v>
      </c>
      <c r="P840" s="94">
        <f t="shared" ca="1" si="238"/>
        <v>20.679307499738869</v>
      </c>
      <c r="Q840" s="94">
        <f t="shared" ca="1" si="239"/>
        <v>19.922775034029279</v>
      </c>
      <c r="R840" s="94">
        <f t="shared" ca="1" si="240"/>
        <v>2.0301041266884075</v>
      </c>
      <c r="S840" s="94">
        <f t="shared" ca="1" si="241"/>
        <v>2.2444549919727916</v>
      </c>
      <c r="T840" s="4">
        <f t="shared" ca="1" si="242"/>
        <v>8.5067804394485358E-2</v>
      </c>
      <c r="U840" s="46">
        <f t="shared" ca="1" si="243"/>
        <v>1563.7701584159711</v>
      </c>
      <c r="V840" s="4">
        <f t="shared" ca="1" si="244"/>
        <v>59.268951451389057</v>
      </c>
      <c r="W840" s="13">
        <f t="shared" ca="1" si="245"/>
        <v>15774.9375</v>
      </c>
      <c r="X840" s="4">
        <f t="shared" ca="1" si="246"/>
        <v>597.89093672389379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4.2804000000000009E-2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2.2970496299527451E-3</v>
      </c>
      <c r="L841" s="13">
        <f t="shared" ca="1" si="234"/>
        <v>299</v>
      </c>
      <c r="M841" s="7">
        <f t="shared" ca="1" si="235"/>
        <v>701</v>
      </c>
      <c r="N841" s="44">
        <f t="shared" ca="1" si="236"/>
        <v>7</v>
      </c>
      <c r="O841" s="94">
        <f t="shared" ca="1" si="237"/>
        <v>2.2444549919727916</v>
      </c>
      <c r="P841" s="94">
        <f t="shared" ca="1" si="238"/>
        <v>22.444549919727915</v>
      </c>
      <c r="Q841" s="94">
        <f t="shared" ca="1" si="239"/>
        <v>22.444549919727915</v>
      </c>
      <c r="R841" s="94">
        <f t="shared" ca="1" si="240"/>
        <v>2.2444549919727916</v>
      </c>
      <c r="S841" s="94">
        <f t="shared" ca="1" si="241"/>
        <v>2.2444549919727916</v>
      </c>
      <c r="T841" s="4">
        <f t="shared" ca="1" si="242"/>
        <v>5.1556245087566923E-3</v>
      </c>
      <c r="U841" s="46">
        <f t="shared" ca="1" si="243"/>
        <v>1544.7701584159711</v>
      </c>
      <c r="V841" s="4">
        <f t="shared" ca="1" si="244"/>
        <v>3.5484137207514497</v>
      </c>
      <c r="W841" s="13">
        <f t="shared" ca="1" si="245"/>
        <v>13791.802499999998</v>
      </c>
      <c r="X841" s="4">
        <f t="shared" ca="1" si="246"/>
        <v>31.68045482900634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4.2804000000000009E-2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5.8006303786685552E-5</v>
      </c>
      <c r="L842" s="13">
        <f t="shared" ca="1" si="234"/>
        <v>280</v>
      </c>
      <c r="M842" s="7">
        <f t="shared" ca="1" si="235"/>
        <v>720</v>
      </c>
      <c r="N842" s="44">
        <f t="shared" ca="1" si="236"/>
        <v>7</v>
      </c>
      <c r="O842" s="94">
        <f t="shared" ca="1" si="237"/>
        <v>2.2444549919727916</v>
      </c>
      <c r="P842" s="94">
        <f t="shared" ca="1" si="238"/>
        <v>22.444549919727915</v>
      </c>
      <c r="Q842" s="94">
        <f t="shared" ca="1" si="239"/>
        <v>22.444549919727915</v>
      </c>
      <c r="R842" s="94">
        <f t="shared" ca="1" si="240"/>
        <v>2.2444549919727916</v>
      </c>
      <c r="S842" s="94">
        <f t="shared" ca="1" si="241"/>
        <v>2.2444549919727916</v>
      </c>
      <c r="T842" s="4">
        <f t="shared" ca="1" si="242"/>
        <v>1.3019253809991662E-4</v>
      </c>
      <c r="U842" s="46">
        <f t="shared" ca="1" si="243"/>
        <v>1525.7701584159711</v>
      </c>
      <c r="V842" s="4">
        <f t="shared" ca="1" si="244"/>
        <v>8.8504287317736158E-2</v>
      </c>
      <c r="W842" s="13">
        <f t="shared" ca="1" si="245"/>
        <v>11808.6675</v>
      </c>
      <c r="X842" s="4">
        <f t="shared" ca="1" si="246"/>
        <v>0.68497715432096062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4.2804000000000009E-2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7.812296806287621E-7</v>
      </c>
      <c r="L843" s="13">
        <f t="shared" ca="1" si="234"/>
        <v>261</v>
      </c>
      <c r="M843" s="7">
        <f t="shared" ca="1" si="235"/>
        <v>739</v>
      </c>
      <c r="N843" s="44">
        <f t="shared" ca="1" si="236"/>
        <v>7</v>
      </c>
      <c r="O843" s="94">
        <f t="shared" ca="1" si="237"/>
        <v>2.2444549919727916</v>
      </c>
      <c r="P843" s="94">
        <f t="shared" ca="1" si="238"/>
        <v>22.444549919727915</v>
      </c>
      <c r="Q843" s="94">
        <f t="shared" ca="1" si="239"/>
        <v>22.444549919727915</v>
      </c>
      <c r="R843" s="94">
        <f t="shared" ca="1" si="240"/>
        <v>2.2444549919727916</v>
      </c>
      <c r="S843" s="94">
        <f t="shared" ca="1" si="241"/>
        <v>2.2444549919727916</v>
      </c>
      <c r="T843" s="4">
        <f t="shared" ca="1" si="242"/>
        <v>1.7534348565645348E-6</v>
      </c>
      <c r="U843" s="46">
        <f t="shared" ca="1" si="243"/>
        <v>1506.7701584159711</v>
      </c>
      <c r="V843" s="4">
        <f t="shared" ca="1" si="244"/>
        <v>1.1771335696402583E-3</v>
      </c>
      <c r="W843" s="13">
        <f t="shared" ca="1" si="245"/>
        <v>9825.5324999999993</v>
      </c>
      <c r="X843" s="4">
        <f t="shared" ca="1" si="246"/>
        <v>7.6759976169825219E-3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4.2804000000000009E-2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5.9184066714300231E-9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2.2444549919727916</v>
      </c>
      <c r="P844" s="94">
        <f t="shared" ca="1" si="238"/>
        <v>22.444549919727915</v>
      </c>
      <c r="Q844" s="94">
        <f t="shared" ca="1" si="239"/>
        <v>22.444549919727915</v>
      </c>
      <c r="R844" s="94">
        <f t="shared" ca="1" si="240"/>
        <v>2.2444549919727916</v>
      </c>
      <c r="S844" s="94">
        <f t="shared" ca="1" si="241"/>
        <v>2.2444549919727916</v>
      </c>
      <c r="T844" s="4">
        <f t="shared" ca="1" si="242"/>
        <v>1.3283597398216189E-8</v>
      </c>
      <c r="U844" s="46">
        <f t="shared" ca="1" si="243"/>
        <v>1487.7701584159711</v>
      </c>
      <c r="V844" s="4">
        <f t="shared" ca="1" si="244"/>
        <v>8.8052288311235864E-6</v>
      </c>
      <c r="W844" s="13">
        <f t="shared" ca="1" si="245"/>
        <v>7842.3974999999991</v>
      </c>
      <c r="X844" s="4">
        <f t="shared" ca="1" si="246"/>
        <v>4.6414497684006128E-5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4.2804000000000009E-2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2.3912754228000114E-11</v>
      </c>
      <c r="L845" s="13">
        <f t="shared" ca="1" si="234"/>
        <v>223</v>
      </c>
      <c r="M845" s="7">
        <f t="shared" ca="1" si="235"/>
        <v>777</v>
      </c>
      <c r="N845" s="44">
        <f t="shared" ca="1" si="236"/>
        <v>7</v>
      </c>
      <c r="O845" s="94">
        <f t="shared" ca="1" si="237"/>
        <v>2.2444549919727916</v>
      </c>
      <c r="P845" s="94">
        <f t="shared" ca="1" si="238"/>
        <v>22.444549919727915</v>
      </c>
      <c r="Q845" s="94">
        <f t="shared" ca="1" si="239"/>
        <v>22.444549919727915</v>
      </c>
      <c r="R845" s="94">
        <f t="shared" ca="1" si="240"/>
        <v>2.2444549919727916</v>
      </c>
      <c r="S845" s="94">
        <f t="shared" ca="1" si="241"/>
        <v>2.2444549919727916</v>
      </c>
      <c r="T845" s="4">
        <f t="shared" ca="1" si="242"/>
        <v>5.3671100598853336E-11</v>
      </c>
      <c r="U845" s="46">
        <f t="shared" ca="1" si="243"/>
        <v>1468.7701584159711</v>
      </c>
      <c r="V845" s="4">
        <f t="shared" ca="1" si="244"/>
        <v>3.5122339815621909E-8</v>
      </c>
      <c r="W845" s="13">
        <f t="shared" ca="1" si="245"/>
        <v>5859.2624999999998</v>
      </c>
      <c r="X845" s="4">
        <f t="shared" ca="1" si="246"/>
        <v>1.4011110411983752E-7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4.2804000000000009E-2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4.025716200000023E-14</v>
      </c>
      <c r="L846" s="13">
        <f t="shared" ca="1" si="234"/>
        <v>204</v>
      </c>
      <c r="M846" s="7">
        <f t="shared" ca="1" si="235"/>
        <v>796</v>
      </c>
      <c r="N846" s="44">
        <f t="shared" ca="1" si="236"/>
        <v>8</v>
      </c>
      <c r="O846" s="94">
        <f t="shared" ca="1" si="237"/>
        <v>2.4908891993879614</v>
      </c>
      <c r="P846" s="94">
        <f t="shared" ca="1" si="238"/>
        <v>23.430286749388593</v>
      </c>
      <c r="Q846" s="94">
        <f t="shared" ca="1" si="239"/>
        <v>22.444549919727915</v>
      </c>
      <c r="R846" s="94">
        <f t="shared" ca="1" si="240"/>
        <v>2.2937418334558251</v>
      </c>
      <c r="S846" s="94">
        <f t="shared" ca="1" si="241"/>
        <v>2.4908891993879614</v>
      </c>
      <c r="T846" s="4">
        <f t="shared" ca="1" si="242"/>
        <v>1.0027613002381203E-13</v>
      </c>
      <c r="U846" s="46">
        <f t="shared" ca="1" si="243"/>
        <v>1557.6995798612329</v>
      </c>
      <c r="V846" s="4">
        <f t="shared" ca="1" si="244"/>
        <v>6.2708564333805952E-11</v>
      </c>
      <c r="W846" s="13">
        <f t="shared" ca="1" si="245"/>
        <v>3876.1274999999996</v>
      </c>
      <c r="X846" s="4">
        <f t="shared" ca="1" si="246"/>
        <v>1.5604189270015588E-10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4.2804000000000009E-2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235</v>
      </c>
      <c r="M847" s="7">
        <f t="shared" ca="1" si="235"/>
        <v>765</v>
      </c>
      <c r="N847" s="44">
        <f t="shared" ca="1" si="236"/>
        <v>7</v>
      </c>
      <c r="O847" s="94">
        <f t="shared" ca="1" si="237"/>
        <v>2.2444549919727916</v>
      </c>
      <c r="P847" s="94">
        <f t="shared" ca="1" si="238"/>
        <v>22.444549919727915</v>
      </c>
      <c r="Q847" s="94">
        <f t="shared" ca="1" si="239"/>
        <v>22.444549919727915</v>
      </c>
      <c r="R847" s="94">
        <f t="shared" ca="1" si="240"/>
        <v>2.2444549919727916</v>
      </c>
      <c r="S847" s="94">
        <f t="shared" ca="1" si="241"/>
        <v>2.2444549919727916</v>
      </c>
      <c r="T847" s="4">
        <f t="shared" ca="1" si="242"/>
        <v>0</v>
      </c>
      <c r="U847" s="46">
        <f t="shared" ca="1" si="243"/>
        <v>1480.7701584159711</v>
      </c>
      <c r="V847" s="4">
        <f t="shared" ca="1" si="244"/>
        <v>0</v>
      </c>
      <c r="W847" s="13">
        <f t="shared" ca="1" si="245"/>
        <v>15865.08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4.2804000000000009E-2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3.8284160499212419E-4</v>
      </c>
      <c r="L848" s="13">
        <f t="shared" ca="1" si="234"/>
        <v>216</v>
      </c>
      <c r="M848" s="7">
        <f t="shared" ca="1" si="235"/>
        <v>784</v>
      </c>
      <c r="N848" s="44">
        <f t="shared" ca="1" si="236"/>
        <v>7</v>
      </c>
      <c r="O848" s="94">
        <f t="shared" ca="1" si="237"/>
        <v>2.2444549919727916</v>
      </c>
      <c r="P848" s="94">
        <f t="shared" ca="1" si="238"/>
        <v>22.444549919727915</v>
      </c>
      <c r="Q848" s="94">
        <f t="shared" ca="1" si="239"/>
        <v>22.444549919727915</v>
      </c>
      <c r="R848" s="94">
        <f t="shared" ca="1" si="240"/>
        <v>2.2444549919727916</v>
      </c>
      <c r="S848" s="94">
        <f t="shared" ca="1" si="241"/>
        <v>2.2444549919727916</v>
      </c>
      <c r="T848" s="4">
        <f t="shared" ca="1" si="242"/>
        <v>8.5927075145944879E-4</v>
      </c>
      <c r="U848" s="46">
        <f t="shared" ca="1" si="243"/>
        <v>1461.7701584159711</v>
      </c>
      <c r="V848" s="4">
        <f t="shared" ca="1" si="244"/>
        <v>0.55962643357756203</v>
      </c>
      <c r="W848" s="13">
        <f t="shared" ca="1" si="245"/>
        <v>13881.945</v>
      </c>
      <c r="X848" s="4">
        <f t="shared" ca="1" si="246"/>
        <v>5.3145861042123936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4.2804000000000009E-2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2.3202521514674215E-5</v>
      </c>
      <c r="L849" s="13">
        <f t="shared" ca="1" si="234"/>
        <v>197</v>
      </c>
      <c r="M849" s="7">
        <f t="shared" ca="1" si="235"/>
        <v>803</v>
      </c>
      <c r="N849" s="44">
        <f t="shared" ca="1" si="236"/>
        <v>8</v>
      </c>
      <c r="O849" s="94">
        <f t="shared" ca="1" si="237"/>
        <v>2.4908891993879614</v>
      </c>
      <c r="P849" s="94">
        <f t="shared" ca="1" si="238"/>
        <v>24.908891993879614</v>
      </c>
      <c r="Q849" s="94">
        <f t="shared" ca="1" si="239"/>
        <v>22.690984127143082</v>
      </c>
      <c r="R849" s="94">
        <f t="shared" ca="1" si="240"/>
        <v>2.379993806051135</v>
      </c>
      <c r="S849" s="94">
        <f t="shared" ca="1" si="241"/>
        <v>2.4908891993879614</v>
      </c>
      <c r="T849" s="4">
        <f t="shared" ca="1" si="242"/>
        <v>5.7794910239468803E-5</v>
      </c>
      <c r="U849" s="46">
        <f t="shared" ca="1" si="243"/>
        <v>1550.6995798612329</v>
      </c>
      <c r="V849" s="4">
        <f t="shared" ca="1" si="244"/>
        <v>3.5980140364526521E-2</v>
      </c>
      <c r="W849" s="13">
        <f t="shared" ca="1" si="245"/>
        <v>11898.81</v>
      </c>
      <c r="X849" s="4">
        <f t="shared" ca="1" si="246"/>
        <v>0.27608239502402065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4.2804000000000009E-2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5.8592226047157176E-7</v>
      </c>
      <c r="L850" s="13">
        <f t="shared" ca="1" si="234"/>
        <v>178</v>
      </c>
      <c r="M850" s="7">
        <f t="shared" ca="1" si="235"/>
        <v>822</v>
      </c>
      <c r="N850" s="44">
        <f t="shared" ca="1" si="236"/>
        <v>8</v>
      </c>
      <c r="O850" s="94">
        <f t="shared" ca="1" si="237"/>
        <v>2.4908891993879614</v>
      </c>
      <c r="P850" s="94">
        <f t="shared" ca="1" si="238"/>
        <v>24.908891993879614</v>
      </c>
      <c r="Q850" s="94">
        <f t="shared" ca="1" si="239"/>
        <v>24.908891993879614</v>
      </c>
      <c r="R850" s="94">
        <f t="shared" ca="1" si="240"/>
        <v>2.4908891993879614</v>
      </c>
      <c r="S850" s="94">
        <f t="shared" ca="1" si="241"/>
        <v>2.4908891993879614</v>
      </c>
      <c r="T850" s="4">
        <f t="shared" ca="1" si="242"/>
        <v>1.4594674302896179E-6</v>
      </c>
      <c r="U850" s="46">
        <f t="shared" ca="1" si="243"/>
        <v>1531.6995798612329</v>
      </c>
      <c r="V850" s="4">
        <f t="shared" ca="1" si="244"/>
        <v>8.9745688019565034E-4</v>
      </c>
      <c r="W850" s="13">
        <f t="shared" ca="1" si="245"/>
        <v>9915.6749999999993</v>
      </c>
      <c r="X850" s="4">
        <f t="shared" ca="1" si="246"/>
        <v>5.8098147101014515E-3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4.2804000000000009E-2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7.8912088952400286E-9</v>
      </c>
      <c r="L851" s="13">
        <f t="shared" ca="1" si="234"/>
        <v>159</v>
      </c>
      <c r="M851" s="7">
        <f t="shared" ca="1" si="235"/>
        <v>841</v>
      </c>
      <c r="N851" s="44">
        <f t="shared" ca="1" si="236"/>
        <v>8</v>
      </c>
      <c r="O851" s="94">
        <f t="shared" ca="1" si="237"/>
        <v>2.4908891993879614</v>
      </c>
      <c r="P851" s="94">
        <f t="shared" ca="1" si="238"/>
        <v>24.908891993879614</v>
      </c>
      <c r="Q851" s="94">
        <f t="shared" ca="1" si="239"/>
        <v>24.908891993879614</v>
      </c>
      <c r="R851" s="94">
        <f t="shared" ca="1" si="240"/>
        <v>2.4908891993879614</v>
      </c>
      <c r="S851" s="94">
        <f t="shared" ca="1" si="241"/>
        <v>2.4908891993879614</v>
      </c>
      <c r="T851" s="4">
        <f t="shared" ca="1" si="242"/>
        <v>1.9656127007267594E-8</v>
      </c>
      <c r="U851" s="46">
        <f t="shared" ca="1" si="243"/>
        <v>1512.6995798612329</v>
      </c>
      <c r="V851" s="4">
        <f t="shared" ca="1" si="244"/>
        <v>1.1937028380426816E-5</v>
      </c>
      <c r="W851" s="13">
        <f t="shared" ca="1" si="245"/>
        <v>7932.54</v>
      </c>
      <c r="X851" s="4">
        <f t="shared" ca="1" si="246"/>
        <v>6.2597330209847337E-5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4.2804000000000009E-2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5.9781885570000281E-11</v>
      </c>
      <c r="L852" s="13">
        <f t="shared" ca="1" si="234"/>
        <v>140</v>
      </c>
      <c r="M852" s="7">
        <f t="shared" ca="1" si="235"/>
        <v>860</v>
      </c>
      <c r="N852" s="44">
        <f t="shared" ca="1" si="236"/>
        <v>8</v>
      </c>
      <c r="O852" s="94">
        <f t="shared" ca="1" si="237"/>
        <v>2.4908891993879614</v>
      </c>
      <c r="P852" s="94">
        <f t="shared" ca="1" si="238"/>
        <v>24.908891993879614</v>
      </c>
      <c r="Q852" s="94">
        <f t="shared" ca="1" si="239"/>
        <v>24.908891993879614</v>
      </c>
      <c r="R852" s="94">
        <f t="shared" ca="1" si="240"/>
        <v>2.4908891993879614</v>
      </c>
      <c r="S852" s="94">
        <f t="shared" ca="1" si="241"/>
        <v>2.4908891993879614</v>
      </c>
      <c r="T852" s="4">
        <f t="shared" ca="1" si="242"/>
        <v>1.4891005308536073E-10</v>
      </c>
      <c r="U852" s="46">
        <f t="shared" ca="1" si="243"/>
        <v>1493.6995798612329</v>
      </c>
      <c r="V852" s="4">
        <f t="shared" ca="1" si="244"/>
        <v>8.9296177359221724E-8</v>
      </c>
      <c r="W852" s="13">
        <f t="shared" ca="1" si="245"/>
        <v>5949.4049999999997</v>
      </c>
      <c r="X852" s="4">
        <f t="shared" ca="1" si="246"/>
        <v>3.5566664891958748E-7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4.2804000000000009E-2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2.4154297200000136E-13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2.4908891993879614</v>
      </c>
      <c r="P853" s="94">
        <f t="shared" ca="1" si="238"/>
        <v>24.908891993879614</v>
      </c>
      <c r="Q853" s="94">
        <f t="shared" ca="1" si="239"/>
        <v>24.908891993879614</v>
      </c>
      <c r="R853" s="94">
        <f t="shared" ca="1" si="240"/>
        <v>2.4908891993879614</v>
      </c>
      <c r="S853" s="94">
        <f t="shared" ca="1" si="241"/>
        <v>2.4908891993879614</v>
      </c>
      <c r="T853" s="4">
        <f t="shared" ca="1" si="242"/>
        <v>6.0165678014287211E-13</v>
      </c>
      <c r="U853" s="46">
        <f t="shared" ca="1" si="243"/>
        <v>1474.6995798612329</v>
      </c>
      <c r="V853" s="4">
        <f t="shared" ca="1" si="244"/>
        <v>3.5620331932683553E-10</v>
      </c>
      <c r="W853" s="13">
        <f t="shared" ca="1" si="245"/>
        <v>3966.27</v>
      </c>
      <c r="X853" s="4">
        <f t="shared" ca="1" si="246"/>
        <v>9.580246435544453E-10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4.2804000000000009E-2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4.0663800000000266E-16</v>
      </c>
      <c r="L854" s="13">
        <f t="shared" ca="1" si="234"/>
        <v>102</v>
      </c>
      <c r="M854" s="7">
        <f t="shared" ca="1" si="235"/>
        <v>898</v>
      </c>
      <c r="N854" s="44">
        <f t="shared" ca="1" si="236"/>
        <v>8</v>
      </c>
      <c r="O854" s="94">
        <f t="shared" ca="1" si="237"/>
        <v>2.4908891993879614</v>
      </c>
      <c r="P854" s="94">
        <f t="shared" ca="1" si="238"/>
        <v>24.908891993879614</v>
      </c>
      <c r="Q854" s="94">
        <f t="shared" ca="1" si="239"/>
        <v>24.908891993879614</v>
      </c>
      <c r="R854" s="94">
        <f t="shared" ca="1" si="240"/>
        <v>2.4908891993879614</v>
      </c>
      <c r="S854" s="94">
        <f t="shared" ca="1" si="241"/>
        <v>2.4908891993879614</v>
      </c>
      <c r="T854" s="4">
        <f t="shared" ca="1" si="242"/>
        <v>1.0128902022607286E-15</v>
      </c>
      <c r="U854" s="46">
        <f t="shared" ca="1" si="243"/>
        <v>1455.6995798612329</v>
      </c>
      <c r="V854" s="4">
        <f t="shared" ca="1" si="244"/>
        <v>5.9194276575561586E-13</v>
      </c>
      <c r="W854" s="13">
        <f t="shared" ca="1" si="245"/>
        <v>1983.135</v>
      </c>
      <c r="X854" s="4">
        <f t="shared" ca="1" si="246"/>
        <v>8.0641805013000528E-13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4.2804000000000009E-2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235</v>
      </c>
      <c r="M855" s="7">
        <f t="shared" ca="1" si="235"/>
        <v>765</v>
      </c>
      <c r="N855" s="44">
        <f t="shared" ca="1" si="236"/>
        <v>7</v>
      </c>
      <c r="O855" s="94">
        <f t="shared" ca="1" si="237"/>
        <v>2.2444549919727916</v>
      </c>
      <c r="P855" s="94">
        <f t="shared" ca="1" si="238"/>
        <v>22.444549919727915</v>
      </c>
      <c r="Q855" s="94">
        <f t="shared" ca="1" si="239"/>
        <v>22.444549919727915</v>
      </c>
      <c r="R855" s="94">
        <f t="shared" ca="1" si="240"/>
        <v>2.2444549919727916</v>
      </c>
      <c r="S855" s="94">
        <f t="shared" ca="1" si="241"/>
        <v>2.2444549919727916</v>
      </c>
      <c r="T855" s="4">
        <f t="shared" ca="1" si="242"/>
        <v>0</v>
      </c>
      <c r="U855" s="46">
        <f t="shared" ca="1" si="243"/>
        <v>1480.7701584159711</v>
      </c>
      <c r="V855" s="4">
        <f t="shared" ca="1" si="244"/>
        <v>0</v>
      </c>
      <c r="W855" s="13">
        <f t="shared" ca="1" si="245"/>
        <v>15774.9375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4.2804000000000009E-2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1.9948062575905405E-3</v>
      </c>
      <c r="L856" s="13">
        <f t="shared" ca="1" si="234"/>
        <v>216</v>
      </c>
      <c r="M856" s="7">
        <f t="shared" ca="1" si="235"/>
        <v>784</v>
      </c>
      <c r="N856" s="44">
        <f t="shared" ca="1" si="236"/>
        <v>7</v>
      </c>
      <c r="O856" s="94">
        <f t="shared" ca="1" si="237"/>
        <v>2.2444549919727916</v>
      </c>
      <c r="P856" s="94">
        <f t="shared" ca="1" si="238"/>
        <v>22.444549919727915</v>
      </c>
      <c r="Q856" s="94">
        <f t="shared" ca="1" si="239"/>
        <v>22.444549919727915</v>
      </c>
      <c r="R856" s="94">
        <f t="shared" ca="1" si="240"/>
        <v>2.2444549919727916</v>
      </c>
      <c r="S856" s="94">
        <f t="shared" ca="1" si="241"/>
        <v>2.2444549919727916</v>
      </c>
      <c r="T856" s="4">
        <f t="shared" ca="1" si="242"/>
        <v>4.4772528628676507E-3</v>
      </c>
      <c r="U856" s="46">
        <f t="shared" ca="1" si="243"/>
        <v>1461.7701584159711</v>
      </c>
      <c r="V856" s="4">
        <f t="shared" ca="1" si="244"/>
        <v>2.9159482591672949</v>
      </c>
      <c r="W856" s="13">
        <f t="shared" ca="1" si="245"/>
        <v>13791.8025</v>
      </c>
      <c r="X856" s="4">
        <f t="shared" ca="1" si="246"/>
        <v>27.511973930452861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4.2804000000000009E-2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1.2089734894488132E-4</v>
      </c>
      <c r="L857" s="13">
        <f t="shared" ca="1" si="234"/>
        <v>197</v>
      </c>
      <c r="M857" s="7">
        <f t="shared" ca="1" si="235"/>
        <v>803</v>
      </c>
      <c r="N857" s="44">
        <f t="shared" ca="1" si="236"/>
        <v>8</v>
      </c>
      <c r="O857" s="94">
        <f t="shared" ca="1" si="237"/>
        <v>2.4908891993879614</v>
      </c>
      <c r="P857" s="94">
        <f t="shared" ca="1" si="238"/>
        <v>24.908891993879614</v>
      </c>
      <c r="Q857" s="94">
        <f t="shared" ca="1" si="239"/>
        <v>22.690984127143082</v>
      </c>
      <c r="R857" s="94">
        <f t="shared" ca="1" si="240"/>
        <v>2.379993806051135</v>
      </c>
      <c r="S857" s="94">
        <f t="shared" ca="1" si="241"/>
        <v>2.4908891993879614</v>
      </c>
      <c r="T857" s="4">
        <f t="shared" ca="1" si="242"/>
        <v>3.0114190072144241E-4</v>
      </c>
      <c r="U857" s="46">
        <f t="shared" ca="1" si="243"/>
        <v>1550.6995798612329</v>
      </c>
      <c r="V857" s="4">
        <f t="shared" ca="1" si="244"/>
        <v>0.18747546821516434</v>
      </c>
      <c r="W857" s="13">
        <f t="shared" ca="1" si="245"/>
        <v>11808.6675</v>
      </c>
      <c r="X857" s="4">
        <f t="shared" ca="1" si="246"/>
        <v>1.4276365953215793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4.2804000000000009E-2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3.0529633571939767E-6</v>
      </c>
      <c r="L858" s="13">
        <f t="shared" ca="1" si="234"/>
        <v>178</v>
      </c>
      <c r="M858" s="7">
        <f t="shared" ca="1" si="235"/>
        <v>822</v>
      </c>
      <c r="N858" s="44">
        <f t="shared" ca="1" si="236"/>
        <v>8</v>
      </c>
      <c r="O858" s="94">
        <f t="shared" ca="1" si="237"/>
        <v>2.4908891993879614</v>
      </c>
      <c r="P858" s="94">
        <f t="shared" ca="1" si="238"/>
        <v>24.908891993879614</v>
      </c>
      <c r="Q858" s="94">
        <f t="shared" ca="1" si="239"/>
        <v>24.908891993879614</v>
      </c>
      <c r="R858" s="94">
        <f t="shared" ca="1" si="240"/>
        <v>2.4908891993879614</v>
      </c>
      <c r="S858" s="94">
        <f t="shared" ca="1" si="241"/>
        <v>2.4908891993879614</v>
      </c>
      <c r="T858" s="4">
        <f t="shared" ca="1" si="242"/>
        <v>7.6045934525616874E-6</v>
      </c>
      <c r="U858" s="46">
        <f t="shared" ca="1" si="243"/>
        <v>1531.6995798612329</v>
      </c>
      <c r="V858" s="4">
        <f t="shared" ca="1" si="244"/>
        <v>4.6762226915457528E-3</v>
      </c>
      <c r="W858" s="13">
        <f t="shared" ca="1" si="245"/>
        <v>9825.5324999999993</v>
      </c>
      <c r="X858" s="4">
        <f t="shared" ca="1" si="246"/>
        <v>2.9996990687418526E-2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4.2804000000000009E-2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4.1117351612040113E-8</v>
      </c>
      <c r="L859" s="13">
        <f t="shared" ca="1" si="234"/>
        <v>159</v>
      </c>
      <c r="M859" s="7">
        <f t="shared" ca="1" si="235"/>
        <v>841</v>
      </c>
      <c r="N859" s="44">
        <f t="shared" ca="1" si="236"/>
        <v>8</v>
      </c>
      <c r="O859" s="94">
        <f t="shared" ca="1" si="237"/>
        <v>2.4908891993879614</v>
      </c>
      <c r="P859" s="94">
        <f t="shared" ca="1" si="238"/>
        <v>24.908891993879614</v>
      </c>
      <c r="Q859" s="94">
        <f t="shared" ca="1" si="239"/>
        <v>24.908891993879614</v>
      </c>
      <c r="R859" s="94">
        <f t="shared" ca="1" si="240"/>
        <v>2.4908891993879614</v>
      </c>
      <c r="S859" s="94">
        <f t="shared" ca="1" si="241"/>
        <v>2.4908891993879614</v>
      </c>
      <c r="T859" s="4">
        <f t="shared" ca="1" si="242"/>
        <v>1.0241876703786791E-7</v>
      </c>
      <c r="U859" s="46">
        <f t="shared" ca="1" si="243"/>
        <v>1512.6995798612329</v>
      </c>
      <c r="V859" s="4">
        <f t="shared" ca="1" si="244"/>
        <v>6.2198200508539666E-5</v>
      </c>
      <c r="W859" s="13">
        <f t="shared" ca="1" si="245"/>
        <v>7842.3974999999991</v>
      </c>
      <c r="X859" s="4">
        <f t="shared" ca="1" si="246"/>
        <v>3.2245861548888433E-4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4.2804000000000009E-2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3.1149508797000128E-10</v>
      </c>
      <c r="L860" s="13">
        <f t="shared" ca="1" si="234"/>
        <v>140</v>
      </c>
      <c r="M860" s="7">
        <f t="shared" ca="1" si="235"/>
        <v>860</v>
      </c>
      <c r="N860" s="44">
        <f t="shared" ca="1" si="236"/>
        <v>8</v>
      </c>
      <c r="O860" s="94">
        <f t="shared" ca="1" si="237"/>
        <v>2.4908891993879614</v>
      </c>
      <c r="P860" s="94">
        <f t="shared" ca="1" si="238"/>
        <v>24.908891993879614</v>
      </c>
      <c r="Q860" s="94">
        <f t="shared" ca="1" si="239"/>
        <v>24.908891993879614</v>
      </c>
      <c r="R860" s="94">
        <f t="shared" ca="1" si="240"/>
        <v>2.4908891993879614</v>
      </c>
      <c r="S860" s="94">
        <f t="shared" ca="1" si="241"/>
        <v>2.4908891993879614</v>
      </c>
      <c r="T860" s="4">
        <f t="shared" ca="1" si="242"/>
        <v>7.7589975028687906E-10</v>
      </c>
      <c r="U860" s="46">
        <f t="shared" ca="1" si="243"/>
        <v>1493.6995798612329</v>
      </c>
      <c r="V860" s="4">
        <f t="shared" ca="1" si="244"/>
        <v>4.6528008202962871E-7</v>
      </c>
      <c r="W860" s="13">
        <f t="shared" ca="1" si="245"/>
        <v>5859.2624999999998</v>
      </c>
      <c r="X860" s="4">
        <f t="shared" ca="1" si="246"/>
        <v>1.8251314878768295E-6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4.2804000000000009E-2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1.258566012000006E-12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2.4908891993879614</v>
      </c>
      <c r="P861" s="94">
        <f t="shared" ca="1" si="238"/>
        <v>24.908891993879614</v>
      </c>
      <c r="Q861" s="94">
        <f t="shared" ca="1" si="239"/>
        <v>24.908891993879614</v>
      </c>
      <c r="R861" s="94">
        <f t="shared" ca="1" si="240"/>
        <v>2.4908891993879614</v>
      </c>
      <c r="S861" s="94">
        <f t="shared" ca="1" si="241"/>
        <v>2.4908891993879614</v>
      </c>
      <c r="T861" s="4">
        <f t="shared" ca="1" si="242"/>
        <v>3.1349484860075941E-12</v>
      </c>
      <c r="U861" s="46">
        <f t="shared" ca="1" si="243"/>
        <v>1474.6995798612329</v>
      </c>
      <c r="V861" s="4">
        <f t="shared" ca="1" si="244"/>
        <v>1.8560067691240362E-9</v>
      </c>
      <c r="W861" s="13">
        <f t="shared" ca="1" si="245"/>
        <v>3876.1274999999996</v>
      </c>
      <c r="X861" s="4">
        <f t="shared" ca="1" si="246"/>
        <v>4.8783623296785526E-9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4.2804000000000009E-2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2.1187980000000118E-15</v>
      </c>
      <c r="L862" s="13">
        <f t="shared" ca="1" si="234"/>
        <v>102</v>
      </c>
      <c r="M862" s="7">
        <f t="shared" ca="1" si="235"/>
        <v>898</v>
      </c>
      <c r="N862" s="44">
        <f t="shared" ca="1" si="236"/>
        <v>8</v>
      </c>
      <c r="O862" s="94">
        <f t="shared" ca="1" si="237"/>
        <v>2.4908891993879614</v>
      </c>
      <c r="P862" s="94">
        <f t="shared" ca="1" si="238"/>
        <v>24.908891993879614</v>
      </c>
      <c r="Q862" s="94">
        <f t="shared" ca="1" si="239"/>
        <v>24.908891993879614</v>
      </c>
      <c r="R862" s="94">
        <f t="shared" ca="1" si="240"/>
        <v>2.4908891993879614</v>
      </c>
      <c r="S862" s="94">
        <f t="shared" ca="1" si="241"/>
        <v>2.4908891993879614</v>
      </c>
      <c r="T862" s="4">
        <f t="shared" ca="1" si="242"/>
        <v>5.2776910538848431E-15</v>
      </c>
      <c r="U862" s="46">
        <f t="shared" ca="1" si="243"/>
        <v>1455.6995798612329</v>
      </c>
      <c r="V862" s="4">
        <f t="shared" ca="1" si="244"/>
        <v>3.0843333584108379E-12</v>
      </c>
      <c r="W862" s="13">
        <f t="shared" ca="1" si="245"/>
        <v>1892.9924999999998</v>
      </c>
      <c r="X862" s="4">
        <f t="shared" ca="1" si="246"/>
        <v>4.0108687230150217E-12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4.2804000000000009E-2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133</v>
      </c>
      <c r="M863" s="7">
        <f t="shared" ca="1" si="235"/>
        <v>867</v>
      </c>
      <c r="N863" s="44">
        <f t="shared" ca="1" si="236"/>
        <v>8</v>
      </c>
      <c r="O863" s="94">
        <f t="shared" ca="1" si="237"/>
        <v>2.4908891993879614</v>
      </c>
      <c r="P863" s="94">
        <f t="shared" ca="1" si="238"/>
        <v>24.908891993879614</v>
      </c>
      <c r="Q863" s="94">
        <f t="shared" ca="1" si="239"/>
        <v>24.908891993879614</v>
      </c>
      <c r="R863" s="94">
        <f t="shared" ca="1" si="240"/>
        <v>2.4908891993879614</v>
      </c>
      <c r="S863" s="94">
        <f t="shared" ca="1" si="241"/>
        <v>2.4908891993879614</v>
      </c>
      <c r="T863" s="4">
        <f t="shared" ca="1" si="242"/>
        <v>0</v>
      </c>
      <c r="U863" s="46">
        <f t="shared" ca="1" si="243"/>
        <v>1486.6995798612329</v>
      </c>
      <c r="V863" s="4">
        <f t="shared" ca="1" si="244"/>
        <v>0</v>
      </c>
      <c r="W863" s="13">
        <f t="shared" ca="1" si="245"/>
        <v>13881.945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4.2804000000000009E-2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2.0149558157480223E-5</v>
      </c>
      <c r="L864" s="13">
        <f t="shared" ca="1" si="234"/>
        <v>114</v>
      </c>
      <c r="M864" s="7">
        <f t="shared" ca="1" si="235"/>
        <v>886</v>
      </c>
      <c r="N864" s="44">
        <f t="shared" ca="1" si="236"/>
        <v>8</v>
      </c>
      <c r="O864" s="94">
        <f t="shared" ca="1" si="237"/>
        <v>2.4908891993879614</v>
      </c>
      <c r="P864" s="94">
        <f t="shared" ca="1" si="238"/>
        <v>24.908891993879614</v>
      </c>
      <c r="Q864" s="94">
        <f t="shared" ca="1" si="239"/>
        <v>24.908891993879614</v>
      </c>
      <c r="R864" s="94">
        <f t="shared" ca="1" si="240"/>
        <v>2.4908891993879614</v>
      </c>
      <c r="S864" s="94">
        <f t="shared" ca="1" si="241"/>
        <v>2.4908891993879614</v>
      </c>
      <c r="T864" s="4">
        <f t="shared" ca="1" si="242"/>
        <v>5.0190316786907076E-5</v>
      </c>
      <c r="U864" s="46">
        <f t="shared" ca="1" si="243"/>
        <v>1467.6995798612329</v>
      </c>
      <c r="V864" s="4">
        <f t="shared" ca="1" si="244"/>
        <v>2.9573498042123201E-2</v>
      </c>
      <c r="W864" s="13">
        <f t="shared" ca="1" si="245"/>
        <v>11898.81</v>
      </c>
      <c r="X864" s="4">
        <f t="shared" ca="1" si="246"/>
        <v>0.23975576409980723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4.2804000000000009E-2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1.2211853428775901E-6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2.4908891993879614</v>
      </c>
      <c r="P865" s="94">
        <f t="shared" ca="1" si="238"/>
        <v>24.908891993879614</v>
      </c>
      <c r="Q865" s="94">
        <f t="shared" ca="1" si="239"/>
        <v>24.908891993879614</v>
      </c>
      <c r="R865" s="94">
        <f t="shared" ca="1" si="240"/>
        <v>2.4908891993879614</v>
      </c>
      <c r="S865" s="94">
        <f t="shared" ca="1" si="241"/>
        <v>2.4908891993879614</v>
      </c>
      <c r="T865" s="4">
        <f t="shared" ca="1" si="242"/>
        <v>3.0418373810246734E-6</v>
      </c>
      <c r="U865" s="46">
        <f t="shared" ca="1" si="243"/>
        <v>1453.6995798612329</v>
      </c>
      <c r="V865" s="4">
        <f t="shared" ca="1" si="244"/>
        <v>1.7752366198738483E-3</v>
      </c>
      <c r="W865" s="13">
        <f t="shared" ca="1" si="245"/>
        <v>9915.6749999999993</v>
      </c>
      <c r="X865" s="4">
        <f t="shared" ca="1" si="246"/>
        <v>1.2108876974737748E-2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4.2804000000000009E-2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3.0838013709030087E-8</v>
      </c>
      <c r="L866" s="13">
        <f t="shared" ca="1" si="234"/>
        <v>100</v>
      </c>
      <c r="M866" s="7">
        <f t="shared" ca="1" si="235"/>
        <v>900</v>
      </c>
      <c r="N866" s="44">
        <f t="shared" ca="1" si="236"/>
        <v>8</v>
      </c>
      <c r="O866" s="94">
        <f t="shared" ca="1" si="237"/>
        <v>2.4908891993879614</v>
      </c>
      <c r="P866" s="94">
        <f t="shared" ca="1" si="238"/>
        <v>24.908891993879614</v>
      </c>
      <c r="Q866" s="94">
        <f t="shared" ca="1" si="239"/>
        <v>24.908891993879614</v>
      </c>
      <c r="R866" s="94">
        <f t="shared" ca="1" si="240"/>
        <v>2.4908891993879614</v>
      </c>
      <c r="S866" s="94">
        <f t="shared" ca="1" si="241"/>
        <v>2.4908891993879614</v>
      </c>
      <c r="T866" s="4">
        <f t="shared" ca="1" si="242"/>
        <v>7.6814075278400932E-8</v>
      </c>
      <c r="U866" s="46">
        <f t="shared" ca="1" si="243"/>
        <v>1453.6995798612329</v>
      </c>
      <c r="V866" s="4">
        <f t="shared" ca="1" si="244"/>
        <v>4.4829207572571979E-5</v>
      </c>
      <c r="W866" s="13">
        <f t="shared" ca="1" si="245"/>
        <v>7932.54</v>
      </c>
      <c r="X866" s="4">
        <f t="shared" ca="1" si="246"/>
        <v>2.4462377726742953E-4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4.2804000000000009E-2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4.1532678396000153E-10</v>
      </c>
      <c r="L867" s="13">
        <f t="shared" ca="1" si="234"/>
        <v>100</v>
      </c>
      <c r="M867" s="7">
        <f t="shared" ca="1" si="235"/>
        <v>900</v>
      </c>
      <c r="N867" s="44">
        <f t="shared" ca="1" si="236"/>
        <v>8</v>
      </c>
      <c r="O867" s="94">
        <f t="shared" ca="1" si="237"/>
        <v>2.4908891993879614</v>
      </c>
      <c r="P867" s="94">
        <f t="shared" ca="1" si="238"/>
        <v>24.908891993879614</v>
      </c>
      <c r="Q867" s="94">
        <f t="shared" ca="1" si="239"/>
        <v>24.908891993879614</v>
      </c>
      <c r="R867" s="94">
        <f t="shared" ca="1" si="240"/>
        <v>2.4908891993879614</v>
      </c>
      <c r="S867" s="94">
        <f t="shared" ca="1" si="241"/>
        <v>2.4908891993879614</v>
      </c>
      <c r="T867" s="4">
        <f t="shared" ca="1" si="242"/>
        <v>1.0345330003825049E-9</v>
      </c>
      <c r="U867" s="46">
        <f t="shared" ca="1" si="243"/>
        <v>1453.6995798612329</v>
      </c>
      <c r="V867" s="4">
        <f t="shared" ca="1" si="244"/>
        <v>6.0376037134777126E-7</v>
      </c>
      <c r="W867" s="13">
        <f t="shared" ca="1" si="245"/>
        <v>5949.4049999999997</v>
      </c>
      <c r="X867" s="4">
        <f t="shared" ca="1" si="246"/>
        <v>2.4709472451255528E-6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4.2804000000000009E-2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3.1464150300000154E-12</v>
      </c>
      <c r="L868" s="13">
        <f t="shared" ca="1" si="234"/>
        <v>100</v>
      </c>
      <c r="M868" s="7">
        <f t="shared" ca="1" si="235"/>
        <v>900</v>
      </c>
      <c r="N868" s="44">
        <f t="shared" ca="1" si="236"/>
        <v>8</v>
      </c>
      <c r="O868" s="94">
        <f t="shared" ca="1" si="237"/>
        <v>2.4908891993879614</v>
      </c>
      <c r="P868" s="94">
        <f t="shared" ca="1" si="238"/>
        <v>24.908891993879614</v>
      </c>
      <c r="Q868" s="94">
        <f t="shared" ca="1" si="239"/>
        <v>24.908891993879614</v>
      </c>
      <c r="R868" s="94">
        <f t="shared" ca="1" si="240"/>
        <v>2.4908891993879614</v>
      </c>
      <c r="S868" s="94">
        <f t="shared" ca="1" si="241"/>
        <v>2.4908891993879614</v>
      </c>
      <c r="T868" s="4">
        <f t="shared" ca="1" si="242"/>
        <v>7.8373712150189876E-12</v>
      </c>
      <c r="U868" s="46">
        <f t="shared" ca="1" si="243"/>
        <v>1453.6995798612329</v>
      </c>
      <c r="V868" s="4">
        <f t="shared" ca="1" si="244"/>
        <v>4.5739422071800906E-9</v>
      </c>
      <c r="W868" s="13">
        <f t="shared" ca="1" si="245"/>
        <v>3966.27</v>
      </c>
      <c r="X868" s="4">
        <f t="shared" ca="1" si="246"/>
        <v>1.2479531541038162E-8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4.2804000000000009E-2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1.2712788000000071E-14</v>
      </c>
      <c r="L869" s="13">
        <f t="shared" ca="1" si="234"/>
        <v>100</v>
      </c>
      <c r="M869" s="7">
        <f t="shared" ca="1" si="235"/>
        <v>900</v>
      </c>
      <c r="N869" s="44">
        <f t="shared" ca="1" si="236"/>
        <v>8</v>
      </c>
      <c r="O869" s="94">
        <f t="shared" ca="1" si="237"/>
        <v>2.4908891993879614</v>
      </c>
      <c r="P869" s="94">
        <f t="shared" ca="1" si="238"/>
        <v>24.908891993879614</v>
      </c>
      <c r="Q869" s="94">
        <f t="shared" ca="1" si="239"/>
        <v>24.908891993879614</v>
      </c>
      <c r="R869" s="94">
        <f t="shared" ca="1" si="240"/>
        <v>2.4908891993879614</v>
      </c>
      <c r="S869" s="94">
        <f t="shared" ca="1" si="241"/>
        <v>2.4908891993879614</v>
      </c>
      <c r="T869" s="4">
        <f t="shared" ca="1" si="242"/>
        <v>3.1666146323309062E-14</v>
      </c>
      <c r="U869" s="46">
        <f t="shared" ca="1" si="243"/>
        <v>1453.6995798612329</v>
      </c>
      <c r="V869" s="4">
        <f t="shared" ca="1" si="244"/>
        <v>1.8480574574465028E-11</v>
      </c>
      <c r="W869" s="13">
        <f t="shared" ca="1" si="245"/>
        <v>1983.135</v>
      </c>
      <c r="X869" s="4">
        <f t="shared" ca="1" si="246"/>
        <v>2.5211174830380139E-11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4.2804000000000009E-2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2.1402000000000142E-17</v>
      </c>
      <c r="L870" s="13">
        <f t="shared" ca="1" si="234"/>
        <v>100</v>
      </c>
      <c r="M870" s="7">
        <f t="shared" ca="1" si="235"/>
        <v>900</v>
      </c>
      <c r="N870" s="44">
        <f t="shared" ca="1" si="236"/>
        <v>8</v>
      </c>
      <c r="O870" s="94">
        <f t="shared" ca="1" si="237"/>
        <v>2.4908891993879614</v>
      </c>
      <c r="P870" s="94">
        <f t="shared" ca="1" si="238"/>
        <v>24.908891993879614</v>
      </c>
      <c r="Q870" s="94">
        <f t="shared" ca="1" si="239"/>
        <v>24.908891993879614</v>
      </c>
      <c r="R870" s="94">
        <f t="shared" ca="1" si="240"/>
        <v>2.4908891993879614</v>
      </c>
      <c r="S870" s="94">
        <f t="shared" ca="1" si="241"/>
        <v>2.4908891993879614</v>
      </c>
      <c r="T870" s="4">
        <f t="shared" ca="1" si="242"/>
        <v>5.3310010645301504E-17</v>
      </c>
      <c r="U870" s="46">
        <f t="shared" ca="1" si="243"/>
        <v>1453.6995798612329</v>
      </c>
      <c r="V870" s="4">
        <f t="shared" ca="1" si="244"/>
        <v>3.1112078408190311E-14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3.2399999999999998E-2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337</v>
      </c>
      <c r="M871" s="7">
        <f t="shared" ref="M871:M934" ca="1" si="254">MAX(Set2MinTP-(L871+Set2Regain), 0)</f>
        <v>663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1.9922775034029279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19.922775034029279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19.922775034029279</v>
      </c>
      <c r="R871" s="94">
        <f t="shared" ref="R871:R934" ca="1" si="259">(P871+Q871)/20</f>
        <v>1.9922775034029279</v>
      </c>
      <c r="S871" s="94">
        <f t="shared" ref="S871:S934" ca="1" si="260">R871*Set2ConserveTP + O871*(1-Set2ConserveTP)</f>
        <v>1.9922775034029279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1472.3253840141317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17758.072499999998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3.2399999999999998E-2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2.8688971408577148E-2</v>
      </c>
      <c r="L872" s="13">
        <f t="shared" ca="1" si="253"/>
        <v>318</v>
      </c>
      <c r="M872" s="7">
        <f t="shared" ca="1" si="254"/>
        <v>682</v>
      </c>
      <c r="N872" s="44">
        <f t="shared" ca="1" si="255"/>
        <v>7</v>
      </c>
      <c r="O872" s="94">
        <f t="shared" ca="1" si="256"/>
        <v>2.2444549919727916</v>
      </c>
      <c r="P872" s="94">
        <f t="shared" ca="1" si="257"/>
        <v>20.679307499738869</v>
      </c>
      <c r="Q872" s="94">
        <f t="shared" ca="1" si="258"/>
        <v>19.922775034029279</v>
      </c>
      <c r="R872" s="94">
        <f t="shared" ca="1" si="259"/>
        <v>2.0301041266884075</v>
      </c>
      <c r="S872" s="94">
        <f t="shared" ca="1" si="260"/>
        <v>2.2444549919727916</v>
      </c>
      <c r="T872" s="4">
        <f t="shared" ca="1" si="261"/>
        <v>6.439110509254567E-2</v>
      </c>
      <c r="U872" s="46">
        <f t="shared" ca="1" si="262"/>
        <v>1563.7701584159711</v>
      </c>
      <c r="V872" s="4">
        <f t="shared" ca="1" si="263"/>
        <v>44.862957364381955</v>
      </c>
      <c r="W872" s="13">
        <f t="shared" ca="1" si="264"/>
        <v>15774.9375</v>
      </c>
      <c r="X872" s="4">
        <f t="shared" ca="1" si="265"/>
        <v>452.56673090959146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3.2399999999999998E-2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1.738725539913768E-3</v>
      </c>
      <c r="L873" s="13">
        <f t="shared" ca="1" si="253"/>
        <v>299</v>
      </c>
      <c r="M873" s="7">
        <f t="shared" ca="1" si="254"/>
        <v>701</v>
      </c>
      <c r="N873" s="44">
        <f t="shared" ca="1" si="255"/>
        <v>7</v>
      </c>
      <c r="O873" s="94">
        <f t="shared" ca="1" si="256"/>
        <v>2.2444549919727916</v>
      </c>
      <c r="P873" s="94">
        <f t="shared" ca="1" si="257"/>
        <v>22.444549919727915</v>
      </c>
      <c r="Q873" s="94">
        <f t="shared" ca="1" si="258"/>
        <v>22.444549919727915</v>
      </c>
      <c r="R873" s="94">
        <f t="shared" ca="1" si="259"/>
        <v>2.2444549919727916</v>
      </c>
      <c r="S873" s="94">
        <f t="shared" ca="1" si="260"/>
        <v>2.2444549919727916</v>
      </c>
      <c r="T873" s="4">
        <f t="shared" ca="1" si="261"/>
        <v>3.9024912177300437E-3</v>
      </c>
      <c r="U873" s="46">
        <f t="shared" ca="1" si="262"/>
        <v>1544.7701584159711</v>
      </c>
      <c r="V873" s="4">
        <f t="shared" ca="1" si="263"/>
        <v>2.6859313277344863</v>
      </c>
      <c r="W873" s="13">
        <f t="shared" ca="1" si="264"/>
        <v>13791.802499999998</v>
      </c>
      <c r="X873" s="4">
        <f t="shared" ca="1" si="265"/>
        <v>23.98015924819655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3.2399999999999998E-2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4.3907210603883079E-5</v>
      </c>
      <c r="L874" s="13">
        <f t="shared" ca="1" si="253"/>
        <v>280</v>
      </c>
      <c r="M874" s="7">
        <f t="shared" ca="1" si="254"/>
        <v>720</v>
      </c>
      <c r="N874" s="44">
        <f t="shared" ca="1" si="255"/>
        <v>7</v>
      </c>
      <c r="O874" s="94">
        <f t="shared" ca="1" si="256"/>
        <v>2.2444549919727916</v>
      </c>
      <c r="P874" s="94">
        <f t="shared" ca="1" si="257"/>
        <v>22.444549919727915</v>
      </c>
      <c r="Q874" s="94">
        <f t="shared" ca="1" si="258"/>
        <v>22.444549919727915</v>
      </c>
      <c r="R874" s="94">
        <f t="shared" ca="1" si="259"/>
        <v>2.2444549919727916</v>
      </c>
      <c r="S874" s="94">
        <f t="shared" ca="1" si="260"/>
        <v>2.2444549919727916</v>
      </c>
      <c r="T874" s="4">
        <f t="shared" ca="1" si="261"/>
        <v>9.8547758023486066E-5</v>
      </c>
      <c r="U874" s="46">
        <f t="shared" ca="1" si="262"/>
        <v>1525.7701584159711</v>
      </c>
      <c r="V874" s="4">
        <f t="shared" ca="1" si="263"/>
        <v>6.6992311678690089E-2</v>
      </c>
      <c r="W874" s="13">
        <f t="shared" ca="1" si="264"/>
        <v>11808.6675</v>
      </c>
      <c r="X874" s="4">
        <f t="shared" ca="1" si="265"/>
        <v>0.51848565087372944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3.2399999999999998E-2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5.9134290375600141E-7</v>
      </c>
      <c r="L875" s="13">
        <f t="shared" ca="1" si="253"/>
        <v>261</v>
      </c>
      <c r="M875" s="7">
        <f t="shared" ca="1" si="254"/>
        <v>739</v>
      </c>
      <c r="N875" s="44">
        <f t="shared" ca="1" si="255"/>
        <v>7</v>
      </c>
      <c r="O875" s="94">
        <f t="shared" ca="1" si="256"/>
        <v>2.2444549919727916</v>
      </c>
      <c r="P875" s="94">
        <f t="shared" ca="1" si="257"/>
        <v>22.444549919727915</v>
      </c>
      <c r="Q875" s="94">
        <f t="shared" ca="1" si="258"/>
        <v>22.444549919727915</v>
      </c>
      <c r="R875" s="94">
        <f t="shared" ca="1" si="259"/>
        <v>2.2444549919727916</v>
      </c>
      <c r="S875" s="94">
        <f t="shared" ca="1" si="260"/>
        <v>2.2444549919727916</v>
      </c>
      <c r="T875" s="4">
        <f t="shared" ca="1" si="261"/>
        <v>1.3272425323028434E-6</v>
      </c>
      <c r="U875" s="46">
        <f t="shared" ca="1" si="262"/>
        <v>1506.7701584159711</v>
      </c>
      <c r="V875" s="4">
        <f t="shared" ca="1" si="263"/>
        <v>8.9101784077059054E-4</v>
      </c>
      <c r="W875" s="13">
        <f t="shared" ca="1" si="264"/>
        <v>9825.5324999999993</v>
      </c>
      <c r="X875" s="4">
        <f t="shared" ca="1" si="265"/>
        <v>5.8102589194989635E-3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3.2399999999999998E-2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4.479870483000016E-9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2.2444549919727916</v>
      </c>
      <c r="P876" s="94">
        <f t="shared" ca="1" si="257"/>
        <v>22.444549919727915</v>
      </c>
      <c r="Q876" s="94">
        <f t="shared" ca="1" si="258"/>
        <v>22.444549919727915</v>
      </c>
      <c r="R876" s="94">
        <f t="shared" ca="1" si="259"/>
        <v>2.2444549919727916</v>
      </c>
      <c r="S876" s="94">
        <f t="shared" ca="1" si="260"/>
        <v>2.2444549919727916</v>
      </c>
      <c r="T876" s="4">
        <f t="shared" ca="1" si="261"/>
        <v>1.0054867668960946E-8</v>
      </c>
      <c r="U876" s="46">
        <f t="shared" ca="1" si="262"/>
        <v>1487.7701584159711</v>
      </c>
      <c r="V876" s="4">
        <f t="shared" ca="1" si="263"/>
        <v>6.6650176181759667E-6</v>
      </c>
      <c r="W876" s="13">
        <f t="shared" ca="1" si="264"/>
        <v>7842.3974999999991</v>
      </c>
      <c r="X876" s="4">
        <f t="shared" ca="1" si="265"/>
        <v>3.5132925076203115E-5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3.2399999999999998E-2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1.8100486800000082E-11</v>
      </c>
      <c r="L877" s="13">
        <f t="shared" ca="1" si="253"/>
        <v>223</v>
      </c>
      <c r="M877" s="7">
        <f t="shared" ca="1" si="254"/>
        <v>777</v>
      </c>
      <c r="N877" s="44">
        <f t="shared" ca="1" si="255"/>
        <v>7</v>
      </c>
      <c r="O877" s="94">
        <f t="shared" ca="1" si="256"/>
        <v>2.2444549919727916</v>
      </c>
      <c r="P877" s="94">
        <f t="shared" ca="1" si="257"/>
        <v>22.444549919727915</v>
      </c>
      <c r="Q877" s="94">
        <f t="shared" ca="1" si="258"/>
        <v>22.444549919727915</v>
      </c>
      <c r="R877" s="94">
        <f t="shared" ca="1" si="259"/>
        <v>2.2444549919727916</v>
      </c>
      <c r="S877" s="94">
        <f t="shared" ca="1" si="260"/>
        <v>2.2444549919727916</v>
      </c>
      <c r="T877" s="4">
        <f t="shared" ca="1" si="261"/>
        <v>4.0625727955397803E-11</v>
      </c>
      <c r="U877" s="46">
        <f t="shared" ca="1" si="262"/>
        <v>1468.7701584159711</v>
      </c>
      <c r="V877" s="4">
        <f t="shared" ca="1" si="263"/>
        <v>2.6585454864642314E-8</v>
      </c>
      <c r="W877" s="13">
        <f t="shared" ca="1" si="264"/>
        <v>5859.2624999999998</v>
      </c>
      <c r="X877" s="4">
        <f t="shared" ca="1" si="265"/>
        <v>1.0605550353898548E-7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3.2399999999999998E-2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3.0472200000000167E-14</v>
      </c>
      <c r="L878" s="13">
        <f t="shared" ca="1" si="253"/>
        <v>204</v>
      </c>
      <c r="M878" s="7">
        <f t="shared" ca="1" si="254"/>
        <v>796</v>
      </c>
      <c r="N878" s="44">
        <f t="shared" ca="1" si="255"/>
        <v>8</v>
      </c>
      <c r="O878" s="94">
        <f t="shared" ca="1" si="256"/>
        <v>2.4908891993879614</v>
      </c>
      <c r="P878" s="94">
        <f t="shared" ca="1" si="257"/>
        <v>23.430286749388593</v>
      </c>
      <c r="Q878" s="94">
        <f t="shared" ca="1" si="258"/>
        <v>22.444549919727915</v>
      </c>
      <c r="R878" s="94">
        <f t="shared" ca="1" si="259"/>
        <v>2.2937418334558251</v>
      </c>
      <c r="S878" s="94">
        <f t="shared" ca="1" si="260"/>
        <v>2.4908891993879614</v>
      </c>
      <c r="T878" s="4">
        <f t="shared" ca="1" si="261"/>
        <v>7.5902873861590249E-14</v>
      </c>
      <c r="U878" s="46">
        <f t="shared" ca="1" si="262"/>
        <v>1557.6995798612329</v>
      </c>
      <c r="V878" s="4">
        <f t="shared" ca="1" si="263"/>
        <v>4.7466533137447724E-11</v>
      </c>
      <c r="W878" s="13">
        <f t="shared" ca="1" si="264"/>
        <v>3876.1274999999996</v>
      </c>
      <c r="X878" s="4">
        <f t="shared" ca="1" si="265"/>
        <v>1.1811413240550064E-10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3.2399999999999998E-2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235</v>
      </c>
      <c r="M879" s="7">
        <f t="shared" ca="1" si="254"/>
        <v>765</v>
      </c>
      <c r="N879" s="44">
        <f t="shared" ca="1" si="255"/>
        <v>7</v>
      </c>
      <c r="O879" s="94">
        <f t="shared" ca="1" si="256"/>
        <v>2.2444549919727916</v>
      </c>
      <c r="P879" s="94">
        <f t="shared" ca="1" si="257"/>
        <v>22.444549919727915</v>
      </c>
      <c r="Q879" s="94">
        <f t="shared" ca="1" si="258"/>
        <v>22.444549919727915</v>
      </c>
      <c r="R879" s="94">
        <f t="shared" ca="1" si="259"/>
        <v>2.2444549919727916</v>
      </c>
      <c r="S879" s="94">
        <f t="shared" ca="1" si="260"/>
        <v>2.2444549919727916</v>
      </c>
      <c r="T879" s="4">
        <f t="shared" ca="1" si="261"/>
        <v>0</v>
      </c>
      <c r="U879" s="46">
        <f t="shared" ca="1" si="262"/>
        <v>1480.7701584159711</v>
      </c>
      <c r="V879" s="4">
        <f t="shared" ca="1" si="263"/>
        <v>0</v>
      </c>
      <c r="W879" s="13">
        <f t="shared" ca="1" si="264"/>
        <v>15865.08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3.2399999999999998E-2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2.8978758998562802E-4</v>
      </c>
      <c r="L880" s="13">
        <f t="shared" ca="1" si="253"/>
        <v>216</v>
      </c>
      <c r="M880" s="7">
        <f t="shared" ca="1" si="254"/>
        <v>784</v>
      </c>
      <c r="N880" s="44">
        <f t="shared" ca="1" si="255"/>
        <v>7</v>
      </c>
      <c r="O880" s="94">
        <f t="shared" ca="1" si="256"/>
        <v>2.2444549919727916</v>
      </c>
      <c r="P880" s="94">
        <f t="shared" ca="1" si="257"/>
        <v>22.444549919727915</v>
      </c>
      <c r="Q880" s="94">
        <f t="shared" ca="1" si="258"/>
        <v>22.444549919727915</v>
      </c>
      <c r="R880" s="94">
        <f t="shared" ca="1" si="259"/>
        <v>2.2444549919727916</v>
      </c>
      <c r="S880" s="94">
        <f t="shared" ca="1" si="260"/>
        <v>2.2444549919727916</v>
      </c>
      <c r="T880" s="4">
        <f t="shared" ca="1" si="261"/>
        <v>6.504152029550074E-4</v>
      </c>
      <c r="U880" s="46">
        <f t="shared" ca="1" si="262"/>
        <v>1461.7701584159711</v>
      </c>
      <c r="V880" s="4">
        <f t="shared" ca="1" si="263"/>
        <v>0.42360285132027392</v>
      </c>
      <c r="W880" s="13">
        <f t="shared" ca="1" si="264"/>
        <v>13881.945</v>
      </c>
      <c r="X880" s="4">
        <f t="shared" ca="1" si="265"/>
        <v>4.0228153858630389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3.2399999999999998E-2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1.7562884241553228E-5</v>
      </c>
      <c r="L881" s="13">
        <f t="shared" ca="1" si="253"/>
        <v>197</v>
      </c>
      <c r="M881" s="7">
        <f t="shared" ca="1" si="254"/>
        <v>803</v>
      </c>
      <c r="N881" s="44">
        <f t="shared" ca="1" si="255"/>
        <v>8</v>
      </c>
      <c r="O881" s="94">
        <f t="shared" ca="1" si="256"/>
        <v>2.4908891993879614</v>
      </c>
      <c r="P881" s="94">
        <f t="shared" ca="1" si="257"/>
        <v>24.908891993879614</v>
      </c>
      <c r="Q881" s="94">
        <f t="shared" ca="1" si="258"/>
        <v>22.690984127143082</v>
      </c>
      <c r="R881" s="94">
        <f t="shared" ca="1" si="259"/>
        <v>2.379993806051135</v>
      </c>
      <c r="S881" s="94">
        <f t="shared" ca="1" si="260"/>
        <v>2.4908891993879614</v>
      </c>
      <c r="T881" s="4">
        <f t="shared" ca="1" si="261"/>
        <v>4.3747198667385961E-5</v>
      </c>
      <c r="U881" s="46">
        <f t="shared" ca="1" si="262"/>
        <v>1550.6995798612329</v>
      </c>
      <c r="V881" s="4">
        <f t="shared" ca="1" si="263"/>
        <v>2.7234757214528057E-2</v>
      </c>
      <c r="W881" s="13">
        <f t="shared" ca="1" si="264"/>
        <v>11898.81</v>
      </c>
      <c r="X881" s="4">
        <f t="shared" ca="1" si="265"/>
        <v>0.20897742264223595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3.2399999999999998E-2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4.4350717781700119E-7</v>
      </c>
      <c r="L882" s="13">
        <f t="shared" ca="1" si="253"/>
        <v>178</v>
      </c>
      <c r="M882" s="7">
        <f t="shared" ca="1" si="254"/>
        <v>822</v>
      </c>
      <c r="N882" s="44">
        <f t="shared" ca="1" si="255"/>
        <v>8</v>
      </c>
      <c r="O882" s="94">
        <f t="shared" ca="1" si="256"/>
        <v>2.4908891993879614</v>
      </c>
      <c r="P882" s="94">
        <f t="shared" ca="1" si="257"/>
        <v>24.908891993879614</v>
      </c>
      <c r="Q882" s="94">
        <f t="shared" ca="1" si="258"/>
        <v>24.908891993879614</v>
      </c>
      <c r="R882" s="94">
        <f t="shared" ca="1" si="259"/>
        <v>2.4908891993879614</v>
      </c>
      <c r="S882" s="94">
        <f t="shared" ca="1" si="260"/>
        <v>2.4908891993879614</v>
      </c>
      <c r="T882" s="4">
        <f t="shared" ca="1" si="261"/>
        <v>1.1047272390754044E-6</v>
      </c>
      <c r="U882" s="46">
        <f t="shared" ca="1" si="262"/>
        <v>1531.6995798612329</v>
      </c>
      <c r="V882" s="4">
        <f t="shared" ca="1" si="263"/>
        <v>6.7931975792774179E-4</v>
      </c>
      <c r="W882" s="13">
        <f t="shared" ca="1" si="264"/>
        <v>9915.6749999999993</v>
      </c>
      <c r="X882" s="4">
        <f t="shared" ca="1" si="265"/>
        <v>4.3976730354005926E-3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3.2399999999999998E-2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5.9731606440000197E-9</v>
      </c>
      <c r="L883" s="13">
        <f t="shared" ca="1" si="253"/>
        <v>159</v>
      </c>
      <c r="M883" s="7">
        <f t="shared" ca="1" si="254"/>
        <v>841</v>
      </c>
      <c r="N883" s="44">
        <f t="shared" ca="1" si="255"/>
        <v>8</v>
      </c>
      <c r="O883" s="94">
        <f t="shared" ca="1" si="256"/>
        <v>2.4908891993879614</v>
      </c>
      <c r="P883" s="94">
        <f t="shared" ca="1" si="257"/>
        <v>24.908891993879614</v>
      </c>
      <c r="Q883" s="94">
        <f t="shared" ca="1" si="258"/>
        <v>24.908891993879614</v>
      </c>
      <c r="R883" s="94">
        <f t="shared" ca="1" si="259"/>
        <v>2.4908891993879614</v>
      </c>
      <c r="S883" s="94">
        <f t="shared" ca="1" si="260"/>
        <v>2.4908891993879614</v>
      </c>
      <c r="T883" s="4">
        <f t="shared" ca="1" si="261"/>
        <v>1.4878481334348889E-8</v>
      </c>
      <c r="U883" s="46">
        <f t="shared" ca="1" si="262"/>
        <v>1512.6995798612329</v>
      </c>
      <c r="V883" s="4">
        <f t="shared" ca="1" si="263"/>
        <v>9.0355975966224817E-6</v>
      </c>
      <c r="W883" s="13">
        <f t="shared" ca="1" si="264"/>
        <v>7932.54</v>
      </c>
      <c r="X883" s="4">
        <f t="shared" ca="1" si="265"/>
        <v>4.7382335734955917E-5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3.2399999999999998E-2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4.5251217000000204E-11</v>
      </c>
      <c r="L884" s="13">
        <f t="shared" ca="1" si="253"/>
        <v>140</v>
      </c>
      <c r="M884" s="7">
        <f t="shared" ca="1" si="254"/>
        <v>860</v>
      </c>
      <c r="N884" s="44">
        <f t="shared" ca="1" si="255"/>
        <v>8</v>
      </c>
      <c r="O884" s="94">
        <f t="shared" ca="1" si="256"/>
        <v>2.4908891993879614</v>
      </c>
      <c r="P884" s="94">
        <f t="shared" ca="1" si="257"/>
        <v>24.908891993879614</v>
      </c>
      <c r="Q884" s="94">
        <f t="shared" ca="1" si="258"/>
        <v>24.908891993879614</v>
      </c>
      <c r="R884" s="94">
        <f t="shared" ca="1" si="259"/>
        <v>2.4908891993879614</v>
      </c>
      <c r="S884" s="94">
        <f t="shared" ca="1" si="260"/>
        <v>2.4908891993879614</v>
      </c>
      <c r="T884" s="4">
        <f t="shared" ca="1" si="261"/>
        <v>1.1271576768446142E-10</v>
      </c>
      <c r="U884" s="46">
        <f t="shared" ca="1" si="262"/>
        <v>1493.6995798612329</v>
      </c>
      <c r="V884" s="4">
        <f t="shared" ca="1" si="263"/>
        <v>6.7591723821109784E-8</v>
      </c>
      <c r="W884" s="13">
        <f t="shared" ca="1" si="264"/>
        <v>5949.4049999999997</v>
      </c>
      <c r="X884" s="4">
        <f t="shared" ca="1" si="265"/>
        <v>2.6921781667588622E-7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3.2399999999999998E-2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1.8283320000000098E-13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2.4908891993879614</v>
      </c>
      <c r="P885" s="94">
        <f t="shared" ca="1" si="257"/>
        <v>24.908891993879614</v>
      </c>
      <c r="Q885" s="94">
        <f t="shared" ca="1" si="258"/>
        <v>24.908891993879614</v>
      </c>
      <c r="R885" s="94">
        <f t="shared" ca="1" si="259"/>
        <v>2.4908891993879614</v>
      </c>
      <c r="S885" s="94">
        <f t="shared" ca="1" si="260"/>
        <v>2.4908891993879614</v>
      </c>
      <c r="T885" s="4">
        <f t="shared" ca="1" si="261"/>
        <v>4.5541724316954147E-13</v>
      </c>
      <c r="U885" s="46">
        <f t="shared" ca="1" si="262"/>
        <v>1474.6995798612329</v>
      </c>
      <c r="V885" s="4">
        <f t="shared" ca="1" si="263"/>
        <v>2.6962404322468623E-10</v>
      </c>
      <c r="W885" s="13">
        <f t="shared" ca="1" si="264"/>
        <v>3966.27</v>
      </c>
      <c r="X885" s="4">
        <f t="shared" ca="1" si="265"/>
        <v>7.2516583616400385E-10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3.2399999999999998E-2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3.0780000000000196E-16</v>
      </c>
      <c r="L886" s="13">
        <f t="shared" ca="1" si="253"/>
        <v>102</v>
      </c>
      <c r="M886" s="7">
        <f t="shared" ca="1" si="254"/>
        <v>898</v>
      </c>
      <c r="N886" s="44">
        <f t="shared" ca="1" si="255"/>
        <v>8</v>
      </c>
      <c r="O886" s="94">
        <f t="shared" ca="1" si="256"/>
        <v>2.4908891993879614</v>
      </c>
      <c r="P886" s="94">
        <f t="shared" ca="1" si="257"/>
        <v>24.908891993879614</v>
      </c>
      <c r="Q886" s="94">
        <f t="shared" ca="1" si="258"/>
        <v>24.908891993879614</v>
      </c>
      <c r="R886" s="94">
        <f t="shared" ca="1" si="259"/>
        <v>2.4908891993879614</v>
      </c>
      <c r="S886" s="94">
        <f t="shared" ca="1" si="260"/>
        <v>2.4908891993879614</v>
      </c>
      <c r="T886" s="4">
        <f t="shared" ca="1" si="261"/>
        <v>7.6669569557161936E-16</v>
      </c>
      <c r="U886" s="46">
        <f t="shared" ca="1" si="262"/>
        <v>1455.6995798612329</v>
      </c>
      <c r="V886" s="4">
        <f t="shared" ca="1" si="263"/>
        <v>4.4806433068129034E-13</v>
      </c>
      <c r="W886" s="13">
        <f t="shared" ca="1" si="264"/>
        <v>1983.135</v>
      </c>
      <c r="X886" s="4">
        <f t="shared" ca="1" si="265"/>
        <v>6.1040895300000386E-13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3.2399999999999998E-2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235</v>
      </c>
      <c r="M887" s="7">
        <f t="shared" ca="1" si="254"/>
        <v>765</v>
      </c>
      <c r="N887" s="44">
        <f t="shared" ca="1" si="255"/>
        <v>7</v>
      </c>
      <c r="O887" s="94">
        <f t="shared" ca="1" si="256"/>
        <v>2.2444549919727916</v>
      </c>
      <c r="P887" s="94">
        <f t="shared" ca="1" si="257"/>
        <v>22.444549919727915</v>
      </c>
      <c r="Q887" s="94">
        <f t="shared" ca="1" si="258"/>
        <v>22.444549919727915</v>
      </c>
      <c r="R887" s="94">
        <f t="shared" ca="1" si="259"/>
        <v>2.2444549919727916</v>
      </c>
      <c r="S887" s="94">
        <f t="shared" ca="1" si="260"/>
        <v>2.2444549919727916</v>
      </c>
      <c r="T887" s="4">
        <f t="shared" ca="1" si="261"/>
        <v>0</v>
      </c>
      <c r="U887" s="46">
        <f t="shared" ca="1" si="262"/>
        <v>1480.7701584159711</v>
      </c>
      <c r="V887" s="4">
        <f t="shared" ca="1" si="263"/>
        <v>0</v>
      </c>
      <c r="W887" s="13">
        <f t="shared" ca="1" si="264"/>
        <v>15774.9375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3.2399999999999998E-2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1.5099458636093238E-3</v>
      </c>
      <c r="L888" s="13">
        <f t="shared" ca="1" si="253"/>
        <v>216</v>
      </c>
      <c r="M888" s="7">
        <f t="shared" ca="1" si="254"/>
        <v>784</v>
      </c>
      <c r="N888" s="44">
        <f t="shared" ca="1" si="255"/>
        <v>7</v>
      </c>
      <c r="O888" s="94">
        <f t="shared" ca="1" si="256"/>
        <v>2.2444549919727916</v>
      </c>
      <c r="P888" s="94">
        <f t="shared" ca="1" si="257"/>
        <v>22.444549919727915</v>
      </c>
      <c r="Q888" s="94">
        <f t="shared" ca="1" si="258"/>
        <v>22.444549919727915</v>
      </c>
      <c r="R888" s="94">
        <f t="shared" ca="1" si="259"/>
        <v>2.2444549919727916</v>
      </c>
      <c r="S888" s="94">
        <f t="shared" ca="1" si="260"/>
        <v>2.2444549919727916</v>
      </c>
      <c r="T888" s="4">
        <f t="shared" ca="1" si="261"/>
        <v>3.3890055311866147E-3</v>
      </c>
      <c r="U888" s="46">
        <f t="shared" ca="1" si="262"/>
        <v>1461.7701584159711</v>
      </c>
      <c r="V888" s="4">
        <f t="shared" ca="1" si="263"/>
        <v>2.2071938042477415</v>
      </c>
      <c r="W888" s="13">
        <f t="shared" ca="1" si="264"/>
        <v>13791.8025</v>
      </c>
      <c r="X888" s="4">
        <f t="shared" ca="1" si="265"/>
        <v>20.824875136591729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3.2399999999999998E-2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9.1511870521777261E-5</v>
      </c>
      <c r="L889" s="13">
        <f t="shared" ca="1" si="253"/>
        <v>197</v>
      </c>
      <c r="M889" s="7">
        <f t="shared" ca="1" si="254"/>
        <v>803</v>
      </c>
      <c r="N889" s="44">
        <f t="shared" ca="1" si="255"/>
        <v>8</v>
      </c>
      <c r="O889" s="94">
        <f t="shared" ca="1" si="256"/>
        <v>2.4908891993879614</v>
      </c>
      <c r="P889" s="94">
        <f t="shared" ca="1" si="257"/>
        <v>24.908891993879614</v>
      </c>
      <c r="Q889" s="94">
        <f t="shared" ca="1" si="258"/>
        <v>22.690984127143082</v>
      </c>
      <c r="R889" s="94">
        <f t="shared" ca="1" si="259"/>
        <v>2.379993806051135</v>
      </c>
      <c r="S889" s="94">
        <f t="shared" ca="1" si="260"/>
        <v>2.4908891993879614</v>
      </c>
      <c r="T889" s="4">
        <f t="shared" ca="1" si="261"/>
        <v>2.2794592989848454E-4</v>
      </c>
      <c r="U889" s="46">
        <f t="shared" ca="1" si="262"/>
        <v>1550.6995798612329</v>
      </c>
      <c r="V889" s="4">
        <f t="shared" ca="1" si="263"/>
        <v>0.14190741917043553</v>
      </c>
      <c r="W889" s="13">
        <f t="shared" ca="1" si="264"/>
        <v>11808.6675</v>
      </c>
      <c r="X889" s="4">
        <f t="shared" ca="1" si="265"/>
        <v>1.0806332512947192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3.2399999999999998E-2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2.3109058212570042E-6</v>
      </c>
      <c r="L890" s="13">
        <f t="shared" ca="1" si="253"/>
        <v>178</v>
      </c>
      <c r="M890" s="7">
        <f t="shared" ca="1" si="254"/>
        <v>822</v>
      </c>
      <c r="N890" s="44">
        <f t="shared" ca="1" si="255"/>
        <v>8</v>
      </c>
      <c r="O890" s="94">
        <f t="shared" ca="1" si="256"/>
        <v>2.4908891993879614</v>
      </c>
      <c r="P890" s="94">
        <f t="shared" ca="1" si="257"/>
        <v>24.908891993879614</v>
      </c>
      <c r="Q890" s="94">
        <f t="shared" ca="1" si="258"/>
        <v>24.908891993879614</v>
      </c>
      <c r="R890" s="94">
        <f t="shared" ca="1" si="259"/>
        <v>2.4908891993879614</v>
      </c>
      <c r="S890" s="94">
        <f t="shared" ca="1" si="260"/>
        <v>2.4908891993879614</v>
      </c>
      <c r="T890" s="4">
        <f t="shared" ca="1" si="261"/>
        <v>5.7562103509718387E-6</v>
      </c>
      <c r="U890" s="46">
        <f t="shared" ca="1" si="262"/>
        <v>1531.6995798612329</v>
      </c>
      <c r="V890" s="4">
        <f t="shared" ca="1" si="263"/>
        <v>3.5396134755182307E-3</v>
      </c>
      <c r="W890" s="13">
        <f t="shared" ca="1" si="264"/>
        <v>9825.5324999999993</v>
      </c>
      <c r="X890" s="4">
        <f t="shared" ca="1" si="265"/>
        <v>2.2705880251199885E-2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3.2399999999999998E-2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3.1123310724000075E-8</v>
      </c>
      <c r="L891" s="13">
        <f t="shared" ca="1" si="253"/>
        <v>159</v>
      </c>
      <c r="M891" s="7">
        <f t="shared" ca="1" si="254"/>
        <v>841</v>
      </c>
      <c r="N891" s="44">
        <f t="shared" ca="1" si="255"/>
        <v>8</v>
      </c>
      <c r="O891" s="94">
        <f t="shared" ca="1" si="256"/>
        <v>2.4908891993879614</v>
      </c>
      <c r="P891" s="94">
        <f t="shared" ca="1" si="257"/>
        <v>24.908891993879614</v>
      </c>
      <c r="Q891" s="94">
        <f t="shared" ca="1" si="258"/>
        <v>24.908891993879614</v>
      </c>
      <c r="R891" s="94">
        <f t="shared" ca="1" si="259"/>
        <v>2.4908891993879614</v>
      </c>
      <c r="S891" s="94">
        <f t="shared" ca="1" si="260"/>
        <v>2.4908891993879614</v>
      </c>
      <c r="T891" s="4">
        <f t="shared" ca="1" si="261"/>
        <v>7.7524718531607298E-8</v>
      </c>
      <c r="U891" s="46">
        <f t="shared" ca="1" si="262"/>
        <v>1512.6995798612329</v>
      </c>
      <c r="V891" s="4">
        <f t="shared" ca="1" si="263"/>
        <v>4.7080219056085516E-5</v>
      </c>
      <c r="W891" s="13">
        <f t="shared" ca="1" si="264"/>
        <v>7842.3974999999991</v>
      </c>
      <c r="X891" s="4">
        <f t="shared" ca="1" si="265"/>
        <v>2.4408137421362135E-4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3.2399999999999998E-2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2.3578265700000089E-10</v>
      </c>
      <c r="L892" s="13">
        <f t="shared" ca="1" si="253"/>
        <v>140</v>
      </c>
      <c r="M892" s="7">
        <f t="shared" ca="1" si="254"/>
        <v>860</v>
      </c>
      <c r="N892" s="44">
        <f t="shared" ca="1" si="255"/>
        <v>8</v>
      </c>
      <c r="O892" s="94">
        <f t="shared" ca="1" si="256"/>
        <v>2.4908891993879614</v>
      </c>
      <c r="P892" s="94">
        <f t="shared" ca="1" si="257"/>
        <v>24.908891993879614</v>
      </c>
      <c r="Q892" s="94">
        <f t="shared" ca="1" si="258"/>
        <v>24.908891993879614</v>
      </c>
      <c r="R892" s="94">
        <f t="shared" ca="1" si="259"/>
        <v>2.4908891993879614</v>
      </c>
      <c r="S892" s="94">
        <f t="shared" ca="1" si="260"/>
        <v>2.4908891993879614</v>
      </c>
      <c r="T892" s="4">
        <f t="shared" ca="1" si="261"/>
        <v>5.8730847372429853E-10</v>
      </c>
      <c r="U892" s="46">
        <f t="shared" ca="1" si="262"/>
        <v>1493.6995798612329</v>
      </c>
      <c r="V892" s="4">
        <f t="shared" ca="1" si="263"/>
        <v>3.5218845569946651E-7</v>
      </c>
      <c r="W892" s="13">
        <f t="shared" ca="1" si="264"/>
        <v>5859.2624999999998</v>
      </c>
      <c r="X892" s="4">
        <f t="shared" ca="1" si="265"/>
        <v>1.3815124803104676E-6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3.2399999999999998E-2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9.5265720000000414E-13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2.4908891993879614</v>
      </c>
      <c r="P893" s="94">
        <f t="shared" ca="1" si="257"/>
        <v>24.908891993879614</v>
      </c>
      <c r="Q893" s="94">
        <f t="shared" ca="1" si="258"/>
        <v>24.908891993879614</v>
      </c>
      <c r="R893" s="94">
        <f t="shared" ca="1" si="259"/>
        <v>2.4908891993879614</v>
      </c>
      <c r="S893" s="94">
        <f t="shared" ca="1" si="260"/>
        <v>2.4908891993879614</v>
      </c>
      <c r="T893" s="4">
        <f t="shared" ca="1" si="261"/>
        <v>2.3729635301991872E-12</v>
      </c>
      <c r="U893" s="46">
        <f t="shared" ca="1" si="262"/>
        <v>1474.6995798612329</v>
      </c>
      <c r="V893" s="4">
        <f t="shared" ca="1" si="263"/>
        <v>1.4048831725917846E-9</v>
      </c>
      <c r="W893" s="13">
        <f t="shared" ca="1" si="264"/>
        <v>3876.1274999999996</v>
      </c>
      <c r="X893" s="4">
        <f t="shared" ca="1" si="265"/>
        <v>3.6926207709930158E-9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3.2399999999999998E-2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1.6038000000000086E-15</v>
      </c>
      <c r="L894" s="13">
        <f t="shared" ca="1" si="253"/>
        <v>102</v>
      </c>
      <c r="M894" s="7">
        <f t="shared" ca="1" si="254"/>
        <v>898</v>
      </c>
      <c r="N894" s="44">
        <f t="shared" ca="1" si="255"/>
        <v>8</v>
      </c>
      <c r="O894" s="94">
        <f t="shared" ca="1" si="256"/>
        <v>2.4908891993879614</v>
      </c>
      <c r="P894" s="94">
        <f t="shared" ca="1" si="257"/>
        <v>24.908891993879614</v>
      </c>
      <c r="Q894" s="94">
        <f t="shared" ca="1" si="258"/>
        <v>24.908891993879614</v>
      </c>
      <c r="R894" s="94">
        <f t="shared" ca="1" si="259"/>
        <v>2.4908891993879614</v>
      </c>
      <c r="S894" s="94">
        <f t="shared" ca="1" si="260"/>
        <v>2.4908891993879614</v>
      </c>
      <c r="T894" s="4">
        <f t="shared" ca="1" si="261"/>
        <v>3.9948880979784343E-15</v>
      </c>
      <c r="U894" s="46">
        <f t="shared" ca="1" si="262"/>
        <v>1455.6995798612329</v>
      </c>
      <c r="V894" s="4">
        <f t="shared" ca="1" si="263"/>
        <v>2.3346509861814581E-12</v>
      </c>
      <c r="W894" s="13">
        <f t="shared" ca="1" si="264"/>
        <v>1892.9924999999998</v>
      </c>
      <c r="X894" s="4">
        <f t="shared" ca="1" si="265"/>
        <v>3.035981371500016E-12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3.2399999999999998E-2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133</v>
      </c>
      <c r="M895" s="7">
        <f t="shared" ca="1" si="254"/>
        <v>867</v>
      </c>
      <c r="N895" s="44">
        <f t="shared" ca="1" si="255"/>
        <v>8</v>
      </c>
      <c r="O895" s="94">
        <f t="shared" ca="1" si="256"/>
        <v>2.4908891993879614</v>
      </c>
      <c r="P895" s="94">
        <f t="shared" ca="1" si="257"/>
        <v>24.908891993879614</v>
      </c>
      <c r="Q895" s="94">
        <f t="shared" ca="1" si="258"/>
        <v>24.908891993879614</v>
      </c>
      <c r="R895" s="94">
        <f t="shared" ca="1" si="259"/>
        <v>2.4908891993879614</v>
      </c>
      <c r="S895" s="94">
        <f t="shared" ca="1" si="260"/>
        <v>2.4908891993879614</v>
      </c>
      <c r="T895" s="4">
        <f t="shared" ca="1" si="261"/>
        <v>0</v>
      </c>
      <c r="U895" s="46">
        <f t="shared" ca="1" si="262"/>
        <v>1486.6995798612329</v>
      </c>
      <c r="V895" s="4">
        <f t="shared" ca="1" si="263"/>
        <v>0</v>
      </c>
      <c r="W895" s="13">
        <f t="shared" ca="1" si="264"/>
        <v>13881.945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3.2399999999999998E-2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1.5251978420296211E-5</v>
      </c>
      <c r="L896" s="13">
        <f t="shared" ca="1" si="253"/>
        <v>114</v>
      </c>
      <c r="M896" s="7">
        <f t="shared" ca="1" si="254"/>
        <v>886</v>
      </c>
      <c r="N896" s="44">
        <f t="shared" ca="1" si="255"/>
        <v>8</v>
      </c>
      <c r="O896" s="94">
        <f t="shared" ca="1" si="256"/>
        <v>2.4908891993879614</v>
      </c>
      <c r="P896" s="94">
        <f t="shared" ca="1" si="257"/>
        <v>24.908891993879614</v>
      </c>
      <c r="Q896" s="94">
        <f t="shared" ca="1" si="258"/>
        <v>24.908891993879614</v>
      </c>
      <c r="R896" s="94">
        <f t="shared" ca="1" si="259"/>
        <v>2.4908891993879614</v>
      </c>
      <c r="S896" s="94">
        <f t="shared" ca="1" si="260"/>
        <v>2.4908891993879614</v>
      </c>
      <c r="T896" s="4">
        <f t="shared" ca="1" si="261"/>
        <v>3.7990988316414094E-5</v>
      </c>
      <c r="U896" s="46">
        <f t="shared" ca="1" si="262"/>
        <v>1467.6995798612329</v>
      </c>
      <c r="V896" s="4">
        <f t="shared" ca="1" si="263"/>
        <v>2.2385322319521339E-2</v>
      </c>
      <c r="W896" s="13">
        <f t="shared" ca="1" si="264"/>
        <v>11898.81</v>
      </c>
      <c r="X896" s="4">
        <f t="shared" ca="1" si="265"/>
        <v>0.18148039334720475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3.2399999999999998E-2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9.2436232850280143E-7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2.4908891993879614</v>
      </c>
      <c r="P897" s="94">
        <f t="shared" ca="1" si="257"/>
        <v>24.908891993879614</v>
      </c>
      <c r="Q897" s="94">
        <f t="shared" ca="1" si="258"/>
        <v>24.908891993879614</v>
      </c>
      <c r="R897" s="94">
        <f t="shared" ca="1" si="259"/>
        <v>2.4908891993879614</v>
      </c>
      <c r="S897" s="94">
        <f t="shared" ca="1" si="260"/>
        <v>2.4908891993879614</v>
      </c>
      <c r="T897" s="4">
        <f t="shared" ca="1" si="261"/>
        <v>2.3024841403887348E-6</v>
      </c>
      <c r="U897" s="46">
        <f t="shared" ca="1" si="262"/>
        <v>1453.6995798612329</v>
      </c>
      <c r="V897" s="4">
        <f t="shared" ca="1" si="263"/>
        <v>1.3437451285840734E-3</v>
      </c>
      <c r="W897" s="13">
        <f t="shared" ca="1" si="264"/>
        <v>9915.6749999999993</v>
      </c>
      <c r="X897" s="4">
        <f t="shared" ca="1" si="265"/>
        <v>9.1656764316770147E-3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3.2399999999999998E-2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2.3342483043000061E-8</v>
      </c>
      <c r="L898" s="13">
        <f t="shared" ca="1" si="253"/>
        <v>100</v>
      </c>
      <c r="M898" s="7">
        <f t="shared" ca="1" si="254"/>
        <v>900</v>
      </c>
      <c r="N898" s="44">
        <f t="shared" ca="1" si="255"/>
        <v>8</v>
      </c>
      <c r="O898" s="94">
        <f t="shared" ca="1" si="256"/>
        <v>2.4908891993879614</v>
      </c>
      <c r="P898" s="94">
        <f t="shared" ca="1" si="257"/>
        <v>24.908891993879614</v>
      </c>
      <c r="Q898" s="94">
        <f t="shared" ca="1" si="258"/>
        <v>24.908891993879614</v>
      </c>
      <c r="R898" s="94">
        <f t="shared" ca="1" si="259"/>
        <v>2.4908891993879614</v>
      </c>
      <c r="S898" s="94">
        <f t="shared" ca="1" si="260"/>
        <v>2.4908891993879614</v>
      </c>
      <c r="T898" s="4">
        <f t="shared" ca="1" si="261"/>
        <v>5.8143538898705483E-8</v>
      </c>
      <c r="U898" s="46">
        <f t="shared" ca="1" si="262"/>
        <v>1453.6995798612329</v>
      </c>
      <c r="V898" s="4">
        <f t="shared" ca="1" si="263"/>
        <v>3.393295779252714E-5</v>
      </c>
      <c r="W898" s="13">
        <f t="shared" ca="1" si="264"/>
        <v>7932.54</v>
      </c>
      <c r="X898" s="4">
        <f t="shared" ca="1" si="265"/>
        <v>1.851651804379197E-4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3.2399999999999998E-2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3.1437687600000107E-10</v>
      </c>
      <c r="L899" s="13">
        <f t="shared" ca="1" si="253"/>
        <v>100</v>
      </c>
      <c r="M899" s="7">
        <f t="shared" ca="1" si="254"/>
        <v>900</v>
      </c>
      <c r="N899" s="44">
        <f t="shared" ca="1" si="255"/>
        <v>8</v>
      </c>
      <c r="O899" s="94">
        <f t="shared" ca="1" si="256"/>
        <v>2.4908891993879614</v>
      </c>
      <c r="P899" s="94">
        <f t="shared" ca="1" si="257"/>
        <v>24.908891993879614</v>
      </c>
      <c r="Q899" s="94">
        <f t="shared" ca="1" si="258"/>
        <v>24.908891993879614</v>
      </c>
      <c r="R899" s="94">
        <f t="shared" ca="1" si="259"/>
        <v>2.4908891993879614</v>
      </c>
      <c r="S899" s="94">
        <f t="shared" ca="1" si="260"/>
        <v>2.4908891993879614</v>
      </c>
      <c r="T899" s="4">
        <f t="shared" ca="1" si="261"/>
        <v>7.8307796496573113E-10</v>
      </c>
      <c r="U899" s="46">
        <f t="shared" ca="1" si="262"/>
        <v>1453.6995798612329</v>
      </c>
      <c r="V899" s="4">
        <f t="shared" ca="1" si="263"/>
        <v>4.5700953255928848E-7</v>
      </c>
      <c r="W899" s="13">
        <f t="shared" ca="1" si="264"/>
        <v>5949.4049999999997</v>
      </c>
      <c r="X899" s="4">
        <f t="shared" ca="1" si="265"/>
        <v>1.8703553579587863E-6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3.2399999999999998E-2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2.381643000000011E-12</v>
      </c>
      <c r="L900" s="13">
        <f t="shared" ca="1" si="253"/>
        <v>100</v>
      </c>
      <c r="M900" s="7">
        <f t="shared" ca="1" si="254"/>
        <v>900</v>
      </c>
      <c r="N900" s="44">
        <f t="shared" ca="1" si="255"/>
        <v>8</v>
      </c>
      <c r="O900" s="94">
        <f t="shared" ca="1" si="256"/>
        <v>2.4908891993879614</v>
      </c>
      <c r="P900" s="94">
        <f t="shared" ca="1" si="257"/>
        <v>24.908891993879614</v>
      </c>
      <c r="Q900" s="94">
        <f t="shared" ca="1" si="258"/>
        <v>24.908891993879614</v>
      </c>
      <c r="R900" s="94">
        <f t="shared" ca="1" si="259"/>
        <v>2.4908891993879614</v>
      </c>
      <c r="S900" s="94">
        <f t="shared" ca="1" si="260"/>
        <v>2.4908891993879614</v>
      </c>
      <c r="T900" s="4">
        <f t="shared" ca="1" si="261"/>
        <v>5.9324088254979695E-12</v>
      </c>
      <c r="U900" s="46">
        <f t="shared" ca="1" si="262"/>
        <v>1453.6995798612329</v>
      </c>
      <c r="V900" s="4">
        <f t="shared" ca="1" si="263"/>
        <v>3.4621934284794623E-9</v>
      </c>
      <c r="W900" s="13">
        <f t="shared" ca="1" si="264"/>
        <v>3966.27</v>
      </c>
      <c r="X900" s="4">
        <f t="shared" ca="1" si="265"/>
        <v>9.4462391816100437E-9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3.2399999999999998E-2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9.6228000000000522E-15</v>
      </c>
      <c r="L901" s="13">
        <f t="shared" ca="1" si="253"/>
        <v>100</v>
      </c>
      <c r="M901" s="7">
        <f t="shared" ca="1" si="254"/>
        <v>900</v>
      </c>
      <c r="N901" s="44">
        <f t="shared" ca="1" si="255"/>
        <v>8</v>
      </c>
      <c r="O901" s="94">
        <f t="shared" ca="1" si="256"/>
        <v>2.4908891993879614</v>
      </c>
      <c r="P901" s="94">
        <f t="shared" ca="1" si="257"/>
        <v>24.908891993879614</v>
      </c>
      <c r="Q901" s="94">
        <f t="shared" ca="1" si="258"/>
        <v>24.908891993879614</v>
      </c>
      <c r="R901" s="94">
        <f t="shared" ca="1" si="259"/>
        <v>2.4908891993879614</v>
      </c>
      <c r="S901" s="94">
        <f t="shared" ca="1" si="260"/>
        <v>2.4908891993879614</v>
      </c>
      <c r="T901" s="4">
        <f t="shared" ca="1" si="261"/>
        <v>2.3969328587870606E-14</v>
      </c>
      <c r="U901" s="46">
        <f t="shared" ca="1" si="262"/>
        <v>1453.6995798612329</v>
      </c>
      <c r="V901" s="4">
        <f t="shared" ca="1" si="263"/>
        <v>1.3988660317088747E-11</v>
      </c>
      <c r="W901" s="13">
        <f t="shared" ca="1" si="264"/>
        <v>1983.135</v>
      </c>
      <c r="X901" s="4">
        <f t="shared" ca="1" si="265"/>
        <v>1.9083311478000103E-11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3.2399999999999998E-2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1.6200000000000102E-17</v>
      </c>
      <c r="L902" s="13">
        <f t="shared" ca="1" si="253"/>
        <v>100</v>
      </c>
      <c r="M902" s="7">
        <f t="shared" ca="1" si="254"/>
        <v>900</v>
      </c>
      <c r="N902" s="44">
        <f t="shared" ca="1" si="255"/>
        <v>8</v>
      </c>
      <c r="O902" s="94">
        <f t="shared" ca="1" si="256"/>
        <v>2.4908891993879614</v>
      </c>
      <c r="P902" s="94">
        <f t="shared" ca="1" si="257"/>
        <v>24.908891993879614</v>
      </c>
      <c r="Q902" s="94">
        <f t="shared" ca="1" si="258"/>
        <v>24.908891993879614</v>
      </c>
      <c r="R902" s="94">
        <f t="shared" ca="1" si="259"/>
        <v>2.4908891993879614</v>
      </c>
      <c r="S902" s="94">
        <f t="shared" ca="1" si="260"/>
        <v>2.4908891993879614</v>
      </c>
      <c r="T902" s="4">
        <f t="shared" ca="1" si="261"/>
        <v>4.0352405030085229E-17</v>
      </c>
      <c r="U902" s="46">
        <f t="shared" ca="1" si="262"/>
        <v>1453.6995798612329</v>
      </c>
      <c r="V902" s="4">
        <f t="shared" ca="1" si="263"/>
        <v>2.3549933193752121E-14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337</v>
      </c>
      <c r="M903" s="7">
        <f t="shared" ca="1" si="254"/>
        <v>663</v>
      </c>
      <c r="N903" s="44">
        <f t="shared" ca="1" si="255"/>
        <v>6</v>
      </c>
      <c r="O903" s="94">
        <f t="shared" ca="1" si="256"/>
        <v>1.9922775034029279</v>
      </c>
      <c r="P903" s="94">
        <f t="shared" ca="1" si="257"/>
        <v>19.922775034029279</v>
      </c>
      <c r="Q903" s="94">
        <f t="shared" ca="1" si="258"/>
        <v>19.922775034029279</v>
      </c>
      <c r="R903" s="94">
        <f t="shared" ca="1" si="259"/>
        <v>1.9922775034029279</v>
      </c>
      <c r="S903" s="94">
        <f t="shared" ca="1" si="260"/>
        <v>1.9922775034029279</v>
      </c>
      <c r="T903" s="4">
        <f t="shared" ca="1" si="261"/>
        <v>0</v>
      </c>
      <c r="U903" s="46">
        <f t="shared" ca="1" si="262"/>
        <v>1472.3253840141317</v>
      </c>
      <c r="V903" s="4">
        <f t="shared" ca="1" si="263"/>
        <v>0</v>
      </c>
      <c r="W903" s="13">
        <f t="shared" ca="1" si="264"/>
        <v>17758.072499999998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318</v>
      </c>
      <c r="M904" s="7">
        <f t="shared" ca="1" si="254"/>
        <v>682</v>
      </c>
      <c r="N904" s="44">
        <f t="shared" ca="1" si="255"/>
        <v>7</v>
      </c>
      <c r="O904" s="94">
        <f t="shared" ca="1" si="256"/>
        <v>2.2444549919727916</v>
      </c>
      <c r="P904" s="94">
        <f t="shared" ca="1" si="257"/>
        <v>20.679307499738869</v>
      </c>
      <c r="Q904" s="94">
        <f t="shared" ca="1" si="258"/>
        <v>19.922775034029279</v>
      </c>
      <c r="R904" s="94">
        <f t="shared" ca="1" si="259"/>
        <v>2.0301041266884075</v>
      </c>
      <c r="S904" s="94">
        <f t="shared" ca="1" si="260"/>
        <v>2.2444549919727916</v>
      </c>
      <c r="T904" s="4">
        <f t="shared" ca="1" si="261"/>
        <v>0</v>
      </c>
      <c r="U904" s="46">
        <f t="shared" ca="1" si="262"/>
        <v>1563.7701584159711</v>
      </c>
      <c r="V904" s="4">
        <f t="shared" ca="1" si="263"/>
        <v>0</v>
      </c>
      <c r="W904" s="13">
        <f t="shared" ca="1" si="264"/>
        <v>15774.9375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299</v>
      </c>
      <c r="M905" s="7">
        <f t="shared" ca="1" si="254"/>
        <v>701</v>
      </c>
      <c r="N905" s="44">
        <f t="shared" ca="1" si="255"/>
        <v>7</v>
      </c>
      <c r="O905" s="94">
        <f t="shared" ca="1" si="256"/>
        <v>2.2444549919727916</v>
      </c>
      <c r="P905" s="94">
        <f t="shared" ca="1" si="257"/>
        <v>22.444549919727915</v>
      </c>
      <c r="Q905" s="94">
        <f t="shared" ca="1" si="258"/>
        <v>22.444549919727915</v>
      </c>
      <c r="R905" s="94">
        <f t="shared" ca="1" si="259"/>
        <v>2.2444549919727916</v>
      </c>
      <c r="S905" s="94">
        <f t="shared" ca="1" si="260"/>
        <v>2.2444549919727916</v>
      </c>
      <c r="T905" s="4">
        <f t="shared" ca="1" si="261"/>
        <v>0</v>
      </c>
      <c r="U905" s="46">
        <f t="shared" ca="1" si="262"/>
        <v>1544.7701584159711</v>
      </c>
      <c r="V905" s="4">
        <f t="shared" ca="1" si="263"/>
        <v>0</v>
      </c>
      <c r="W905" s="13">
        <f t="shared" ca="1" si="264"/>
        <v>13791.802499999998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280</v>
      </c>
      <c r="M906" s="7">
        <f t="shared" ca="1" si="254"/>
        <v>720</v>
      </c>
      <c r="N906" s="44">
        <f t="shared" ca="1" si="255"/>
        <v>7</v>
      </c>
      <c r="O906" s="94">
        <f t="shared" ca="1" si="256"/>
        <v>2.2444549919727916</v>
      </c>
      <c r="P906" s="94">
        <f t="shared" ca="1" si="257"/>
        <v>22.444549919727915</v>
      </c>
      <c r="Q906" s="94">
        <f t="shared" ca="1" si="258"/>
        <v>22.444549919727915</v>
      </c>
      <c r="R906" s="94">
        <f t="shared" ca="1" si="259"/>
        <v>2.2444549919727916</v>
      </c>
      <c r="S906" s="94">
        <f t="shared" ca="1" si="260"/>
        <v>2.2444549919727916</v>
      </c>
      <c r="T906" s="4">
        <f t="shared" ca="1" si="261"/>
        <v>0</v>
      </c>
      <c r="U906" s="46">
        <f t="shared" ca="1" si="262"/>
        <v>1525.7701584159711</v>
      </c>
      <c r="V906" s="4">
        <f t="shared" ca="1" si="263"/>
        <v>0</v>
      </c>
      <c r="W906" s="13">
        <f t="shared" ca="1" si="264"/>
        <v>11808.6675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261</v>
      </c>
      <c r="M907" s="7">
        <f t="shared" ca="1" si="254"/>
        <v>739</v>
      </c>
      <c r="N907" s="44">
        <f t="shared" ca="1" si="255"/>
        <v>7</v>
      </c>
      <c r="O907" s="94">
        <f t="shared" ca="1" si="256"/>
        <v>2.2444549919727916</v>
      </c>
      <c r="P907" s="94">
        <f t="shared" ca="1" si="257"/>
        <v>22.444549919727915</v>
      </c>
      <c r="Q907" s="94">
        <f t="shared" ca="1" si="258"/>
        <v>22.444549919727915</v>
      </c>
      <c r="R907" s="94">
        <f t="shared" ca="1" si="259"/>
        <v>2.2444549919727916</v>
      </c>
      <c r="S907" s="94">
        <f t="shared" ca="1" si="260"/>
        <v>2.2444549919727916</v>
      </c>
      <c r="T907" s="4">
        <f t="shared" ca="1" si="261"/>
        <v>0</v>
      </c>
      <c r="U907" s="46">
        <f t="shared" ca="1" si="262"/>
        <v>1506.7701584159711</v>
      </c>
      <c r="V907" s="4">
        <f t="shared" ca="1" si="263"/>
        <v>0</v>
      </c>
      <c r="W907" s="13">
        <f t="shared" ca="1" si="264"/>
        <v>9825.5324999999993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2.2444549919727916</v>
      </c>
      <c r="P908" s="94">
        <f t="shared" ca="1" si="257"/>
        <v>22.444549919727915</v>
      </c>
      <c r="Q908" s="94">
        <f t="shared" ca="1" si="258"/>
        <v>22.444549919727915</v>
      </c>
      <c r="R908" s="94">
        <f t="shared" ca="1" si="259"/>
        <v>2.2444549919727916</v>
      </c>
      <c r="S908" s="94">
        <f t="shared" ca="1" si="260"/>
        <v>2.2444549919727916</v>
      </c>
      <c r="T908" s="4">
        <f t="shared" ca="1" si="261"/>
        <v>0</v>
      </c>
      <c r="U908" s="46">
        <f t="shared" ca="1" si="262"/>
        <v>1487.7701584159711</v>
      </c>
      <c r="V908" s="4">
        <f t="shared" ca="1" si="263"/>
        <v>0</v>
      </c>
      <c r="W908" s="13">
        <f t="shared" ca="1" si="264"/>
        <v>7842.3974999999991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223</v>
      </c>
      <c r="M909" s="7">
        <f t="shared" ca="1" si="254"/>
        <v>777</v>
      </c>
      <c r="N909" s="44">
        <f t="shared" ca="1" si="255"/>
        <v>7</v>
      </c>
      <c r="O909" s="94">
        <f t="shared" ca="1" si="256"/>
        <v>2.2444549919727916</v>
      </c>
      <c r="P909" s="94">
        <f t="shared" ca="1" si="257"/>
        <v>22.444549919727915</v>
      </c>
      <c r="Q909" s="94">
        <f t="shared" ca="1" si="258"/>
        <v>22.444549919727915</v>
      </c>
      <c r="R909" s="94">
        <f t="shared" ca="1" si="259"/>
        <v>2.2444549919727916</v>
      </c>
      <c r="S909" s="94">
        <f t="shared" ca="1" si="260"/>
        <v>2.2444549919727916</v>
      </c>
      <c r="T909" s="4">
        <f t="shared" ca="1" si="261"/>
        <v>0</v>
      </c>
      <c r="U909" s="46">
        <f t="shared" ca="1" si="262"/>
        <v>1468.7701584159711</v>
      </c>
      <c r="V909" s="4">
        <f t="shared" ca="1" si="263"/>
        <v>0</v>
      </c>
      <c r="W909" s="13">
        <f t="shared" ca="1" si="264"/>
        <v>5859.2624999999998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204</v>
      </c>
      <c r="M910" s="7">
        <f t="shared" ca="1" si="254"/>
        <v>796</v>
      </c>
      <c r="N910" s="44">
        <f t="shared" ca="1" si="255"/>
        <v>8</v>
      </c>
      <c r="O910" s="94">
        <f t="shared" ca="1" si="256"/>
        <v>2.4908891993879614</v>
      </c>
      <c r="P910" s="94">
        <f t="shared" ca="1" si="257"/>
        <v>23.430286749388593</v>
      </c>
      <c r="Q910" s="94">
        <f t="shared" ca="1" si="258"/>
        <v>22.444549919727915</v>
      </c>
      <c r="R910" s="94">
        <f t="shared" ca="1" si="259"/>
        <v>2.2937418334558251</v>
      </c>
      <c r="S910" s="94">
        <f t="shared" ca="1" si="260"/>
        <v>2.4908891993879614</v>
      </c>
      <c r="T910" s="4">
        <f t="shared" ca="1" si="261"/>
        <v>0</v>
      </c>
      <c r="U910" s="46">
        <f t="shared" ca="1" si="262"/>
        <v>1557.6995798612329</v>
      </c>
      <c r="V910" s="4">
        <f t="shared" ca="1" si="263"/>
        <v>0</v>
      </c>
      <c r="W910" s="13">
        <f t="shared" ca="1" si="264"/>
        <v>3876.1274999999996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235</v>
      </c>
      <c r="M911" s="7">
        <f t="shared" ca="1" si="254"/>
        <v>765</v>
      </c>
      <c r="N911" s="44">
        <f t="shared" ca="1" si="255"/>
        <v>7</v>
      </c>
      <c r="O911" s="94">
        <f t="shared" ca="1" si="256"/>
        <v>2.2444549919727916</v>
      </c>
      <c r="P911" s="94">
        <f t="shared" ca="1" si="257"/>
        <v>22.444549919727915</v>
      </c>
      <c r="Q911" s="94">
        <f t="shared" ca="1" si="258"/>
        <v>22.444549919727915</v>
      </c>
      <c r="R911" s="94">
        <f t="shared" ca="1" si="259"/>
        <v>2.2444549919727916</v>
      </c>
      <c r="S911" s="94">
        <f t="shared" ca="1" si="260"/>
        <v>2.2444549919727916</v>
      </c>
      <c r="T911" s="4">
        <f t="shared" ca="1" si="261"/>
        <v>0</v>
      </c>
      <c r="U911" s="46">
        <f t="shared" ca="1" si="262"/>
        <v>1480.7701584159711</v>
      </c>
      <c r="V911" s="4">
        <f t="shared" ca="1" si="263"/>
        <v>0</v>
      </c>
      <c r="W911" s="13">
        <f t="shared" ca="1" si="264"/>
        <v>15865.08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216</v>
      </c>
      <c r="M912" s="7">
        <f t="shared" ca="1" si="254"/>
        <v>784</v>
      </c>
      <c r="N912" s="44">
        <f t="shared" ca="1" si="255"/>
        <v>7</v>
      </c>
      <c r="O912" s="94">
        <f t="shared" ca="1" si="256"/>
        <v>2.2444549919727916</v>
      </c>
      <c r="P912" s="94">
        <f t="shared" ca="1" si="257"/>
        <v>22.444549919727915</v>
      </c>
      <c r="Q912" s="94">
        <f t="shared" ca="1" si="258"/>
        <v>22.444549919727915</v>
      </c>
      <c r="R912" s="94">
        <f t="shared" ca="1" si="259"/>
        <v>2.2444549919727916</v>
      </c>
      <c r="S912" s="94">
        <f t="shared" ca="1" si="260"/>
        <v>2.2444549919727916</v>
      </c>
      <c r="T912" s="4">
        <f t="shared" ca="1" si="261"/>
        <v>0</v>
      </c>
      <c r="U912" s="46">
        <f t="shared" ca="1" si="262"/>
        <v>1461.7701584159711</v>
      </c>
      <c r="V912" s="4">
        <f t="shared" ca="1" si="263"/>
        <v>0</v>
      </c>
      <c r="W912" s="13">
        <f t="shared" ca="1" si="264"/>
        <v>13881.945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197</v>
      </c>
      <c r="M913" s="7">
        <f t="shared" ca="1" si="254"/>
        <v>803</v>
      </c>
      <c r="N913" s="44">
        <f t="shared" ca="1" si="255"/>
        <v>8</v>
      </c>
      <c r="O913" s="94">
        <f t="shared" ca="1" si="256"/>
        <v>2.4908891993879614</v>
      </c>
      <c r="P913" s="94">
        <f t="shared" ca="1" si="257"/>
        <v>24.908891993879614</v>
      </c>
      <c r="Q913" s="94">
        <f t="shared" ca="1" si="258"/>
        <v>22.690984127143082</v>
      </c>
      <c r="R913" s="94">
        <f t="shared" ca="1" si="259"/>
        <v>2.379993806051135</v>
      </c>
      <c r="S913" s="94">
        <f t="shared" ca="1" si="260"/>
        <v>2.4908891993879614</v>
      </c>
      <c r="T913" s="4">
        <f t="shared" ca="1" si="261"/>
        <v>0</v>
      </c>
      <c r="U913" s="46">
        <f t="shared" ca="1" si="262"/>
        <v>1550.6995798612329</v>
      </c>
      <c r="V913" s="4">
        <f t="shared" ca="1" si="263"/>
        <v>0</v>
      </c>
      <c r="W913" s="13">
        <f t="shared" ca="1" si="264"/>
        <v>11898.81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178</v>
      </c>
      <c r="M914" s="7">
        <f t="shared" ca="1" si="254"/>
        <v>822</v>
      </c>
      <c r="N914" s="44">
        <f t="shared" ca="1" si="255"/>
        <v>8</v>
      </c>
      <c r="O914" s="94">
        <f t="shared" ca="1" si="256"/>
        <v>2.4908891993879614</v>
      </c>
      <c r="P914" s="94">
        <f t="shared" ca="1" si="257"/>
        <v>24.908891993879614</v>
      </c>
      <c r="Q914" s="94">
        <f t="shared" ca="1" si="258"/>
        <v>24.908891993879614</v>
      </c>
      <c r="R914" s="94">
        <f t="shared" ca="1" si="259"/>
        <v>2.4908891993879614</v>
      </c>
      <c r="S914" s="94">
        <f t="shared" ca="1" si="260"/>
        <v>2.4908891993879614</v>
      </c>
      <c r="T914" s="4">
        <f t="shared" ca="1" si="261"/>
        <v>0</v>
      </c>
      <c r="U914" s="46">
        <f t="shared" ca="1" si="262"/>
        <v>1531.6995798612329</v>
      </c>
      <c r="V914" s="4">
        <f t="shared" ca="1" si="263"/>
        <v>0</v>
      </c>
      <c r="W914" s="13">
        <f t="shared" ca="1" si="264"/>
        <v>9915.6749999999993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159</v>
      </c>
      <c r="M915" s="7">
        <f t="shared" ca="1" si="254"/>
        <v>841</v>
      </c>
      <c r="N915" s="44">
        <f t="shared" ca="1" si="255"/>
        <v>8</v>
      </c>
      <c r="O915" s="94">
        <f t="shared" ca="1" si="256"/>
        <v>2.4908891993879614</v>
      </c>
      <c r="P915" s="94">
        <f t="shared" ca="1" si="257"/>
        <v>24.908891993879614</v>
      </c>
      <c r="Q915" s="94">
        <f t="shared" ca="1" si="258"/>
        <v>24.908891993879614</v>
      </c>
      <c r="R915" s="94">
        <f t="shared" ca="1" si="259"/>
        <v>2.4908891993879614</v>
      </c>
      <c r="S915" s="94">
        <f t="shared" ca="1" si="260"/>
        <v>2.4908891993879614</v>
      </c>
      <c r="T915" s="4">
        <f t="shared" ca="1" si="261"/>
        <v>0</v>
      </c>
      <c r="U915" s="46">
        <f t="shared" ca="1" si="262"/>
        <v>1512.6995798612329</v>
      </c>
      <c r="V915" s="4">
        <f t="shared" ca="1" si="263"/>
        <v>0</v>
      </c>
      <c r="W915" s="13">
        <f t="shared" ca="1" si="264"/>
        <v>7932.54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140</v>
      </c>
      <c r="M916" s="7">
        <f t="shared" ca="1" si="254"/>
        <v>860</v>
      </c>
      <c r="N916" s="44">
        <f t="shared" ca="1" si="255"/>
        <v>8</v>
      </c>
      <c r="O916" s="94">
        <f t="shared" ca="1" si="256"/>
        <v>2.4908891993879614</v>
      </c>
      <c r="P916" s="94">
        <f t="shared" ca="1" si="257"/>
        <v>24.908891993879614</v>
      </c>
      <c r="Q916" s="94">
        <f t="shared" ca="1" si="258"/>
        <v>24.908891993879614</v>
      </c>
      <c r="R916" s="94">
        <f t="shared" ca="1" si="259"/>
        <v>2.4908891993879614</v>
      </c>
      <c r="S916" s="94">
        <f t="shared" ca="1" si="260"/>
        <v>2.4908891993879614</v>
      </c>
      <c r="T916" s="4">
        <f t="shared" ca="1" si="261"/>
        <v>0</v>
      </c>
      <c r="U916" s="46">
        <f t="shared" ca="1" si="262"/>
        <v>1493.6995798612329</v>
      </c>
      <c r="V916" s="4">
        <f t="shared" ca="1" si="263"/>
        <v>0</v>
      </c>
      <c r="W916" s="13">
        <f t="shared" ca="1" si="264"/>
        <v>5949.4049999999997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2.4908891993879614</v>
      </c>
      <c r="P917" s="94">
        <f t="shared" ca="1" si="257"/>
        <v>24.908891993879614</v>
      </c>
      <c r="Q917" s="94">
        <f t="shared" ca="1" si="258"/>
        <v>24.908891993879614</v>
      </c>
      <c r="R917" s="94">
        <f t="shared" ca="1" si="259"/>
        <v>2.4908891993879614</v>
      </c>
      <c r="S917" s="94">
        <f t="shared" ca="1" si="260"/>
        <v>2.4908891993879614</v>
      </c>
      <c r="T917" s="4">
        <f t="shared" ca="1" si="261"/>
        <v>0</v>
      </c>
      <c r="U917" s="46">
        <f t="shared" ca="1" si="262"/>
        <v>1474.6995798612329</v>
      </c>
      <c r="V917" s="4">
        <f t="shared" ca="1" si="263"/>
        <v>0</v>
      </c>
      <c r="W917" s="13">
        <f t="shared" ca="1" si="264"/>
        <v>3966.27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102</v>
      </c>
      <c r="M918" s="7">
        <f t="shared" ca="1" si="254"/>
        <v>898</v>
      </c>
      <c r="N918" s="44">
        <f t="shared" ca="1" si="255"/>
        <v>8</v>
      </c>
      <c r="O918" s="94">
        <f t="shared" ca="1" si="256"/>
        <v>2.4908891993879614</v>
      </c>
      <c r="P918" s="94">
        <f t="shared" ca="1" si="257"/>
        <v>24.908891993879614</v>
      </c>
      <c r="Q918" s="94">
        <f t="shared" ca="1" si="258"/>
        <v>24.908891993879614</v>
      </c>
      <c r="R918" s="94">
        <f t="shared" ca="1" si="259"/>
        <v>2.4908891993879614</v>
      </c>
      <c r="S918" s="94">
        <f t="shared" ca="1" si="260"/>
        <v>2.4908891993879614</v>
      </c>
      <c r="T918" s="4">
        <f t="shared" ca="1" si="261"/>
        <v>0</v>
      </c>
      <c r="U918" s="46">
        <f t="shared" ca="1" si="262"/>
        <v>1455.6995798612329</v>
      </c>
      <c r="V918" s="4">
        <f t="shared" ca="1" si="263"/>
        <v>0</v>
      </c>
      <c r="W918" s="13">
        <f t="shared" ca="1" si="264"/>
        <v>1983.135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235</v>
      </c>
      <c r="M919" s="7">
        <f t="shared" ca="1" si="254"/>
        <v>765</v>
      </c>
      <c r="N919" s="44">
        <f t="shared" ca="1" si="255"/>
        <v>7</v>
      </c>
      <c r="O919" s="94">
        <f t="shared" ca="1" si="256"/>
        <v>2.2444549919727916</v>
      </c>
      <c r="P919" s="94">
        <f t="shared" ca="1" si="257"/>
        <v>22.444549919727915</v>
      </c>
      <c r="Q919" s="94">
        <f t="shared" ca="1" si="258"/>
        <v>22.444549919727915</v>
      </c>
      <c r="R919" s="94">
        <f t="shared" ca="1" si="259"/>
        <v>2.2444549919727916</v>
      </c>
      <c r="S919" s="94">
        <f t="shared" ca="1" si="260"/>
        <v>2.2444549919727916</v>
      </c>
      <c r="T919" s="4">
        <f t="shared" ca="1" si="261"/>
        <v>0</v>
      </c>
      <c r="U919" s="46">
        <f t="shared" ca="1" si="262"/>
        <v>1480.7701584159711</v>
      </c>
      <c r="V919" s="4">
        <f t="shared" ca="1" si="263"/>
        <v>0</v>
      </c>
      <c r="W919" s="13">
        <f t="shared" ca="1" si="264"/>
        <v>15774.9375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216</v>
      </c>
      <c r="M920" s="7">
        <f t="shared" ca="1" si="254"/>
        <v>784</v>
      </c>
      <c r="N920" s="44">
        <f t="shared" ca="1" si="255"/>
        <v>7</v>
      </c>
      <c r="O920" s="94">
        <f t="shared" ca="1" si="256"/>
        <v>2.2444549919727916</v>
      </c>
      <c r="P920" s="94">
        <f t="shared" ca="1" si="257"/>
        <v>22.444549919727915</v>
      </c>
      <c r="Q920" s="94">
        <f t="shared" ca="1" si="258"/>
        <v>22.444549919727915</v>
      </c>
      <c r="R920" s="94">
        <f t="shared" ca="1" si="259"/>
        <v>2.2444549919727916</v>
      </c>
      <c r="S920" s="94">
        <f t="shared" ca="1" si="260"/>
        <v>2.2444549919727916</v>
      </c>
      <c r="T920" s="4">
        <f t="shared" ca="1" si="261"/>
        <v>0</v>
      </c>
      <c r="U920" s="46">
        <f t="shared" ca="1" si="262"/>
        <v>1461.7701584159711</v>
      </c>
      <c r="V920" s="4">
        <f t="shared" ca="1" si="263"/>
        <v>0</v>
      </c>
      <c r="W920" s="13">
        <f t="shared" ca="1" si="264"/>
        <v>13791.8025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197</v>
      </c>
      <c r="M921" s="7">
        <f t="shared" ca="1" si="254"/>
        <v>803</v>
      </c>
      <c r="N921" s="44">
        <f t="shared" ca="1" si="255"/>
        <v>8</v>
      </c>
      <c r="O921" s="94">
        <f t="shared" ca="1" si="256"/>
        <v>2.4908891993879614</v>
      </c>
      <c r="P921" s="94">
        <f t="shared" ca="1" si="257"/>
        <v>24.908891993879614</v>
      </c>
      <c r="Q921" s="94">
        <f t="shared" ca="1" si="258"/>
        <v>22.690984127143082</v>
      </c>
      <c r="R921" s="94">
        <f t="shared" ca="1" si="259"/>
        <v>2.379993806051135</v>
      </c>
      <c r="S921" s="94">
        <f t="shared" ca="1" si="260"/>
        <v>2.4908891993879614</v>
      </c>
      <c r="T921" s="4">
        <f t="shared" ca="1" si="261"/>
        <v>0</v>
      </c>
      <c r="U921" s="46">
        <f t="shared" ca="1" si="262"/>
        <v>1550.6995798612329</v>
      </c>
      <c r="V921" s="4">
        <f t="shared" ca="1" si="263"/>
        <v>0</v>
      </c>
      <c r="W921" s="13">
        <f t="shared" ca="1" si="264"/>
        <v>11808.6675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178</v>
      </c>
      <c r="M922" s="7">
        <f t="shared" ca="1" si="254"/>
        <v>822</v>
      </c>
      <c r="N922" s="44">
        <f t="shared" ca="1" si="255"/>
        <v>8</v>
      </c>
      <c r="O922" s="94">
        <f t="shared" ca="1" si="256"/>
        <v>2.4908891993879614</v>
      </c>
      <c r="P922" s="94">
        <f t="shared" ca="1" si="257"/>
        <v>24.908891993879614</v>
      </c>
      <c r="Q922" s="94">
        <f t="shared" ca="1" si="258"/>
        <v>24.908891993879614</v>
      </c>
      <c r="R922" s="94">
        <f t="shared" ca="1" si="259"/>
        <v>2.4908891993879614</v>
      </c>
      <c r="S922" s="94">
        <f t="shared" ca="1" si="260"/>
        <v>2.4908891993879614</v>
      </c>
      <c r="T922" s="4">
        <f t="shared" ca="1" si="261"/>
        <v>0</v>
      </c>
      <c r="U922" s="46">
        <f t="shared" ca="1" si="262"/>
        <v>1531.6995798612329</v>
      </c>
      <c r="V922" s="4">
        <f t="shared" ca="1" si="263"/>
        <v>0</v>
      </c>
      <c r="W922" s="13">
        <f t="shared" ca="1" si="264"/>
        <v>9825.5324999999993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159</v>
      </c>
      <c r="M923" s="7">
        <f t="shared" ca="1" si="254"/>
        <v>841</v>
      </c>
      <c r="N923" s="44">
        <f t="shared" ca="1" si="255"/>
        <v>8</v>
      </c>
      <c r="O923" s="94">
        <f t="shared" ca="1" si="256"/>
        <v>2.4908891993879614</v>
      </c>
      <c r="P923" s="94">
        <f t="shared" ca="1" si="257"/>
        <v>24.908891993879614</v>
      </c>
      <c r="Q923" s="94">
        <f t="shared" ca="1" si="258"/>
        <v>24.908891993879614</v>
      </c>
      <c r="R923" s="94">
        <f t="shared" ca="1" si="259"/>
        <v>2.4908891993879614</v>
      </c>
      <c r="S923" s="94">
        <f t="shared" ca="1" si="260"/>
        <v>2.4908891993879614</v>
      </c>
      <c r="T923" s="4">
        <f t="shared" ca="1" si="261"/>
        <v>0</v>
      </c>
      <c r="U923" s="46">
        <f t="shared" ca="1" si="262"/>
        <v>1512.6995798612329</v>
      </c>
      <c r="V923" s="4">
        <f t="shared" ca="1" si="263"/>
        <v>0</v>
      </c>
      <c r="W923" s="13">
        <f t="shared" ca="1" si="264"/>
        <v>7842.3974999999991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140</v>
      </c>
      <c r="M924" s="7">
        <f t="shared" ca="1" si="254"/>
        <v>860</v>
      </c>
      <c r="N924" s="44">
        <f t="shared" ca="1" si="255"/>
        <v>8</v>
      </c>
      <c r="O924" s="94">
        <f t="shared" ca="1" si="256"/>
        <v>2.4908891993879614</v>
      </c>
      <c r="P924" s="94">
        <f t="shared" ca="1" si="257"/>
        <v>24.908891993879614</v>
      </c>
      <c r="Q924" s="94">
        <f t="shared" ca="1" si="258"/>
        <v>24.908891993879614</v>
      </c>
      <c r="R924" s="94">
        <f t="shared" ca="1" si="259"/>
        <v>2.4908891993879614</v>
      </c>
      <c r="S924" s="94">
        <f t="shared" ca="1" si="260"/>
        <v>2.4908891993879614</v>
      </c>
      <c r="T924" s="4">
        <f t="shared" ca="1" si="261"/>
        <v>0</v>
      </c>
      <c r="U924" s="46">
        <f t="shared" ca="1" si="262"/>
        <v>1493.6995798612329</v>
      </c>
      <c r="V924" s="4">
        <f t="shared" ca="1" si="263"/>
        <v>0</v>
      </c>
      <c r="W924" s="13">
        <f t="shared" ca="1" si="264"/>
        <v>5859.2624999999998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2.4908891993879614</v>
      </c>
      <c r="P925" s="94">
        <f t="shared" ca="1" si="257"/>
        <v>24.908891993879614</v>
      </c>
      <c r="Q925" s="94">
        <f t="shared" ca="1" si="258"/>
        <v>24.908891993879614</v>
      </c>
      <c r="R925" s="94">
        <f t="shared" ca="1" si="259"/>
        <v>2.4908891993879614</v>
      </c>
      <c r="S925" s="94">
        <f t="shared" ca="1" si="260"/>
        <v>2.4908891993879614</v>
      </c>
      <c r="T925" s="4">
        <f t="shared" ca="1" si="261"/>
        <v>0</v>
      </c>
      <c r="U925" s="46">
        <f t="shared" ca="1" si="262"/>
        <v>1474.6995798612329</v>
      </c>
      <c r="V925" s="4">
        <f t="shared" ca="1" si="263"/>
        <v>0</v>
      </c>
      <c r="W925" s="13">
        <f t="shared" ca="1" si="264"/>
        <v>3876.1274999999996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102</v>
      </c>
      <c r="M926" s="7">
        <f t="shared" ca="1" si="254"/>
        <v>898</v>
      </c>
      <c r="N926" s="44">
        <f t="shared" ca="1" si="255"/>
        <v>8</v>
      </c>
      <c r="O926" s="94">
        <f t="shared" ca="1" si="256"/>
        <v>2.4908891993879614</v>
      </c>
      <c r="P926" s="94">
        <f t="shared" ca="1" si="257"/>
        <v>24.908891993879614</v>
      </c>
      <c r="Q926" s="94">
        <f t="shared" ca="1" si="258"/>
        <v>24.908891993879614</v>
      </c>
      <c r="R926" s="94">
        <f t="shared" ca="1" si="259"/>
        <v>2.4908891993879614</v>
      </c>
      <c r="S926" s="94">
        <f t="shared" ca="1" si="260"/>
        <v>2.4908891993879614</v>
      </c>
      <c r="T926" s="4">
        <f t="shared" ca="1" si="261"/>
        <v>0</v>
      </c>
      <c r="U926" s="46">
        <f t="shared" ca="1" si="262"/>
        <v>1455.6995798612329</v>
      </c>
      <c r="V926" s="4">
        <f t="shared" ca="1" si="263"/>
        <v>0</v>
      </c>
      <c r="W926" s="13">
        <f t="shared" ca="1" si="264"/>
        <v>1892.9924999999998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133</v>
      </c>
      <c r="M927" s="7">
        <f t="shared" ca="1" si="254"/>
        <v>867</v>
      </c>
      <c r="N927" s="44">
        <f t="shared" ca="1" si="255"/>
        <v>8</v>
      </c>
      <c r="O927" s="94">
        <f t="shared" ca="1" si="256"/>
        <v>2.4908891993879614</v>
      </c>
      <c r="P927" s="94">
        <f t="shared" ca="1" si="257"/>
        <v>24.908891993879614</v>
      </c>
      <c r="Q927" s="94">
        <f t="shared" ca="1" si="258"/>
        <v>24.908891993879614</v>
      </c>
      <c r="R927" s="94">
        <f t="shared" ca="1" si="259"/>
        <v>2.4908891993879614</v>
      </c>
      <c r="S927" s="94">
        <f t="shared" ca="1" si="260"/>
        <v>2.4908891993879614</v>
      </c>
      <c r="T927" s="4">
        <f t="shared" ca="1" si="261"/>
        <v>0</v>
      </c>
      <c r="U927" s="46">
        <f t="shared" ca="1" si="262"/>
        <v>1486.6995798612329</v>
      </c>
      <c r="V927" s="4">
        <f t="shared" ca="1" si="263"/>
        <v>0</v>
      </c>
      <c r="W927" s="13">
        <f t="shared" ca="1" si="264"/>
        <v>13881.945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114</v>
      </c>
      <c r="M928" s="7">
        <f t="shared" ca="1" si="254"/>
        <v>886</v>
      </c>
      <c r="N928" s="44">
        <f t="shared" ca="1" si="255"/>
        <v>8</v>
      </c>
      <c r="O928" s="94">
        <f t="shared" ca="1" si="256"/>
        <v>2.4908891993879614</v>
      </c>
      <c r="P928" s="94">
        <f t="shared" ca="1" si="257"/>
        <v>24.908891993879614</v>
      </c>
      <c r="Q928" s="94">
        <f t="shared" ca="1" si="258"/>
        <v>24.908891993879614</v>
      </c>
      <c r="R928" s="94">
        <f t="shared" ca="1" si="259"/>
        <v>2.4908891993879614</v>
      </c>
      <c r="S928" s="94">
        <f t="shared" ca="1" si="260"/>
        <v>2.4908891993879614</v>
      </c>
      <c r="T928" s="4">
        <f t="shared" ca="1" si="261"/>
        <v>0</v>
      </c>
      <c r="U928" s="46">
        <f t="shared" ca="1" si="262"/>
        <v>1467.6995798612329</v>
      </c>
      <c r="V928" s="4">
        <f t="shared" ca="1" si="263"/>
        <v>0</v>
      </c>
      <c r="W928" s="13">
        <f t="shared" ca="1" si="264"/>
        <v>11898.81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2.4908891993879614</v>
      </c>
      <c r="P929" s="94">
        <f t="shared" ca="1" si="257"/>
        <v>24.908891993879614</v>
      </c>
      <c r="Q929" s="94">
        <f t="shared" ca="1" si="258"/>
        <v>24.908891993879614</v>
      </c>
      <c r="R929" s="94">
        <f t="shared" ca="1" si="259"/>
        <v>2.4908891993879614</v>
      </c>
      <c r="S929" s="94">
        <f t="shared" ca="1" si="260"/>
        <v>2.4908891993879614</v>
      </c>
      <c r="T929" s="4">
        <f t="shared" ca="1" si="261"/>
        <v>0</v>
      </c>
      <c r="U929" s="46">
        <f t="shared" ca="1" si="262"/>
        <v>1453.6995798612329</v>
      </c>
      <c r="V929" s="4">
        <f t="shared" ca="1" si="263"/>
        <v>0</v>
      </c>
      <c r="W929" s="13">
        <f t="shared" ca="1" si="264"/>
        <v>9915.6749999999993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100</v>
      </c>
      <c r="M930" s="7">
        <f t="shared" ca="1" si="254"/>
        <v>900</v>
      </c>
      <c r="N930" s="44">
        <f t="shared" ca="1" si="255"/>
        <v>8</v>
      </c>
      <c r="O930" s="94">
        <f t="shared" ca="1" si="256"/>
        <v>2.4908891993879614</v>
      </c>
      <c r="P930" s="94">
        <f t="shared" ca="1" si="257"/>
        <v>24.908891993879614</v>
      </c>
      <c r="Q930" s="94">
        <f t="shared" ca="1" si="258"/>
        <v>24.908891993879614</v>
      </c>
      <c r="R930" s="94">
        <f t="shared" ca="1" si="259"/>
        <v>2.4908891993879614</v>
      </c>
      <c r="S930" s="94">
        <f t="shared" ca="1" si="260"/>
        <v>2.4908891993879614</v>
      </c>
      <c r="T930" s="4">
        <f t="shared" ca="1" si="261"/>
        <v>0</v>
      </c>
      <c r="U930" s="46">
        <f t="shared" ca="1" si="262"/>
        <v>1453.6995798612329</v>
      </c>
      <c r="V930" s="4">
        <f t="shared" ca="1" si="263"/>
        <v>0</v>
      </c>
      <c r="W930" s="13">
        <f t="shared" ca="1" si="264"/>
        <v>7932.54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100</v>
      </c>
      <c r="M931" s="7">
        <f t="shared" ca="1" si="254"/>
        <v>900</v>
      </c>
      <c r="N931" s="44">
        <f t="shared" ca="1" si="255"/>
        <v>8</v>
      </c>
      <c r="O931" s="94">
        <f t="shared" ca="1" si="256"/>
        <v>2.4908891993879614</v>
      </c>
      <c r="P931" s="94">
        <f t="shared" ca="1" si="257"/>
        <v>24.908891993879614</v>
      </c>
      <c r="Q931" s="94">
        <f t="shared" ca="1" si="258"/>
        <v>24.908891993879614</v>
      </c>
      <c r="R931" s="94">
        <f t="shared" ca="1" si="259"/>
        <v>2.4908891993879614</v>
      </c>
      <c r="S931" s="94">
        <f t="shared" ca="1" si="260"/>
        <v>2.4908891993879614</v>
      </c>
      <c r="T931" s="4">
        <f t="shared" ca="1" si="261"/>
        <v>0</v>
      </c>
      <c r="U931" s="46">
        <f t="shared" ca="1" si="262"/>
        <v>1453.6995798612329</v>
      </c>
      <c r="V931" s="4">
        <f t="shared" ca="1" si="263"/>
        <v>0</v>
      </c>
      <c r="W931" s="13">
        <f t="shared" ca="1" si="264"/>
        <v>5949.4049999999997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100</v>
      </c>
      <c r="M932" s="7">
        <f t="shared" ca="1" si="254"/>
        <v>900</v>
      </c>
      <c r="N932" s="44">
        <f t="shared" ca="1" si="255"/>
        <v>8</v>
      </c>
      <c r="O932" s="94">
        <f t="shared" ca="1" si="256"/>
        <v>2.4908891993879614</v>
      </c>
      <c r="P932" s="94">
        <f t="shared" ca="1" si="257"/>
        <v>24.908891993879614</v>
      </c>
      <c r="Q932" s="94">
        <f t="shared" ca="1" si="258"/>
        <v>24.908891993879614</v>
      </c>
      <c r="R932" s="94">
        <f t="shared" ca="1" si="259"/>
        <v>2.4908891993879614</v>
      </c>
      <c r="S932" s="94">
        <f t="shared" ca="1" si="260"/>
        <v>2.4908891993879614</v>
      </c>
      <c r="T932" s="4">
        <f t="shared" ca="1" si="261"/>
        <v>0</v>
      </c>
      <c r="U932" s="46">
        <f t="shared" ca="1" si="262"/>
        <v>1453.6995798612329</v>
      </c>
      <c r="V932" s="4">
        <f t="shared" ca="1" si="263"/>
        <v>0</v>
      </c>
      <c r="W932" s="13">
        <f t="shared" ca="1" si="264"/>
        <v>3966.27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100</v>
      </c>
      <c r="M933" s="7">
        <f t="shared" ca="1" si="254"/>
        <v>900</v>
      </c>
      <c r="N933" s="44">
        <f t="shared" ca="1" si="255"/>
        <v>8</v>
      </c>
      <c r="O933" s="94">
        <f t="shared" ca="1" si="256"/>
        <v>2.4908891993879614</v>
      </c>
      <c r="P933" s="94">
        <f t="shared" ca="1" si="257"/>
        <v>24.908891993879614</v>
      </c>
      <c r="Q933" s="94">
        <f t="shared" ca="1" si="258"/>
        <v>24.908891993879614</v>
      </c>
      <c r="R933" s="94">
        <f t="shared" ca="1" si="259"/>
        <v>2.4908891993879614</v>
      </c>
      <c r="S933" s="94">
        <f t="shared" ca="1" si="260"/>
        <v>2.4908891993879614</v>
      </c>
      <c r="T933" s="4">
        <f t="shared" ca="1" si="261"/>
        <v>0</v>
      </c>
      <c r="U933" s="46">
        <f t="shared" ca="1" si="262"/>
        <v>1453.6995798612329</v>
      </c>
      <c r="V933" s="4">
        <f t="shared" ca="1" si="263"/>
        <v>0</v>
      </c>
      <c r="W933" s="13">
        <f t="shared" ca="1" si="264"/>
        <v>1983.135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100</v>
      </c>
      <c r="M934" s="7">
        <f t="shared" ca="1" si="254"/>
        <v>900</v>
      </c>
      <c r="N934" s="44">
        <f t="shared" ca="1" si="255"/>
        <v>8</v>
      </c>
      <c r="O934" s="94">
        <f t="shared" ca="1" si="256"/>
        <v>2.4908891993879614</v>
      </c>
      <c r="P934" s="94">
        <f t="shared" ca="1" si="257"/>
        <v>24.908891993879614</v>
      </c>
      <c r="Q934" s="94">
        <f t="shared" ca="1" si="258"/>
        <v>24.908891993879614</v>
      </c>
      <c r="R934" s="94">
        <f t="shared" ca="1" si="259"/>
        <v>2.4908891993879614</v>
      </c>
      <c r="S934" s="94">
        <f t="shared" ca="1" si="260"/>
        <v>2.4908891993879614</v>
      </c>
      <c r="T934" s="4">
        <f t="shared" ca="1" si="261"/>
        <v>0</v>
      </c>
      <c r="U934" s="46">
        <f t="shared" ca="1" si="262"/>
        <v>1453.6995798612329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337</v>
      </c>
      <c r="M935" s="7">
        <f t="shared" ref="M935:M998" ca="1" si="273">MAX(Set2MinTP-(L935+Set2Regain), 0)</f>
        <v>663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1.9922775034029279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19.922775034029279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19.922775034029279</v>
      </c>
      <c r="R935" s="94">
        <f t="shared" ref="R935:R998" ca="1" si="278">(P935+Q935)/20</f>
        <v>1.9922775034029279</v>
      </c>
      <c r="S935" s="94">
        <f t="shared" ref="S935:S998" ca="1" si="279">R935*Set2ConserveTP + O935*(1-Set2ConserveTP)</f>
        <v>1.9922775034029279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1472.3253840141317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17758.072499999998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318</v>
      </c>
      <c r="M936" s="7">
        <f t="shared" ca="1" si="273"/>
        <v>682</v>
      </c>
      <c r="N936" s="44">
        <f t="shared" ca="1" si="274"/>
        <v>7</v>
      </c>
      <c r="O936" s="94">
        <f t="shared" ca="1" si="275"/>
        <v>2.2444549919727916</v>
      </c>
      <c r="P936" s="94">
        <f t="shared" ca="1" si="276"/>
        <v>20.679307499738869</v>
      </c>
      <c r="Q936" s="94">
        <f t="shared" ca="1" si="277"/>
        <v>19.922775034029279</v>
      </c>
      <c r="R936" s="94">
        <f t="shared" ca="1" si="278"/>
        <v>2.0301041266884075</v>
      </c>
      <c r="S936" s="94">
        <f t="shared" ca="1" si="279"/>
        <v>2.2444549919727916</v>
      </c>
      <c r="T936" s="4">
        <f t="shared" ca="1" si="280"/>
        <v>0</v>
      </c>
      <c r="U936" s="46">
        <f t="shared" ca="1" si="281"/>
        <v>1563.7701584159711</v>
      </c>
      <c r="V936" s="4">
        <f t="shared" ca="1" si="282"/>
        <v>0</v>
      </c>
      <c r="W936" s="13">
        <f t="shared" ca="1" si="283"/>
        <v>15774.9375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299</v>
      </c>
      <c r="M937" s="7">
        <f t="shared" ca="1" si="273"/>
        <v>701</v>
      </c>
      <c r="N937" s="44">
        <f t="shared" ca="1" si="274"/>
        <v>7</v>
      </c>
      <c r="O937" s="94">
        <f t="shared" ca="1" si="275"/>
        <v>2.2444549919727916</v>
      </c>
      <c r="P937" s="94">
        <f t="shared" ca="1" si="276"/>
        <v>22.444549919727915</v>
      </c>
      <c r="Q937" s="94">
        <f t="shared" ca="1" si="277"/>
        <v>22.444549919727915</v>
      </c>
      <c r="R937" s="94">
        <f t="shared" ca="1" si="278"/>
        <v>2.2444549919727916</v>
      </c>
      <c r="S937" s="94">
        <f t="shared" ca="1" si="279"/>
        <v>2.2444549919727916</v>
      </c>
      <c r="T937" s="4">
        <f t="shared" ca="1" si="280"/>
        <v>0</v>
      </c>
      <c r="U937" s="46">
        <f t="shared" ca="1" si="281"/>
        <v>1544.7701584159711</v>
      </c>
      <c r="V937" s="4">
        <f t="shared" ca="1" si="282"/>
        <v>0</v>
      </c>
      <c r="W937" s="13">
        <f t="shared" ca="1" si="283"/>
        <v>13791.802499999998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280</v>
      </c>
      <c r="M938" s="7">
        <f t="shared" ca="1" si="273"/>
        <v>720</v>
      </c>
      <c r="N938" s="44">
        <f t="shared" ca="1" si="274"/>
        <v>7</v>
      </c>
      <c r="O938" s="94">
        <f t="shared" ca="1" si="275"/>
        <v>2.2444549919727916</v>
      </c>
      <c r="P938" s="94">
        <f t="shared" ca="1" si="276"/>
        <v>22.444549919727915</v>
      </c>
      <c r="Q938" s="94">
        <f t="shared" ca="1" si="277"/>
        <v>22.444549919727915</v>
      </c>
      <c r="R938" s="94">
        <f t="shared" ca="1" si="278"/>
        <v>2.2444549919727916</v>
      </c>
      <c r="S938" s="94">
        <f t="shared" ca="1" si="279"/>
        <v>2.2444549919727916</v>
      </c>
      <c r="T938" s="4">
        <f t="shared" ca="1" si="280"/>
        <v>0</v>
      </c>
      <c r="U938" s="46">
        <f t="shared" ca="1" si="281"/>
        <v>1525.7701584159711</v>
      </c>
      <c r="V938" s="4">
        <f t="shared" ca="1" si="282"/>
        <v>0</v>
      </c>
      <c r="W938" s="13">
        <f t="shared" ca="1" si="283"/>
        <v>11808.6675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261</v>
      </c>
      <c r="M939" s="7">
        <f t="shared" ca="1" si="273"/>
        <v>739</v>
      </c>
      <c r="N939" s="44">
        <f t="shared" ca="1" si="274"/>
        <v>7</v>
      </c>
      <c r="O939" s="94">
        <f t="shared" ca="1" si="275"/>
        <v>2.2444549919727916</v>
      </c>
      <c r="P939" s="94">
        <f t="shared" ca="1" si="276"/>
        <v>22.444549919727915</v>
      </c>
      <c r="Q939" s="94">
        <f t="shared" ca="1" si="277"/>
        <v>22.444549919727915</v>
      </c>
      <c r="R939" s="94">
        <f t="shared" ca="1" si="278"/>
        <v>2.2444549919727916</v>
      </c>
      <c r="S939" s="94">
        <f t="shared" ca="1" si="279"/>
        <v>2.2444549919727916</v>
      </c>
      <c r="T939" s="4">
        <f t="shared" ca="1" si="280"/>
        <v>0</v>
      </c>
      <c r="U939" s="46">
        <f t="shared" ca="1" si="281"/>
        <v>1506.7701584159711</v>
      </c>
      <c r="V939" s="4">
        <f t="shared" ca="1" si="282"/>
        <v>0</v>
      </c>
      <c r="W939" s="13">
        <f t="shared" ca="1" si="283"/>
        <v>9825.5324999999993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2.2444549919727916</v>
      </c>
      <c r="P940" s="94">
        <f t="shared" ca="1" si="276"/>
        <v>22.444549919727915</v>
      </c>
      <c r="Q940" s="94">
        <f t="shared" ca="1" si="277"/>
        <v>22.444549919727915</v>
      </c>
      <c r="R940" s="94">
        <f t="shared" ca="1" si="278"/>
        <v>2.2444549919727916</v>
      </c>
      <c r="S940" s="94">
        <f t="shared" ca="1" si="279"/>
        <v>2.2444549919727916</v>
      </c>
      <c r="T940" s="4">
        <f t="shared" ca="1" si="280"/>
        <v>0</v>
      </c>
      <c r="U940" s="46">
        <f t="shared" ca="1" si="281"/>
        <v>1487.7701584159711</v>
      </c>
      <c r="V940" s="4">
        <f t="shared" ca="1" si="282"/>
        <v>0</v>
      </c>
      <c r="W940" s="13">
        <f t="shared" ca="1" si="283"/>
        <v>7842.3974999999991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223</v>
      </c>
      <c r="M941" s="7">
        <f t="shared" ca="1" si="273"/>
        <v>777</v>
      </c>
      <c r="N941" s="44">
        <f t="shared" ca="1" si="274"/>
        <v>7</v>
      </c>
      <c r="O941" s="94">
        <f t="shared" ca="1" si="275"/>
        <v>2.2444549919727916</v>
      </c>
      <c r="P941" s="94">
        <f t="shared" ca="1" si="276"/>
        <v>22.444549919727915</v>
      </c>
      <c r="Q941" s="94">
        <f t="shared" ca="1" si="277"/>
        <v>22.444549919727915</v>
      </c>
      <c r="R941" s="94">
        <f t="shared" ca="1" si="278"/>
        <v>2.2444549919727916</v>
      </c>
      <c r="S941" s="94">
        <f t="shared" ca="1" si="279"/>
        <v>2.2444549919727916</v>
      </c>
      <c r="T941" s="4">
        <f t="shared" ca="1" si="280"/>
        <v>0</v>
      </c>
      <c r="U941" s="46">
        <f t="shared" ca="1" si="281"/>
        <v>1468.7701584159711</v>
      </c>
      <c r="V941" s="4">
        <f t="shared" ca="1" si="282"/>
        <v>0</v>
      </c>
      <c r="W941" s="13">
        <f t="shared" ca="1" si="283"/>
        <v>5859.2624999999998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204</v>
      </c>
      <c r="M942" s="7">
        <f t="shared" ca="1" si="273"/>
        <v>796</v>
      </c>
      <c r="N942" s="44">
        <f t="shared" ca="1" si="274"/>
        <v>8</v>
      </c>
      <c r="O942" s="94">
        <f t="shared" ca="1" si="275"/>
        <v>2.4908891993879614</v>
      </c>
      <c r="P942" s="94">
        <f t="shared" ca="1" si="276"/>
        <v>23.430286749388593</v>
      </c>
      <c r="Q942" s="94">
        <f t="shared" ca="1" si="277"/>
        <v>22.444549919727915</v>
      </c>
      <c r="R942" s="94">
        <f t="shared" ca="1" si="278"/>
        <v>2.2937418334558251</v>
      </c>
      <c r="S942" s="94">
        <f t="shared" ca="1" si="279"/>
        <v>2.4908891993879614</v>
      </c>
      <c r="T942" s="4">
        <f t="shared" ca="1" si="280"/>
        <v>0</v>
      </c>
      <c r="U942" s="46">
        <f t="shared" ca="1" si="281"/>
        <v>1557.6995798612329</v>
      </c>
      <c r="V942" s="4">
        <f t="shared" ca="1" si="282"/>
        <v>0</v>
      </c>
      <c r="W942" s="13">
        <f t="shared" ca="1" si="283"/>
        <v>3876.1274999999996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235</v>
      </c>
      <c r="M943" s="7">
        <f t="shared" ca="1" si="273"/>
        <v>765</v>
      </c>
      <c r="N943" s="44">
        <f t="shared" ca="1" si="274"/>
        <v>7</v>
      </c>
      <c r="O943" s="94">
        <f t="shared" ca="1" si="275"/>
        <v>2.2444549919727916</v>
      </c>
      <c r="P943" s="94">
        <f t="shared" ca="1" si="276"/>
        <v>22.444549919727915</v>
      </c>
      <c r="Q943" s="94">
        <f t="shared" ca="1" si="277"/>
        <v>22.444549919727915</v>
      </c>
      <c r="R943" s="94">
        <f t="shared" ca="1" si="278"/>
        <v>2.2444549919727916</v>
      </c>
      <c r="S943" s="94">
        <f t="shared" ca="1" si="279"/>
        <v>2.2444549919727916</v>
      </c>
      <c r="T943" s="4">
        <f t="shared" ca="1" si="280"/>
        <v>0</v>
      </c>
      <c r="U943" s="46">
        <f t="shared" ca="1" si="281"/>
        <v>1480.7701584159711</v>
      </c>
      <c r="V943" s="4">
        <f t="shared" ca="1" si="282"/>
        <v>0</v>
      </c>
      <c r="W943" s="13">
        <f t="shared" ca="1" si="283"/>
        <v>15865.08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216</v>
      </c>
      <c r="M944" s="7">
        <f t="shared" ca="1" si="273"/>
        <v>784</v>
      </c>
      <c r="N944" s="44">
        <f t="shared" ca="1" si="274"/>
        <v>7</v>
      </c>
      <c r="O944" s="94">
        <f t="shared" ca="1" si="275"/>
        <v>2.2444549919727916</v>
      </c>
      <c r="P944" s="94">
        <f t="shared" ca="1" si="276"/>
        <v>22.444549919727915</v>
      </c>
      <c r="Q944" s="94">
        <f t="shared" ca="1" si="277"/>
        <v>22.444549919727915</v>
      </c>
      <c r="R944" s="94">
        <f t="shared" ca="1" si="278"/>
        <v>2.2444549919727916</v>
      </c>
      <c r="S944" s="94">
        <f t="shared" ca="1" si="279"/>
        <v>2.2444549919727916</v>
      </c>
      <c r="T944" s="4">
        <f t="shared" ca="1" si="280"/>
        <v>0</v>
      </c>
      <c r="U944" s="46">
        <f t="shared" ca="1" si="281"/>
        <v>1461.7701584159711</v>
      </c>
      <c r="V944" s="4">
        <f t="shared" ca="1" si="282"/>
        <v>0</v>
      </c>
      <c r="W944" s="13">
        <f t="shared" ca="1" si="283"/>
        <v>13881.945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197</v>
      </c>
      <c r="M945" s="7">
        <f t="shared" ca="1" si="273"/>
        <v>803</v>
      </c>
      <c r="N945" s="44">
        <f t="shared" ca="1" si="274"/>
        <v>8</v>
      </c>
      <c r="O945" s="94">
        <f t="shared" ca="1" si="275"/>
        <v>2.4908891993879614</v>
      </c>
      <c r="P945" s="94">
        <f t="shared" ca="1" si="276"/>
        <v>24.908891993879614</v>
      </c>
      <c r="Q945" s="94">
        <f t="shared" ca="1" si="277"/>
        <v>22.690984127143082</v>
      </c>
      <c r="R945" s="94">
        <f t="shared" ca="1" si="278"/>
        <v>2.379993806051135</v>
      </c>
      <c r="S945" s="94">
        <f t="shared" ca="1" si="279"/>
        <v>2.4908891993879614</v>
      </c>
      <c r="T945" s="4">
        <f t="shared" ca="1" si="280"/>
        <v>0</v>
      </c>
      <c r="U945" s="46">
        <f t="shared" ca="1" si="281"/>
        <v>1550.6995798612329</v>
      </c>
      <c r="V945" s="4">
        <f t="shared" ca="1" si="282"/>
        <v>0</v>
      </c>
      <c r="W945" s="13">
        <f t="shared" ca="1" si="283"/>
        <v>11898.81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178</v>
      </c>
      <c r="M946" s="7">
        <f t="shared" ca="1" si="273"/>
        <v>822</v>
      </c>
      <c r="N946" s="44">
        <f t="shared" ca="1" si="274"/>
        <v>8</v>
      </c>
      <c r="O946" s="94">
        <f t="shared" ca="1" si="275"/>
        <v>2.4908891993879614</v>
      </c>
      <c r="P946" s="94">
        <f t="shared" ca="1" si="276"/>
        <v>24.908891993879614</v>
      </c>
      <c r="Q946" s="94">
        <f t="shared" ca="1" si="277"/>
        <v>24.908891993879614</v>
      </c>
      <c r="R946" s="94">
        <f t="shared" ca="1" si="278"/>
        <v>2.4908891993879614</v>
      </c>
      <c r="S946" s="94">
        <f t="shared" ca="1" si="279"/>
        <v>2.4908891993879614</v>
      </c>
      <c r="T946" s="4">
        <f t="shared" ca="1" si="280"/>
        <v>0</v>
      </c>
      <c r="U946" s="46">
        <f t="shared" ca="1" si="281"/>
        <v>1531.6995798612329</v>
      </c>
      <c r="V946" s="4">
        <f t="shared" ca="1" si="282"/>
        <v>0</v>
      </c>
      <c r="W946" s="13">
        <f t="shared" ca="1" si="283"/>
        <v>9915.6749999999993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159</v>
      </c>
      <c r="M947" s="7">
        <f t="shared" ca="1" si="273"/>
        <v>841</v>
      </c>
      <c r="N947" s="44">
        <f t="shared" ca="1" si="274"/>
        <v>8</v>
      </c>
      <c r="O947" s="94">
        <f t="shared" ca="1" si="275"/>
        <v>2.4908891993879614</v>
      </c>
      <c r="P947" s="94">
        <f t="shared" ca="1" si="276"/>
        <v>24.908891993879614</v>
      </c>
      <c r="Q947" s="94">
        <f t="shared" ca="1" si="277"/>
        <v>24.908891993879614</v>
      </c>
      <c r="R947" s="94">
        <f t="shared" ca="1" si="278"/>
        <v>2.4908891993879614</v>
      </c>
      <c r="S947" s="94">
        <f t="shared" ca="1" si="279"/>
        <v>2.4908891993879614</v>
      </c>
      <c r="T947" s="4">
        <f t="shared" ca="1" si="280"/>
        <v>0</v>
      </c>
      <c r="U947" s="46">
        <f t="shared" ca="1" si="281"/>
        <v>1512.6995798612329</v>
      </c>
      <c r="V947" s="4">
        <f t="shared" ca="1" si="282"/>
        <v>0</v>
      </c>
      <c r="W947" s="13">
        <f t="shared" ca="1" si="283"/>
        <v>7932.54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140</v>
      </c>
      <c r="M948" s="7">
        <f t="shared" ca="1" si="273"/>
        <v>860</v>
      </c>
      <c r="N948" s="44">
        <f t="shared" ca="1" si="274"/>
        <v>8</v>
      </c>
      <c r="O948" s="94">
        <f t="shared" ca="1" si="275"/>
        <v>2.4908891993879614</v>
      </c>
      <c r="P948" s="94">
        <f t="shared" ca="1" si="276"/>
        <v>24.908891993879614</v>
      </c>
      <c r="Q948" s="94">
        <f t="shared" ca="1" si="277"/>
        <v>24.908891993879614</v>
      </c>
      <c r="R948" s="94">
        <f t="shared" ca="1" si="278"/>
        <v>2.4908891993879614</v>
      </c>
      <c r="S948" s="94">
        <f t="shared" ca="1" si="279"/>
        <v>2.4908891993879614</v>
      </c>
      <c r="T948" s="4">
        <f t="shared" ca="1" si="280"/>
        <v>0</v>
      </c>
      <c r="U948" s="46">
        <f t="shared" ca="1" si="281"/>
        <v>1493.6995798612329</v>
      </c>
      <c r="V948" s="4">
        <f t="shared" ca="1" si="282"/>
        <v>0</v>
      </c>
      <c r="W948" s="13">
        <f t="shared" ca="1" si="283"/>
        <v>5949.4049999999997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2.4908891993879614</v>
      </c>
      <c r="P949" s="94">
        <f t="shared" ca="1" si="276"/>
        <v>24.908891993879614</v>
      </c>
      <c r="Q949" s="94">
        <f t="shared" ca="1" si="277"/>
        <v>24.908891993879614</v>
      </c>
      <c r="R949" s="94">
        <f t="shared" ca="1" si="278"/>
        <v>2.4908891993879614</v>
      </c>
      <c r="S949" s="94">
        <f t="shared" ca="1" si="279"/>
        <v>2.4908891993879614</v>
      </c>
      <c r="T949" s="4">
        <f t="shared" ca="1" si="280"/>
        <v>0</v>
      </c>
      <c r="U949" s="46">
        <f t="shared" ca="1" si="281"/>
        <v>1474.6995798612329</v>
      </c>
      <c r="V949" s="4">
        <f t="shared" ca="1" si="282"/>
        <v>0</v>
      </c>
      <c r="W949" s="13">
        <f t="shared" ca="1" si="283"/>
        <v>3966.27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102</v>
      </c>
      <c r="M950" s="7">
        <f t="shared" ca="1" si="273"/>
        <v>898</v>
      </c>
      <c r="N950" s="44">
        <f t="shared" ca="1" si="274"/>
        <v>8</v>
      </c>
      <c r="O950" s="94">
        <f t="shared" ca="1" si="275"/>
        <v>2.4908891993879614</v>
      </c>
      <c r="P950" s="94">
        <f t="shared" ca="1" si="276"/>
        <v>24.908891993879614</v>
      </c>
      <c r="Q950" s="94">
        <f t="shared" ca="1" si="277"/>
        <v>24.908891993879614</v>
      </c>
      <c r="R950" s="94">
        <f t="shared" ca="1" si="278"/>
        <v>2.4908891993879614</v>
      </c>
      <c r="S950" s="94">
        <f t="shared" ca="1" si="279"/>
        <v>2.4908891993879614</v>
      </c>
      <c r="T950" s="4">
        <f t="shared" ca="1" si="280"/>
        <v>0</v>
      </c>
      <c r="U950" s="46">
        <f t="shared" ca="1" si="281"/>
        <v>1455.6995798612329</v>
      </c>
      <c r="V950" s="4">
        <f t="shared" ca="1" si="282"/>
        <v>0</v>
      </c>
      <c r="W950" s="13">
        <f t="shared" ca="1" si="283"/>
        <v>1983.135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235</v>
      </c>
      <c r="M951" s="7">
        <f t="shared" ca="1" si="273"/>
        <v>765</v>
      </c>
      <c r="N951" s="44">
        <f t="shared" ca="1" si="274"/>
        <v>7</v>
      </c>
      <c r="O951" s="94">
        <f t="shared" ca="1" si="275"/>
        <v>2.2444549919727916</v>
      </c>
      <c r="P951" s="94">
        <f t="shared" ca="1" si="276"/>
        <v>22.444549919727915</v>
      </c>
      <c r="Q951" s="94">
        <f t="shared" ca="1" si="277"/>
        <v>22.444549919727915</v>
      </c>
      <c r="R951" s="94">
        <f t="shared" ca="1" si="278"/>
        <v>2.2444549919727916</v>
      </c>
      <c r="S951" s="94">
        <f t="shared" ca="1" si="279"/>
        <v>2.2444549919727916</v>
      </c>
      <c r="T951" s="4">
        <f t="shared" ca="1" si="280"/>
        <v>0</v>
      </c>
      <c r="U951" s="46">
        <f t="shared" ca="1" si="281"/>
        <v>1480.7701584159711</v>
      </c>
      <c r="V951" s="4">
        <f t="shared" ca="1" si="282"/>
        <v>0</v>
      </c>
      <c r="W951" s="13">
        <f t="shared" ca="1" si="283"/>
        <v>15774.9375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216</v>
      </c>
      <c r="M952" s="7">
        <f t="shared" ca="1" si="273"/>
        <v>784</v>
      </c>
      <c r="N952" s="44">
        <f t="shared" ca="1" si="274"/>
        <v>7</v>
      </c>
      <c r="O952" s="94">
        <f t="shared" ca="1" si="275"/>
        <v>2.2444549919727916</v>
      </c>
      <c r="P952" s="94">
        <f t="shared" ca="1" si="276"/>
        <v>22.444549919727915</v>
      </c>
      <c r="Q952" s="94">
        <f t="shared" ca="1" si="277"/>
        <v>22.444549919727915</v>
      </c>
      <c r="R952" s="94">
        <f t="shared" ca="1" si="278"/>
        <v>2.2444549919727916</v>
      </c>
      <c r="S952" s="94">
        <f t="shared" ca="1" si="279"/>
        <v>2.2444549919727916</v>
      </c>
      <c r="T952" s="4">
        <f t="shared" ca="1" si="280"/>
        <v>0</v>
      </c>
      <c r="U952" s="46">
        <f t="shared" ca="1" si="281"/>
        <v>1461.7701584159711</v>
      </c>
      <c r="V952" s="4">
        <f t="shared" ca="1" si="282"/>
        <v>0</v>
      </c>
      <c r="W952" s="13">
        <f t="shared" ca="1" si="283"/>
        <v>13791.8025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197</v>
      </c>
      <c r="M953" s="7">
        <f t="shared" ca="1" si="273"/>
        <v>803</v>
      </c>
      <c r="N953" s="44">
        <f t="shared" ca="1" si="274"/>
        <v>8</v>
      </c>
      <c r="O953" s="94">
        <f t="shared" ca="1" si="275"/>
        <v>2.4908891993879614</v>
      </c>
      <c r="P953" s="94">
        <f t="shared" ca="1" si="276"/>
        <v>24.908891993879614</v>
      </c>
      <c r="Q953" s="94">
        <f t="shared" ca="1" si="277"/>
        <v>22.690984127143082</v>
      </c>
      <c r="R953" s="94">
        <f t="shared" ca="1" si="278"/>
        <v>2.379993806051135</v>
      </c>
      <c r="S953" s="94">
        <f t="shared" ca="1" si="279"/>
        <v>2.4908891993879614</v>
      </c>
      <c r="T953" s="4">
        <f t="shared" ca="1" si="280"/>
        <v>0</v>
      </c>
      <c r="U953" s="46">
        <f t="shared" ca="1" si="281"/>
        <v>1550.6995798612329</v>
      </c>
      <c r="V953" s="4">
        <f t="shared" ca="1" si="282"/>
        <v>0</v>
      </c>
      <c r="W953" s="13">
        <f t="shared" ca="1" si="283"/>
        <v>11808.6675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178</v>
      </c>
      <c r="M954" s="7">
        <f t="shared" ca="1" si="273"/>
        <v>822</v>
      </c>
      <c r="N954" s="44">
        <f t="shared" ca="1" si="274"/>
        <v>8</v>
      </c>
      <c r="O954" s="94">
        <f t="shared" ca="1" si="275"/>
        <v>2.4908891993879614</v>
      </c>
      <c r="P954" s="94">
        <f t="shared" ca="1" si="276"/>
        <v>24.908891993879614</v>
      </c>
      <c r="Q954" s="94">
        <f t="shared" ca="1" si="277"/>
        <v>24.908891993879614</v>
      </c>
      <c r="R954" s="94">
        <f t="shared" ca="1" si="278"/>
        <v>2.4908891993879614</v>
      </c>
      <c r="S954" s="94">
        <f t="shared" ca="1" si="279"/>
        <v>2.4908891993879614</v>
      </c>
      <c r="T954" s="4">
        <f t="shared" ca="1" si="280"/>
        <v>0</v>
      </c>
      <c r="U954" s="46">
        <f t="shared" ca="1" si="281"/>
        <v>1531.6995798612329</v>
      </c>
      <c r="V954" s="4">
        <f t="shared" ca="1" si="282"/>
        <v>0</v>
      </c>
      <c r="W954" s="13">
        <f t="shared" ca="1" si="283"/>
        <v>9825.5324999999993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159</v>
      </c>
      <c r="M955" s="7">
        <f t="shared" ca="1" si="273"/>
        <v>841</v>
      </c>
      <c r="N955" s="44">
        <f t="shared" ca="1" si="274"/>
        <v>8</v>
      </c>
      <c r="O955" s="94">
        <f t="shared" ca="1" si="275"/>
        <v>2.4908891993879614</v>
      </c>
      <c r="P955" s="94">
        <f t="shared" ca="1" si="276"/>
        <v>24.908891993879614</v>
      </c>
      <c r="Q955" s="94">
        <f t="shared" ca="1" si="277"/>
        <v>24.908891993879614</v>
      </c>
      <c r="R955" s="94">
        <f t="shared" ca="1" si="278"/>
        <v>2.4908891993879614</v>
      </c>
      <c r="S955" s="94">
        <f t="shared" ca="1" si="279"/>
        <v>2.4908891993879614</v>
      </c>
      <c r="T955" s="4">
        <f t="shared" ca="1" si="280"/>
        <v>0</v>
      </c>
      <c r="U955" s="46">
        <f t="shared" ca="1" si="281"/>
        <v>1512.6995798612329</v>
      </c>
      <c r="V955" s="4">
        <f t="shared" ca="1" si="282"/>
        <v>0</v>
      </c>
      <c r="W955" s="13">
        <f t="shared" ca="1" si="283"/>
        <v>7842.3974999999991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140</v>
      </c>
      <c r="M956" s="7">
        <f t="shared" ca="1" si="273"/>
        <v>860</v>
      </c>
      <c r="N956" s="44">
        <f t="shared" ca="1" si="274"/>
        <v>8</v>
      </c>
      <c r="O956" s="94">
        <f t="shared" ca="1" si="275"/>
        <v>2.4908891993879614</v>
      </c>
      <c r="P956" s="94">
        <f t="shared" ca="1" si="276"/>
        <v>24.908891993879614</v>
      </c>
      <c r="Q956" s="94">
        <f t="shared" ca="1" si="277"/>
        <v>24.908891993879614</v>
      </c>
      <c r="R956" s="94">
        <f t="shared" ca="1" si="278"/>
        <v>2.4908891993879614</v>
      </c>
      <c r="S956" s="94">
        <f t="shared" ca="1" si="279"/>
        <v>2.4908891993879614</v>
      </c>
      <c r="T956" s="4">
        <f t="shared" ca="1" si="280"/>
        <v>0</v>
      </c>
      <c r="U956" s="46">
        <f t="shared" ca="1" si="281"/>
        <v>1493.6995798612329</v>
      </c>
      <c r="V956" s="4">
        <f t="shared" ca="1" si="282"/>
        <v>0</v>
      </c>
      <c r="W956" s="13">
        <f t="shared" ca="1" si="283"/>
        <v>5859.2624999999998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2.4908891993879614</v>
      </c>
      <c r="P957" s="94">
        <f t="shared" ca="1" si="276"/>
        <v>24.908891993879614</v>
      </c>
      <c r="Q957" s="94">
        <f t="shared" ca="1" si="277"/>
        <v>24.908891993879614</v>
      </c>
      <c r="R957" s="94">
        <f t="shared" ca="1" si="278"/>
        <v>2.4908891993879614</v>
      </c>
      <c r="S957" s="94">
        <f t="shared" ca="1" si="279"/>
        <v>2.4908891993879614</v>
      </c>
      <c r="T957" s="4">
        <f t="shared" ca="1" si="280"/>
        <v>0</v>
      </c>
      <c r="U957" s="46">
        <f t="shared" ca="1" si="281"/>
        <v>1474.6995798612329</v>
      </c>
      <c r="V957" s="4">
        <f t="shared" ca="1" si="282"/>
        <v>0</v>
      </c>
      <c r="W957" s="13">
        <f t="shared" ca="1" si="283"/>
        <v>3876.1274999999996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102</v>
      </c>
      <c r="M958" s="7">
        <f t="shared" ca="1" si="273"/>
        <v>898</v>
      </c>
      <c r="N958" s="44">
        <f t="shared" ca="1" si="274"/>
        <v>8</v>
      </c>
      <c r="O958" s="94">
        <f t="shared" ca="1" si="275"/>
        <v>2.4908891993879614</v>
      </c>
      <c r="P958" s="94">
        <f t="shared" ca="1" si="276"/>
        <v>24.908891993879614</v>
      </c>
      <c r="Q958" s="94">
        <f t="shared" ca="1" si="277"/>
        <v>24.908891993879614</v>
      </c>
      <c r="R958" s="94">
        <f t="shared" ca="1" si="278"/>
        <v>2.4908891993879614</v>
      </c>
      <c r="S958" s="94">
        <f t="shared" ca="1" si="279"/>
        <v>2.4908891993879614</v>
      </c>
      <c r="T958" s="4">
        <f t="shared" ca="1" si="280"/>
        <v>0</v>
      </c>
      <c r="U958" s="46">
        <f t="shared" ca="1" si="281"/>
        <v>1455.6995798612329</v>
      </c>
      <c r="V958" s="4">
        <f t="shared" ca="1" si="282"/>
        <v>0</v>
      </c>
      <c r="W958" s="13">
        <f t="shared" ca="1" si="283"/>
        <v>1892.9924999999998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133</v>
      </c>
      <c r="M959" s="7">
        <f t="shared" ca="1" si="273"/>
        <v>867</v>
      </c>
      <c r="N959" s="44">
        <f t="shared" ca="1" si="274"/>
        <v>8</v>
      </c>
      <c r="O959" s="94">
        <f t="shared" ca="1" si="275"/>
        <v>2.4908891993879614</v>
      </c>
      <c r="P959" s="94">
        <f t="shared" ca="1" si="276"/>
        <v>24.908891993879614</v>
      </c>
      <c r="Q959" s="94">
        <f t="shared" ca="1" si="277"/>
        <v>24.908891993879614</v>
      </c>
      <c r="R959" s="94">
        <f t="shared" ca="1" si="278"/>
        <v>2.4908891993879614</v>
      </c>
      <c r="S959" s="94">
        <f t="shared" ca="1" si="279"/>
        <v>2.4908891993879614</v>
      </c>
      <c r="T959" s="4">
        <f t="shared" ca="1" si="280"/>
        <v>0</v>
      </c>
      <c r="U959" s="46">
        <f t="shared" ca="1" si="281"/>
        <v>1486.6995798612329</v>
      </c>
      <c r="V959" s="4">
        <f t="shared" ca="1" si="282"/>
        <v>0</v>
      </c>
      <c r="W959" s="13">
        <f t="shared" ca="1" si="283"/>
        <v>13881.945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114</v>
      </c>
      <c r="M960" s="7">
        <f t="shared" ca="1" si="273"/>
        <v>886</v>
      </c>
      <c r="N960" s="44">
        <f t="shared" ca="1" si="274"/>
        <v>8</v>
      </c>
      <c r="O960" s="94">
        <f t="shared" ca="1" si="275"/>
        <v>2.4908891993879614</v>
      </c>
      <c r="P960" s="94">
        <f t="shared" ca="1" si="276"/>
        <v>24.908891993879614</v>
      </c>
      <c r="Q960" s="94">
        <f t="shared" ca="1" si="277"/>
        <v>24.908891993879614</v>
      </c>
      <c r="R960" s="94">
        <f t="shared" ca="1" si="278"/>
        <v>2.4908891993879614</v>
      </c>
      <c r="S960" s="94">
        <f t="shared" ca="1" si="279"/>
        <v>2.4908891993879614</v>
      </c>
      <c r="T960" s="4">
        <f t="shared" ca="1" si="280"/>
        <v>0</v>
      </c>
      <c r="U960" s="46">
        <f t="shared" ca="1" si="281"/>
        <v>1467.6995798612329</v>
      </c>
      <c r="V960" s="4">
        <f t="shared" ca="1" si="282"/>
        <v>0</v>
      </c>
      <c r="W960" s="13">
        <f t="shared" ca="1" si="283"/>
        <v>11898.81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2.4908891993879614</v>
      </c>
      <c r="P961" s="94">
        <f t="shared" ca="1" si="276"/>
        <v>24.908891993879614</v>
      </c>
      <c r="Q961" s="94">
        <f t="shared" ca="1" si="277"/>
        <v>24.908891993879614</v>
      </c>
      <c r="R961" s="94">
        <f t="shared" ca="1" si="278"/>
        <v>2.4908891993879614</v>
      </c>
      <c r="S961" s="94">
        <f t="shared" ca="1" si="279"/>
        <v>2.4908891993879614</v>
      </c>
      <c r="T961" s="4">
        <f t="shared" ca="1" si="280"/>
        <v>0</v>
      </c>
      <c r="U961" s="46">
        <f t="shared" ca="1" si="281"/>
        <v>1453.6995798612329</v>
      </c>
      <c r="V961" s="4">
        <f t="shared" ca="1" si="282"/>
        <v>0</v>
      </c>
      <c r="W961" s="13">
        <f t="shared" ca="1" si="283"/>
        <v>9915.6749999999993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100</v>
      </c>
      <c r="M962" s="7">
        <f t="shared" ca="1" si="273"/>
        <v>900</v>
      </c>
      <c r="N962" s="44">
        <f t="shared" ca="1" si="274"/>
        <v>8</v>
      </c>
      <c r="O962" s="94">
        <f t="shared" ca="1" si="275"/>
        <v>2.4908891993879614</v>
      </c>
      <c r="P962" s="94">
        <f t="shared" ca="1" si="276"/>
        <v>24.908891993879614</v>
      </c>
      <c r="Q962" s="94">
        <f t="shared" ca="1" si="277"/>
        <v>24.908891993879614</v>
      </c>
      <c r="R962" s="94">
        <f t="shared" ca="1" si="278"/>
        <v>2.4908891993879614</v>
      </c>
      <c r="S962" s="94">
        <f t="shared" ca="1" si="279"/>
        <v>2.4908891993879614</v>
      </c>
      <c r="T962" s="4">
        <f t="shared" ca="1" si="280"/>
        <v>0</v>
      </c>
      <c r="U962" s="46">
        <f t="shared" ca="1" si="281"/>
        <v>1453.6995798612329</v>
      </c>
      <c r="V962" s="4">
        <f t="shared" ca="1" si="282"/>
        <v>0</v>
      </c>
      <c r="W962" s="13">
        <f t="shared" ca="1" si="283"/>
        <v>7932.54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100</v>
      </c>
      <c r="M963" s="7">
        <f t="shared" ca="1" si="273"/>
        <v>900</v>
      </c>
      <c r="N963" s="44">
        <f t="shared" ca="1" si="274"/>
        <v>8</v>
      </c>
      <c r="O963" s="94">
        <f t="shared" ca="1" si="275"/>
        <v>2.4908891993879614</v>
      </c>
      <c r="P963" s="94">
        <f t="shared" ca="1" si="276"/>
        <v>24.908891993879614</v>
      </c>
      <c r="Q963" s="94">
        <f t="shared" ca="1" si="277"/>
        <v>24.908891993879614</v>
      </c>
      <c r="R963" s="94">
        <f t="shared" ca="1" si="278"/>
        <v>2.4908891993879614</v>
      </c>
      <c r="S963" s="94">
        <f t="shared" ca="1" si="279"/>
        <v>2.4908891993879614</v>
      </c>
      <c r="T963" s="4">
        <f t="shared" ca="1" si="280"/>
        <v>0</v>
      </c>
      <c r="U963" s="46">
        <f t="shared" ca="1" si="281"/>
        <v>1453.6995798612329</v>
      </c>
      <c r="V963" s="4">
        <f t="shared" ca="1" si="282"/>
        <v>0</v>
      </c>
      <c r="W963" s="13">
        <f t="shared" ca="1" si="283"/>
        <v>5949.4049999999997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100</v>
      </c>
      <c r="M964" s="7">
        <f t="shared" ca="1" si="273"/>
        <v>900</v>
      </c>
      <c r="N964" s="44">
        <f t="shared" ca="1" si="274"/>
        <v>8</v>
      </c>
      <c r="O964" s="94">
        <f t="shared" ca="1" si="275"/>
        <v>2.4908891993879614</v>
      </c>
      <c r="P964" s="94">
        <f t="shared" ca="1" si="276"/>
        <v>24.908891993879614</v>
      </c>
      <c r="Q964" s="94">
        <f t="shared" ca="1" si="277"/>
        <v>24.908891993879614</v>
      </c>
      <c r="R964" s="94">
        <f t="shared" ca="1" si="278"/>
        <v>2.4908891993879614</v>
      </c>
      <c r="S964" s="94">
        <f t="shared" ca="1" si="279"/>
        <v>2.4908891993879614</v>
      </c>
      <c r="T964" s="4">
        <f t="shared" ca="1" si="280"/>
        <v>0</v>
      </c>
      <c r="U964" s="46">
        <f t="shared" ca="1" si="281"/>
        <v>1453.6995798612329</v>
      </c>
      <c r="V964" s="4">
        <f t="shared" ca="1" si="282"/>
        <v>0</v>
      </c>
      <c r="W964" s="13">
        <f t="shared" ca="1" si="283"/>
        <v>3966.27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100</v>
      </c>
      <c r="M965" s="7">
        <f t="shared" ca="1" si="273"/>
        <v>900</v>
      </c>
      <c r="N965" s="44">
        <f t="shared" ca="1" si="274"/>
        <v>8</v>
      </c>
      <c r="O965" s="94">
        <f t="shared" ca="1" si="275"/>
        <v>2.4908891993879614</v>
      </c>
      <c r="P965" s="94">
        <f t="shared" ca="1" si="276"/>
        <v>24.908891993879614</v>
      </c>
      <c r="Q965" s="94">
        <f t="shared" ca="1" si="277"/>
        <v>24.908891993879614</v>
      </c>
      <c r="R965" s="94">
        <f t="shared" ca="1" si="278"/>
        <v>2.4908891993879614</v>
      </c>
      <c r="S965" s="94">
        <f t="shared" ca="1" si="279"/>
        <v>2.4908891993879614</v>
      </c>
      <c r="T965" s="4">
        <f t="shared" ca="1" si="280"/>
        <v>0</v>
      </c>
      <c r="U965" s="46">
        <f t="shared" ca="1" si="281"/>
        <v>1453.6995798612329</v>
      </c>
      <c r="V965" s="4">
        <f t="shared" ca="1" si="282"/>
        <v>0</v>
      </c>
      <c r="W965" s="13">
        <f t="shared" ca="1" si="283"/>
        <v>1983.135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100</v>
      </c>
      <c r="M966" s="7">
        <f t="shared" ca="1" si="273"/>
        <v>900</v>
      </c>
      <c r="N966" s="44">
        <f t="shared" ca="1" si="274"/>
        <v>8</v>
      </c>
      <c r="O966" s="94">
        <f t="shared" ca="1" si="275"/>
        <v>2.4908891993879614</v>
      </c>
      <c r="P966" s="94">
        <f t="shared" ca="1" si="276"/>
        <v>24.908891993879614</v>
      </c>
      <c r="Q966" s="94">
        <f t="shared" ca="1" si="277"/>
        <v>24.908891993879614</v>
      </c>
      <c r="R966" s="94">
        <f t="shared" ca="1" si="278"/>
        <v>2.4908891993879614</v>
      </c>
      <c r="S966" s="94">
        <f t="shared" ca="1" si="279"/>
        <v>2.4908891993879614</v>
      </c>
      <c r="T966" s="4">
        <f t="shared" ca="1" si="280"/>
        <v>0</v>
      </c>
      <c r="U966" s="46">
        <f t="shared" ca="1" si="281"/>
        <v>1453.6995798612329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337</v>
      </c>
      <c r="M967" s="7">
        <f t="shared" ca="1" si="273"/>
        <v>663</v>
      </c>
      <c r="N967" s="44">
        <f t="shared" ca="1" si="274"/>
        <v>6</v>
      </c>
      <c r="O967" s="94">
        <f t="shared" ca="1" si="275"/>
        <v>1.9922775034029279</v>
      </c>
      <c r="P967" s="94">
        <f t="shared" ca="1" si="276"/>
        <v>19.922775034029279</v>
      </c>
      <c r="Q967" s="94">
        <f t="shared" ca="1" si="277"/>
        <v>19.922775034029279</v>
      </c>
      <c r="R967" s="94">
        <f t="shared" ca="1" si="278"/>
        <v>1.9922775034029279</v>
      </c>
      <c r="S967" s="94">
        <f t="shared" ca="1" si="279"/>
        <v>1.9922775034029279</v>
      </c>
      <c r="T967" s="4">
        <f t="shared" ca="1" si="280"/>
        <v>0</v>
      </c>
      <c r="U967" s="46">
        <f t="shared" ca="1" si="281"/>
        <v>1472.3253840141317</v>
      </c>
      <c r="V967" s="4">
        <f t="shared" ca="1" si="282"/>
        <v>0</v>
      </c>
      <c r="W967" s="13">
        <f t="shared" ca="1" si="283"/>
        <v>17758.072499999998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318</v>
      </c>
      <c r="M968" s="7">
        <f t="shared" ca="1" si="273"/>
        <v>682</v>
      </c>
      <c r="N968" s="44">
        <f t="shared" ca="1" si="274"/>
        <v>7</v>
      </c>
      <c r="O968" s="94">
        <f t="shared" ca="1" si="275"/>
        <v>2.2444549919727916</v>
      </c>
      <c r="P968" s="94">
        <f t="shared" ca="1" si="276"/>
        <v>20.679307499738869</v>
      </c>
      <c r="Q968" s="94">
        <f t="shared" ca="1" si="277"/>
        <v>19.922775034029279</v>
      </c>
      <c r="R968" s="94">
        <f t="shared" ca="1" si="278"/>
        <v>2.0301041266884075</v>
      </c>
      <c r="S968" s="94">
        <f t="shared" ca="1" si="279"/>
        <v>2.2444549919727916</v>
      </c>
      <c r="T968" s="4">
        <f t="shared" ca="1" si="280"/>
        <v>0</v>
      </c>
      <c r="U968" s="46">
        <f t="shared" ca="1" si="281"/>
        <v>1563.7701584159711</v>
      </c>
      <c r="V968" s="4">
        <f t="shared" ca="1" si="282"/>
        <v>0</v>
      </c>
      <c r="W968" s="13">
        <f t="shared" ca="1" si="283"/>
        <v>15774.9375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299</v>
      </c>
      <c r="M969" s="7">
        <f t="shared" ca="1" si="273"/>
        <v>701</v>
      </c>
      <c r="N969" s="44">
        <f t="shared" ca="1" si="274"/>
        <v>7</v>
      </c>
      <c r="O969" s="94">
        <f t="shared" ca="1" si="275"/>
        <v>2.2444549919727916</v>
      </c>
      <c r="P969" s="94">
        <f t="shared" ca="1" si="276"/>
        <v>22.444549919727915</v>
      </c>
      <c r="Q969" s="94">
        <f t="shared" ca="1" si="277"/>
        <v>22.444549919727915</v>
      </c>
      <c r="R969" s="94">
        <f t="shared" ca="1" si="278"/>
        <v>2.2444549919727916</v>
      </c>
      <c r="S969" s="94">
        <f t="shared" ca="1" si="279"/>
        <v>2.2444549919727916</v>
      </c>
      <c r="T969" s="4">
        <f t="shared" ca="1" si="280"/>
        <v>0</v>
      </c>
      <c r="U969" s="46">
        <f t="shared" ca="1" si="281"/>
        <v>1544.7701584159711</v>
      </c>
      <c r="V969" s="4">
        <f t="shared" ca="1" si="282"/>
        <v>0</v>
      </c>
      <c r="W969" s="13">
        <f t="shared" ca="1" si="283"/>
        <v>13791.802499999998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280</v>
      </c>
      <c r="M970" s="7">
        <f t="shared" ca="1" si="273"/>
        <v>720</v>
      </c>
      <c r="N970" s="44">
        <f t="shared" ca="1" si="274"/>
        <v>7</v>
      </c>
      <c r="O970" s="94">
        <f t="shared" ca="1" si="275"/>
        <v>2.2444549919727916</v>
      </c>
      <c r="P970" s="94">
        <f t="shared" ca="1" si="276"/>
        <v>22.444549919727915</v>
      </c>
      <c r="Q970" s="94">
        <f t="shared" ca="1" si="277"/>
        <v>22.444549919727915</v>
      </c>
      <c r="R970" s="94">
        <f t="shared" ca="1" si="278"/>
        <v>2.2444549919727916</v>
      </c>
      <c r="S970" s="94">
        <f t="shared" ca="1" si="279"/>
        <v>2.2444549919727916</v>
      </c>
      <c r="T970" s="4">
        <f t="shared" ca="1" si="280"/>
        <v>0</v>
      </c>
      <c r="U970" s="46">
        <f t="shared" ca="1" si="281"/>
        <v>1525.7701584159711</v>
      </c>
      <c r="V970" s="4">
        <f t="shared" ca="1" si="282"/>
        <v>0</v>
      </c>
      <c r="W970" s="13">
        <f t="shared" ca="1" si="283"/>
        <v>11808.6675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261</v>
      </c>
      <c r="M971" s="7">
        <f t="shared" ca="1" si="273"/>
        <v>739</v>
      </c>
      <c r="N971" s="44">
        <f t="shared" ca="1" si="274"/>
        <v>7</v>
      </c>
      <c r="O971" s="94">
        <f t="shared" ca="1" si="275"/>
        <v>2.2444549919727916</v>
      </c>
      <c r="P971" s="94">
        <f t="shared" ca="1" si="276"/>
        <v>22.444549919727915</v>
      </c>
      <c r="Q971" s="94">
        <f t="shared" ca="1" si="277"/>
        <v>22.444549919727915</v>
      </c>
      <c r="R971" s="94">
        <f t="shared" ca="1" si="278"/>
        <v>2.2444549919727916</v>
      </c>
      <c r="S971" s="94">
        <f t="shared" ca="1" si="279"/>
        <v>2.2444549919727916</v>
      </c>
      <c r="T971" s="4">
        <f t="shared" ca="1" si="280"/>
        <v>0</v>
      </c>
      <c r="U971" s="46">
        <f t="shared" ca="1" si="281"/>
        <v>1506.7701584159711</v>
      </c>
      <c r="V971" s="4">
        <f t="shared" ca="1" si="282"/>
        <v>0</v>
      </c>
      <c r="W971" s="13">
        <f t="shared" ca="1" si="283"/>
        <v>9825.5324999999993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2.2444549919727916</v>
      </c>
      <c r="P972" s="94">
        <f t="shared" ca="1" si="276"/>
        <v>22.444549919727915</v>
      </c>
      <c r="Q972" s="94">
        <f t="shared" ca="1" si="277"/>
        <v>22.444549919727915</v>
      </c>
      <c r="R972" s="94">
        <f t="shared" ca="1" si="278"/>
        <v>2.2444549919727916</v>
      </c>
      <c r="S972" s="94">
        <f t="shared" ca="1" si="279"/>
        <v>2.2444549919727916</v>
      </c>
      <c r="T972" s="4">
        <f t="shared" ca="1" si="280"/>
        <v>0</v>
      </c>
      <c r="U972" s="46">
        <f t="shared" ca="1" si="281"/>
        <v>1487.7701584159711</v>
      </c>
      <c r="V972" s="4">
        <f t="shared" ca="1" si="282"/>
        <v>0</v>
      </c>
      <c r="W972" s="13">
        <f t="shared" ca="1" si="283"/>
        <v>7842.3974999999991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223</v>
      </c>
      <c r="M973" s="7">
        <f t="shared" ca="1" si="273"/>
        <v>777</v>
      </c>
      <c r="N973" s="44">
        <f t="shared" ca="1" si="274"/>
        <v>7</v>
      </c>
      <c r="O973" s="94">
        <f t="shared" ca="1" si="275"/>
        <v>2.2444549919727916</v>
      </c>
      <c r="P973" s="94">
        <f t="shared" ca="1" si="276"/>
        <v>22.444549919727915</v>
      </c>
      <c r="Q973" s="94">
        <f t="shared" ca="1" si="277"/>
        <v>22.444549919727915</v>
      </c>
      <c r="R973" s="94">
        <f t="shared" ca="1" si="278"/>
        <v>2.2444549919727916</v>
      </c>
      <c r="S973" s="94">
        <f t="shared" ca="1" si="279"/>
        <v>2.2444549919727916</v>
      </c>
      <c r="T973" s="4">
        <f t="shared" ca="1" si="280"/>
        <v>0</v>
      </c>
      <c r="U973" s="46">
        <f t="shared" ca="1" si="281"/>
        <v>1468.7701584159711</v>
      </c>
      <c r="V973" s="4">
        <f t="shared" ca="1" si="282"/>
        <v>0</v>
      </c>
      <c r="W973" s="13">
        <f t="shared" ca="1" si="283"/>
        <v>5859.2624999999998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204</v>
      </c>
      <c r="M974" s="7">
        <f t="shared" ca="1" si="273"/>
        <v>796</v>
      </c>
      <c r="N974" s="44">
        <f t="shared" ca="1" si="274"/>
        <v>8</v>
      </c>
      <c r="O974" s="94">
        <f t="shared" ca="1" si="275"/>
        <v>2.4908891993879614</v>
      </c>
      <c r="P974" s="94">
        <f t="shared" ca="1" si="276"/>
        <v>23.430286749388593</v>
      </c>
      <c r="Q974" s="94">
        <f t="shared" ca="1" si="277"/>
        <v>22.444549919727915</v>
      </c>
      <c r="R974" s="94">
        <f t="shared" ca="1" si="278"/>
        <v>2.2937418334558251</v>
      </c>
      <c r="S974" s="94">
        <f t="shared" ca="1" si="279"/>
        <v>2.4908891993879614</v>
      </c>
      <c r="T974" s="4">
        <f t="shared" ca="1" si="280"/>
        <v>0</v>
      </c>
      <c r="U974" s="46">
        <f t="shared" ca="1" si="281"/>
        <v>1557.6995798612329</v>
      </c>
      <c r="V974" s="4">
        <f t="shared" ca="1" si="282"/>
        <v>0</v>
      </c>
      <c r="W974" s="13">
        <f t="shared" ca="1" si="283"/>
        <v>3876.1274999999996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235</v>
      </c>
      <c r="M975" s="7">
        <f t="shared" ca="1" si="273"/>
        <v>765</v>
      </c>
      <c r="N975" s="44">
        <f t="shared" ca="1" si="274"/>
        <v>7</v>
      </c>
      <c r="O975" s="94">
        <f t="shared" ca="1" si="275"/>
        <v>2.2444549919727916</v>
      </c>
      <c r="P975" s="94">
        <f t="shared" ca="1" si="276"/>
        <v>22.444549919727915</v>
      </c>
      <c r="Q975" s="94">
        <f t="shared" ca="1" si="277"/>
        <v>22.444549919727915</v>
      </c>
      <c r="R975" s="94">
        <f t="shared" ca="1" si="278"/>
        <v>2.2444549919727916</v>
      </c>
      <c r="S975" s="94">
        <f t="shared" ca="1" si="279"/>
        <v>2.2444549919727916</v>
      </c>
      <c r="T975" s="4">
        <f t="shared" ca="1" si="280"/>
        <v>0</v>
      </c>
      <c r="U975" s="46">
        <f t="shared" ca="1" si="281"/>
        <v>1480.7701584159711</v>
      </c>
      <c r="V975" s="4">
        <f t="shared" ca="1" si="282"/>
        <v>0</v>
      </c>
      <c r="W975" s="13">
        <f t="shared" ca="1" si="283"/>
        <v>15865.08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216</v>
      </c>
      <c r="M976" s="7">
        <f t="shared" ca="1" si="273"/>
        <v>784</v>
      </c>
      <c r="N976" s="44">
        <f t="shared" ca="1" si="274"/>
        <v>7</v>
      </c>
      <c r="O976" s="94">
        <f t="shared" ca="1" si="275"/>
        <v>2.2444549919727916</v>
      </c>
      <c r="P976" s="94">
        <f t="shared" ca="1" si="276"/>
        <v>22.444549919727915</v>
      </c>
      <c r="Q976" s="94">
        <f t="shared" ca="1" si="277"/>
        <v>22.444549919727915</v>
      </c>
      <c r="R976" s="94">
        <f t="shared" ca="1" si="278"/>
        <v>2.2444549919727916</v>
      </c>
      <c r="S976" s="94">
        <f t="shared" ca="1" si="279"/>
        <v>2.2444549919727916</v>
      </c>
      <c r="T976" s="4">
        <f t="shared" ca="1" si="280"/>
        <v>0</v>
      </c>
      <c r="U976" s="46">
        <f t="shared" ca="1" si="281"/>
        <v>1461.7701584159711</v>
      </c>
      <c r="V976" s="4">
        <f t="shared" ca="1" si="282"/>
        <v>0</v>
      </c>
      <c r="W976" s="13">
        <f t="shared" ca="1" si="283"/>
        <v>13881.945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197</v>
      </c>
      <c r="M977" s="7">
        <f t="shared" ca="1" si="273"/>
        <v>803</v>
      </c>
      <c r="N977" s="44">
        <f t="shared" ca="1" si="274"/>
        <v>8</v>
      </c>
      <c r="O977" s="94">
        <f t="shared" ca="1" si="275"/>
        <v>2.4908891993879614</v>
      </c>
      <c r="P977" s="94">
        <f t="shared" ca="1" si="276"/>
        <v>24.908891993879614</v>
      </c>
      <c r="Q977" s="94">
        <f t="shared" ca="1" si="277"/>
        <v>22.690984127143082</v>
      </c>
      <c r="R977" s="94">
        <f t="shared" ca="1" si="278"/>
        <v>2.379993806051135</v>
      </c>
      <c r="S977" s="94">
        <f t="shared" ca="1" si="279"/>
        <v>2.4908891993879614</v>
      </c>
      <c r="T977" s="4">
        <f t="shared" ca="1" si="280"/>
        <v>0</v>
      </c>
      <c r="U977" s="46">
        <f t="shared" ca="1" si="281"/>
        <v>1550.6995798612329</v>
      </c>
      <c r="V977" s="4">
        <f t="shared" ca="1" si="282"/>
        <v>0</v>
      </c>
      <c r="W977" s="13">
        <f t="shared" ca="1" si="283"/>
        <v>11898.81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178</v>
      </c>
      <c r="M978" s="7">
        <f t="shared" ca="1" si="273"/>
        <v>822</v>
      </c>
      <c r="N978" s="44">
        <f t="shared" ca="1" si="274"/>
        <v>8</v>
      </c>
      <c r="O978" s="94">
        <f t="shared" ca="1" si="275"/>
        <v>2.4908891993879614</v>
      </c>
      <c r="P978" s="94">
        <f t="shared" ca="1" si="276"/>
        <v>24.908891993879614</v>
      </c>
      <c r="Q978" s="94">
        <f t="shared" ca="1" si="277"/>
        <v>24.908891993879614</v>
      </c>
      <c r="R978" s="94">
        <f t="shared" ca="1" si="278"/>
        <v>2.4908891993879614</v>
      </c>
      <c r="S978" s="94">
        <f t="shared" ca="1" si="279"/>
        <v>2.4908891993879614</v>
      </c>
      <c r="T978" s="4">
        <f t="shared" ca="1" si="280"/>
        <v>0</v>
      </c>
      <c r="U978" s="46">
        <f t="shared" ca="1" si="281"/>
        <v>1531.6995798612329</v>
      </c>
      <c r="V978" s="4">
        <f t="shared" ca="1" si="282"/>
        <v>0</v>
      </c>
      <c r="W978" s="13">
        <f t="shared" ca="1" si="283"/>
        <v>9915.6749999999993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159</v>
      </c>
      <c r="M979" s="7">
        <f t="shared" ca="1" si="273"/>
        <v>841</v>
      </c>
      <c r="N979" s="44">
        <f t="shared" ca="1" si="274"/>
        <v>8</v>
      </c>
      <c r="O979" s="94">
        <f t="shared" ca="1" si="275"/>
        <v>2.4908891993879614</v>
      </c>
      <c r="P979" s="94">
        <f t="shared" ca="1" si="276"/>
        <v>24.908891993879614</v>
      </c>
      <c r="Q979" s="94">
        <f t="shared" ca="1" si="277"/>
        <v>24.908891993879614</v>
      </c>
      <c r="R979" s="94">
        <f t="shared" ca="1" si="278"/>
        <v>2.4908891993879614</v>
      </c>
      <c r="S979" s="94">
        <f t="shared" ca="1" si="279"/>
        <v>2.4908891993879614</v>
      </c>
      <c r="T979" s="4">
        <f t="shared" ca="1" si="280"/>
        <v>0</v>
      </c>
      <c r="U979" s="46">
        <f t="shared" ca="1" si="281"/>
        <v>1512.6995798612329</v>
      </c>
      <c r="V979" s="4">
        <f t="shared" ca="1" si="282"/>
        <v>0</v>
      </c>
      <c r="W979" s="13">
        <f t="shared" ca="1" si="283"/>
        <v>7932.54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140</v>
      </c>
      <c r="M980" s="7">
        <f t="shared" ca="1" si="273"/>
        <v>860</v>
      </c>
      <c r="N980" s="44">
        <f t="shared" ca="1" si="274"/>
        <v>8</v>
      </c>
      <c r="O980" s="94">
        <f t="shared" ca="1" si="275"/>
        <v>2.4908891993879614</v>
      </c>
      <c r="P980" s="94">
        <f t="shared" ca="1" si="276"/>
        <v>24.908891993879614</v>
      </c>
      <c r="Q980" s="94">
        <f t="shared" ca="1" si="277"/>
        <v>24.908891993879614</v>
      </c>
      <c r="R980" s="94">
        <f t="shared" ca="1" si="278"/>
        <v>2.4908891993879614</v>
      </c>
      <c r="S980" s="94">
        <f t="shared" ca="1" si="279"/>
        <v>2.4908891993879614</v>
      </c>
      <c r="T980" s="4">
        <f t="shared" ca="1" si="280"/>
        <v>0</v>
      </c>
      <c r="U980" s="46">
        <f t="shared" ca="1" si="281"/>
        <v>1493.6995798612329</v>
      </c>
      <c r="V980" s="4">
        <f t="shared" ca="1" si="282"/>
        <v>0</v>
      </c>
      <c r="W980" s="13">
        <f t="shared" ca="1" si="283"/>
        <v>5949.4049999999997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2.4908891993879614</v>
      </c>
      <c r="P981" s="94">
        <f t="shared" ca="1" si="276"/>
        <v>24.908891993879614</v>
      </c>
      <c r="Q981" s="94">
        <f t="shared" ca="1" si="277"/>
        <v>24.908891993879614</v>
      </c>
      <c r="R981" s="94">
        <f t="shared" ca="1" si="278"/>
        <v>2.4908891993879614</v>
      </c>
      <c r="S981" s="94">
        <f t="shared" ca="1" si="279"/>
        <v>2.4908891993879614</v>
      </c>
      <c r="T981" s="4">
        <f t="shared" ca="1" si="280"/>
        <v>0</v>
      </c>
      <c r="U981" s="46">
        <f t="shared" ca="1" si="281"/>
        <v>1474.6995798612329</v>
      </c>
      <c r="V981" s="4">
        <f t="shared" ca="1" si="282"/>
        <v>0</v>
      </c>
      <c r="W981" s="13">
        <f t="shared" ca="1" si="283"/>
        <v>3966.27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102</v>
      </c>
      <c r="M982" s="7">
        <f t="shared" ca="1" si="273"/>
        <v>898</v>
      </c>
      <c r="N982" s="44">
        <f t="shared" ca="1" si="274"/>
        <v>8</v>
      </c>
      <c r="O982" s="94">
        <f t="shared" ca="1" si="275"/>
        <v>2.4908891993879614</v>
      </c>
      <c r="P982" s="94">
        <f t="shared" ca="1" si="276"/>
        <v>24.908891993879614</v>
      </c>
      <c r="Q982" s="94">
        <f t="shared" ca="1" si="277"/>
        <v>24.908891993879614</v>
      </c>
      <c r="R982" s="94">
        <f t="shared" ca="1" si="278"/>
        <v>2.4908891993879614</v>
      </c>
      <c r="S982" s="94">
        <f t="shared" ca="1" si="279"/>
        <v>2.4908891993879614</v>
      </c>
      <c r="T982" s="4">
        <f t="shared" ca="1" si="280"/>
        <v>0</v>
      </c>
      <c r="U982" s="46">
        <f t="shared" ca="1" si="281"/>
        <v>1455.6995798612329</v>
      </c>
      <c r="V982" s="4">
        <f t="shared" ca="1" si="282"/>
        <v>0</v>
      </c>
      <c r="W982" s="13">
        <f t="shared" ca="1" si="283"/>
        <v>1983.135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235</v>
      </c>
      <c r="M983" s="7">
        <f t="shared" ca="1" si="273"/>
        <v>765</v>
      </c>
      <c r="N983" s="44">
        <f t="shared" ca="1" si="274"/>
        <v>7</v>
      </c>
      <c r="O983" s="94">
        <f t="shared" ca="1" si="275"/>
        <v>2.2444549919727916</v>
      </c>
      <c r="P983" s="94">
        <f t="shared" ca="1" si="276"/>
        <v>22.444549919727915</v>
      </c>
      <c r="Q983" s="94">
        <f t="shared" ca="1" si="277"/>
        <v>22.444549919727915</v>
      </c>
      <c r="R983" s="94">
        <f t="shared" ca="1" si="278"/>
        <v>2.2444549919727916</v>
      </c>
      <c r="S983" s="94">
        <f t="shared" ca="1" si="279"/>
        <v>2.2444549919727916</v>
      </c>
      <c r="T983" s="4">
        <f t="shared" ca="1" si="280"/>
        <v>0</v>
      </c>
      <c r="U983" s="46">
        <f t="shared" ca="1" si="281"/>
        <v>1480.7701584159711</v>
      </c>
      <c r="V983" s="4">
        <f t="shared" ca="1" si="282"/>
        <v>0</v>
      </c>
      <c r="W983" s="13">
        <f t="shared" ca="1" si="283"/>
        <v>15774.9375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216</v>
      </c>
      <c r="M984" s="7">
        <f t="shared" ca="1" si="273"/>
        <v>784</v>
      </c>
      <c r="N984" s="44">
        <f t="shared" ca="1" si="274"/>
        <v>7</v>
      </c>
      <c r="O984" s="94">
        <f t="shared" ca="1" si="275"/>
        <v>2.2444549919727916</v>
      </c>
      <c r="P984" s="94">
        <f t="shared" ca="1" si="276"/>
        <v>22.444549919727915</v>
      </c>
      <c r="Q984" s="94">
        <f t="shared" ca="1" si="277"/>
        <v>22.444549919727915</v>
      </c>
      <c r="R984" s="94">
        <f t="shared" ca="1" si="278"/>
        <v>2.2444549919727916</v>
      </c>
      <c r="S984" s="94">
        <f t="shared" ca="1" si="279"/>
        <v>2.2444549919727916</v>
      </c>
      <c r="T984" s="4">
        <f t="shared" ca="1" si="280"/>
        <v>0</v>
      </c>
      <c r="U984" s="46">
        <f t="shared" ca="1" si="281"/>
        <v>1461.7701584159711</v>
      </c>
      <c r="V984" s="4">
        <f t="shared" ca="1" si="282"/>
        <v>0</v>
      </c>
      <c r="W984" s="13">
        <f t="shared" ca="1" si="283"/>
        <v>13791.8025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197</v>
      </c>
      <c r="M985" s="7">
        <f t="shared" ca="1" si="273"/>
        <v>803</v>
      </c>
      <c r="N985" s="44">
        <f t="shared" ca="1" si="274"/>
        <v>8</v>
      </c>
      <c r="O985" s="94">
        <f t="shared" ca="1" si="275"/>
        <v>2.4908891993879614</v>
      </c>
      <c r="P985" s="94">
        <f t="shared" ca="1" si="276"/>
        <v>24.908891993879614</v>
      </c>
      <c r="Q985" s="94">
        <f t="shared" ca="1" si="277"/>
        <v>22.690984127143082</v>
      </c>
      <c r="R985" s="94">
        <f t="shared" ca="1" si="278"/>
        <v>2.379993806051135</v>
      </c>
      <c r="S985" s="94">
        <f t="shared" ca="1" si="279"/>
        <v>2.4908891993879614</v>
      </c>
      <c r="T985" s="4">
        <f t="shared" ca="1" si="280"/>
        <v>0</v>
      </c>
      <c r="U985" s="46">
        <f t="shared" ca="1" si="281"/>
        <v>1550.6995798612329</v>
      </c>
      <c r="V985" s="4">
        <f t="shared" ca="1" si="282"/>
        <v>0</v>
      </c>
      <c r="W985" s="13">
        <f t="shared" ca="1" si="283"/>
        <v>11808.6675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178</v>
      </c>
      <c r="M986" s="7">
        <f t="shared" ca="1" si="273"/>
        <v>822</v>
      </c>
      <c r="N986" s="44">
        <f t="shared" ca="1" si="274"/>
        <v>8</v>
      </c>
      <c r="O986" s="94">
        <f t="shared" ca="1" si="275"/>
        <v>2.4908891993879614</v>
      </c>
      <c r="P986" s="94">
        <f t="shared" ca="1" si="276"/>
        <v>24.908891993879614</v>
      </c>
      <c r="Q986" s="94">
        <f t="shared" ca="1" si="277"/>
        <v>24.908891993879614</v>
      </c>
      <c r="R986" s="94">
        <f t="shared" ca="1" si="278"/>
        <v>2.4908891993879614</v>
      </c>
      <c r="S986" s="94">
        <f t="shared" ca="1" si="279"/>
        <v>2.4908891993879614</v>
      </c>
      <c r="T986" s="4">
        <f t="shared" ca="1" si="280"/>
        <v>0</v>
      </c>
      <c r="U986" s="46">
        <f t="shared" ca="1" si="281"/>
        <v>1531.6995798612329</v>
      </c>
      <c r="V986" s="4">
        <f t="shared" ca="1" si="282"/>
        <v>0</v>
      </c>
      <c r="W986" s="13">
        <f t="shared" ca="1" si="283"/>
        <v>9825.5324999999993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159</v>
      </c>
      <c r="M987" s="7">
        <f t="shared" ca="1" si="273"/>
        <v>841</v>
      </c>
      <c r="N987" s="44">
        <f t="shared" ca="1" si="274"/>
        <v>8</v>
      </c>
      <c r="O987" s="94">
        <f t="shared" ca="1" si="275"/>
        <v>2.4908891993879614</v>
      </c>
      <c r="P987" s="94">
        <f t="shared" ca="1" si="276"/>
        <v>24.908891993879614</v>
      </c>
      <c r="Q987" s="94">
        <f t="shared" ca="1" si="277"/>
        <v>24.908891993879614</v>
      </c>
      <c r="R987" s="94">
        <f t="shared" ca="1" si="278"/>
        <v>2.4908891993879614</v>
      </c>
      <c r="S987" s="94">
        <f t="shared" ca="1" si="279"/>
        <v>2.4908891993879614</v>
      </c>
      <c r="T987" s="4">
        <f t="shared" ca="1" si="280"/>
        <v>0</v>
      </c>
      <c r="U987" s="46">
        <f t="shared" ca="1" si="281"/>
        <v>1512.6995798612329</v>
      </c>
      <c r="V987" s="4">
        <f t="shared" ca="1" si="282"/>
        <v>0</v>
      </c>
      <c r="W987" s="13">
        <f t="shared" ca="1" si="283"/>
        <v>7842.3974999999991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140</v>
      </c>
      <c r="M988" s="7">
        <f t="shared" ca="1" si="273"/>
        <v>860</v>
      </c>
      <c r="N988" s="44">
        <f t="shared" ca="1" si="274"/>
        <v>8</v>
      </c>
      <c r="O988" s="94">
        <f t="shared" ca="1" si="275"/>
        <v>2.4908891993879614</v>
      </c>
      <c r="P988" s="94">
        <f t="shared" ca="1" si="276"/>
        <v>24.908891993879614</v>
      </c>
      <c r="Q988" s="94">
        <f t="shared" ca="1" si="277"/>
        <v>24.908891993879614</v>
      </c>
      <c r="R988" s="94">
        <f t="shared" ca="1" si="278"/>
        <v>2.4908891993879614</v>
      </c>
      <c r="S988" s="94">
        <f t="shared" ca="1" si="279"/>
        <v>2.4908891993879614</v>
      </c>
      <c r="T988" s="4">
        <f t="shared" ca="1" si="280"/>
        <v>0</v>
      </c>
      <c r="U988" s="46">
        <f t="shared" ca="1" si="281"/>
        <v>1493.6995798612329</v>
      </c>
      <c r="V988" s="4">
        <f t="shared" ca="1" si="282"/>
        <v>0</v>
      </c>
      <c r="W988" s="13">
        <f t="shared" ca="1" si="283"/>
        <v>5859.2624999999998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2.4908891993879614</v>
      </c>
      <c r="P989" s="94">
        <f t="shared" ca="1" si="276"/>
        <v>24.908891993879614</v>
      </c>
      <c r="Q989" s="94">
        <f t="shared" ca="1" si="277"/>
        <v>24.908891993879614</v>
      </c>
      <c r="R989" s="94">
        <f t="shared" ca="1" si="278"/>
        <v>2.4908891993879614</v>
      </c>
      <c r="S989" s="94">
        <f t="shared" ca="1" si="279"/>
        <v>2.4908891993879614</v>
      </c>
      <c r="T989" s="4">
        <f t="shared" ca="1" si="280"/>
        <v>0</v>
      </c>
      <c r="U989" s="46">
        <f t="shared" ca="1" si="281"/>
        <v>1474.6995798612329</v>
      </c>
      <c r="V989" s="4">
        <f t="shared" ca="1" si="282"/>
        <v>0</v>
      </c>
      <c r="W989" s="13">
        <f t="shared" ca="1" si="283"/>
        <v>3876.1274999999996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102</v>
      </c>
      <c r="M990" s="7">
        <f t="shared" ca="1" si="273"/>
        <v>898</v>
      </c>
      <c r="N990" s="44">
        <f t="shared" ca="1" si="274"/>
        <v>8</v>
      </c>
      <c r="O990" s="94">
        <f t="shared" ca="1" si="275"/>
        <v>2.4908891993879614</v>
      </c>
      <c r="P990" s="94">
        <f t="shared" ca="1" si="276"/>
        <v>24.908891993879614</v>
      </c>
      <c r="Q990" s="94">
        <f t="shared" ca="1" si="277"/>
        <v>24.908891993879614</v>
      </c>
      <c r="R990" s="94">
        <f t="shared" ca="1" si="278"/>
        <v>2.4908891993879614</v>
      </c>
      <c r="S990" s="94">
        <f t="shared" ca="1" si="279"/>
        <v>2.4908891993879614</v>
      </c>
      <c r="T990" s="4">
        <f t="shared" ca="1" si="280"/>
        <v>0</v>
      </c>
      <c r="U990" s="46">
        <f t="shared" ca="1" si="281"/>
        <v>1455.6995798612329</v>
      </c>
      <c r="V990" s="4">
        <f t="shared" ca="1" si="282"/>
        <v>0</v>
      </c>
      <c r="W990" s="13">
        <f t="shared" ca="1" si="283"/>
        <v>1892.9924999999998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133</v>
      </c>
      <c r="M991" s="7">
        <f t="shared" ca="1" si="273"/>
        <v>867</v>
      </c>
      <c r="N991" s="44">
        <f t="shared" ca="1" si="274"/>
        <v>8</v>
      </c>
      <c r="O991" s="94">
        <f t="shared" ca="1" si="275"/>
        <v>2.4908891993879614</v>
      </c>
      <c r="P991" s="94">
        <f t="shared" ca="1" si="276"/>
        <v>24.908891993879614</v>
      </c>
      <c r="Q991" s="94">
        <f t="shared" ca="1" si="277"/>
        <v>24.908891993879614</v>
      </c>
      <c r="R991" s="94">
        <f t="shared" ca="1" si="278"/>
        <v>2.4908891993879614</v>
      </c>
      <c r="S991" s="94">
        <f t="shared" ca="1" si="279"/>
        <v>2.4908891993879614</v>
      </c>
      <c r="T991" s="4">
        <f t="shared" ca="1" si="280"/>
        <v>0</v>
      </c>
      <c r="U991" s="46">
        <f t="shared" ca="1" si="281"/>
        <v>1486.6995798612329</v>
      </c>
      <c r="V991" s="4">
        <f t="shared" ca="1" si="282"/>
        <v>0</v>
      </c>
      <c r="W991" s="13">
        <f t="shared" ca="1" si="283"/>
        <v>13881.945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114</v>
      </c>
      <c r="M992" s="7">
        <f t="shared" ca="1" si="273"/>
        <v>886</v>
      </c>
      <c r="N992" s="44">
        <f t="shared" ca="1" si="274"/>
        <v>8</v>
      </c>
      <c r="O992" s="94">
        <f t="shared" ca="1" si="275"/>
        <v>2.4908891993879614</v>
      </c>
      <c r="P992" s="94">
        <f t="shared" ca="1" si="276"/>
        <v>24.908891993879614</v>
      </c>
      <c r="Q992" s="94">
        <f t="shared" ca="1" si="277"/>
        <v>24.908891993879614</v>
      </c>
      <c r="R992" s="94">
        <f t="shared" ca="1" si="278"/>
        <v>2.4908891993879614</v>
      </c>
      <c r="S992" s="94">
        <f t="shared" ca="1" si="279"/>
        <v>2.4908891993879614</v>
      </c>
      <c r="T992" s="4">
        <f t="shared" ca="1" si="280"/>
        <v>0</v>
      </c>
      <c r="U992" s="46">
        <f t="shared" ca="1" si="281"/>
        <v>1467.6995798612329</v>
      </c>
      <c r="V992" s="4">
        <f t="shared" ca="1" si="282"/>
        <v>0</v>
      </c>
      <c r="W992" s="13">
        <f t="shared" ca="1" si="283"/>
        <v>11898.81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2.4908891993879614</v>
      </c>
      <c r="P993" s="94">
        <f t="shared" ca="1" si="276"/>
        <v>24.908891993879614</v>
      </c>
      <c r="Q993" s="94">
        <f t="shared" ca="1" si="277"/>
        <v>24.908891993879614</v>
      </c>
      <c r="R993" s="94">
        <f t="shared" ca="1" si="278"/>
        <v>2.4908891993879614</v>
      </c>
      <c r="S993" s="94">
        <f t="shared" ca="1" si="279"/>
        <v>2.4908891993879614</v>
      </c>
      <c r="T993" s="4">
        <f t="shared" ca="1" si="280"/>
        <v>0</v>
      </c>
      <c r="U993" s="46">
        <f t="shared" ca="1" si="281"/>
        <v>1453.6995798612329</v>
      </c>
      <c r="V993" s="4">
        <f t="shared" ca="1" si="282"/>
        <v>0</v>
      </c>
      <c r="W993" s="13">
        <f t="shared" ca="1" si="283"/>
        <v>9915.6749999999993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100</v>
      </c>
      <c r="M994" s="7">
        <f t="shared" ca="1" si="273"/>
        <v>900</v>
      </c>
      <c r="N994" s="44">
        <f t="shared" ca="1" si="274"/>
        <v>8</v>
      </c>
      <c r="O994" s="94">
        <f t="shared" ca="1" si="275"/>
        <v>2.4908891993879614</v>
      </c>
      <c r="P994" s="94">
        <f t="shared" ca="1" si="276"/>
        <v>24.908891993879614</v>
      </c>
      <c r="Q994" s="94">
        <f t="shared" ca="1" si="277"/>
        <v>24.908891993879614</v>
      </c>
      <c r="R994" s="94">
        <f t="shared" ca="1" si="278"/>
        <v>2.4908891993879614</v>
      </c>
      <c r="S994" s="94">
        <f t="shared" ca="1" si="279"/>
        <v>2.4908891993879614</v>
      </c>
      <c r="T994" s="4">
        <f t="shared" ca="1" si="280"/>
        <v>0</v>
      </c>
      <c r="U994" s="46">
        <f t="shared" ca="1" si="281"/>
        <v>1453.6995798612329</v>
      </c>
      <c r="V994" s="4">
        <f t="shared" ca="1" si="282"/>
        <v>0</v>
      </c>
      <c r="W994" s="13">
        <f t="shared" ca="1" si="283"/>
        <v>7932.54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100</v>
      </c>
      <c r="M995" s="7">
        <f t="shared" ca="1" si="273"/>
        <v>900</v>
      </c>
      <c r="N995" s="44">
        <f t="shared" ca="1" si="274"/>
        <v>8</v>
      </c>
      <c r="O995" s="94">
        <f t="shared" ca="1" si="275"/>
        <v>2.4908891993879614</v>
      </c>
      <c r="P995" s="94">
        <f t="shared" ca="1" si="276"/>
        <v>24.908891993879614</v>
      </c>
      <c r="Q995" s="94">
        <f t="shared" ca="1" si="277"/>
        <v>24.908891993879614</v>
      </c>
      <c r="R995" s="94">
        <f t="shared" ca="1" si="278"/>
        <v>2.4908891993879614</v>
      </c>
      <c r="S995" s="94">
        <f t="shared" ca="1" si="279"/>
        <v>2.4908891993879614</v>
      </c>
      <c r="T995" s="4">
        <f t="shared" ca="1" si="280"/>
        <v>0</v>
      </c>
      <c r="U995" s="46">
        <f t="shared" ca="1" si="281"/>
        <v>1453.6995798612329</v>
      </c>
      <c r="V995" s="4">
        <f t="shared" ca="1" si="282"/>
        <v>0</v>
      </c>
      <c r="W995" s="13">
        <f t="shared" ca="1" si="283"/>
        <v>5949.4049999999997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100</v>
      </c>
      <c r="M996" s="7">
        <f t="shared" ca="1" si="273"/>
        <v>900</v>
      </c>
      <c r="N996" s="44">
        <f t="shared" ca="1" si="274"/>
        <v>8</v>
      </c>
      <c r="O996" s="94">
        <f t="shared" ca="1" si="275"/>
        <v>2.4908891993879614</v>
      </c>
      <c r="P996" s="94">
        <f t="shared" ca="1" si="276"/>
        <v>24.908891993879614</v>
      </c>
      <c r="Q996" s="94">
        <f t="shared" ca="1" si="277"/>
        <v>24.908891993879614</v>
      </c>
      <c r="R996" s="94">
        <f t="shared" ca="1" si="278"/>
        <v>2.4908891993879614</v>
      </c>
      <c r="S996" s="94">
        <f t="shared" ca="1" si="279"/>
        <v>2.4908891993879614</v>
      </c>
      <c r="T996" s="4">
        <f t="shared" ca="1" si="280"/>
        <v>0</v>
      </c>
      <c r="U996" s="46">
        <f t="shared" ca="1" si="281"/>
        <v>1453.6995798612329</v>
      </c>
      <c r="V996" s="4">
        <f t="shared" ca="1" si="282"/>
        <v>0</v>
      </c>
      <c r="W996" s="13">
        <f t="shared" ca="1" si="283"/>
        <v>3966.27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100</v>
      </c>
      <c r="M997" s="7">
        <f t="shared" ca="1" si="273"/>
        <v>900</v>
      </c>
      <c r="N997" s="44">
        <f t="shared" ca="1" si="274"/>
        <v>8</v>
      </c>
      <c r="O997" s="94">
        <f t="shared" ca="1" si="275"/>
        <v>2.4908891993879614</v>
      </c>
      <c r="P997" s="94">
        <f t="shared" ca="1" si="276"/>
        <v>24.908891993879614</v>
      </c>
      <c r="Q997" s="94">
        <f t="shared" ca="1" si="277"/>
        <v>24.908891993879614</v>
      </c>
      <c r="R997" s="94">
        <f t="shared" ca="1" si="278"/>
        <v>2.4908891993879614</v>
      </c>
      <c r="S997" s="94">
        <f t="shared" ca="1" si="279"/>
        <v>2.4908891993879614</v>
      </c>
      <c r="T997" s="4">
        <f t="shared" ca="1" si="280"/>
        <v>0</v>
      </c>
      <c r="U997" s="46">
        <f t="shared" ca="1" si="281"/>
        <v>1453.6995798612329</v>
      </c>
      <c r="V997" s="4">
        <f t="shared" ca="1" si="282"/>
        <v>0</v>
      </c>
      <c r="W997" s="13">
        <f t="shared" ca="1" si="283"/>
        <v>1983.135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100</v>
      </c>
      <c r="M998" s="7">
        <f t="shared" ca="1" si="273"/>
        <v>900</v>
      </c>
      <c r="N998" s="44">
        <f t="shared" ca="1" si="274"/>
        <v>8</v>
      </c>
      <c r="O998" s="94">
        <f t="shared" ca="1" si="275"/>
        <v>2.4908891993879614</v>
      </c>
      <c r="P998" s="94">
        <f t="shared" ca="1" si="276"/>
        <v>24.908891993879614</v>
      </c>
      <c r="Q998" s="94">
        <f t="shared" ca="1" si="277"/>
        <v>24.908891993879614</v>
      </c>
      <c r="R998" s="94">
        <f t="shared" ca="1" si="278"/>
        <v>2.4908891993879614</v>
      </c>
      <c r="S998" s="94">
        <f t="shared" ca="1" si="279"/>
        <v>2.4908891993879614</v>
      </c>
      <c r="T998" s="4">
        <f t="shared" ca="1" si="280"/>
        <v>0</v>
      </c>
      <c r="U998" s="46">
        <f t="shared" ca="1" si="281"/>
        <v>1453.6995798612329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337</v>
      </c>
      <c r="M999" s="7">
        <f t="shared" ref="M999:M1062" ca="1" si="292">MAX(Set2MinTP-(L999+Set2Regain), 0)</f>
        <v>663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1.9922775034029279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19.922775034029279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19.922775034029279</v>
      </c>
      <c r="R999" s="94">
        <f t="shared" ref="R999:R1062" ca="1" si="297">(P999+Q999)/20</f>
        <v>1.9922775034029279</v>
      </c>
      <c r="S999" s="94">
        <f t="shared" ref="S999:S1062" ca="1" si="298">R999*Set2ConserveTP + O999*(1-Set2ConserveTP)</f>
        <v>1.9922775034029279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1472.3253840141317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17758.072499999998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318</v>
      </c>
      <c r="M1000" s="7">
        <f t="shared" ca="1" si="292"/>
        <v>682</v>
      </c>
      <c r="N1000" s="44">
        <f t="shared" ca="1" si="293"/>
        <v>7</v>
      </c>
      <c r="O1000" s="94">
        <f t="shared" ca="1" si="294"/>
        <v>2.2444549919727916</v>
      </c>
      <c r="P1000" s="94">
        <f t="shared" ca="1" si="295"/>
        <v>20.679307499738869</v>
      </c>
      <c r="Q1000" s="94">
        <f t="shared" ca="1" si="296"/>
        <v>19.922775034029279</v>
      </c>
      <c r="R1000" s="94">
        <f t="shared" ca="1" si="297"/>
        <v>2.0301041266884075</v>
      </c>
      <c r="S1000" s="94">
        <f t="shared" ca="1" si="298"/>
        <v>2.2444549919727916</v>
      </c>
      <c r="T1000" s="4">
        <f t="shared" ca="1" si="299"/>
        <v>0</v>
      </c>
      <c r="U1000" s="46">
        <f t="shared" ca="1" si="300"/>
        <v>1563.7701584159711</v>
      </c>
      <c r="V1000" s="4">
        <f t="shared" ca="1" si="301"/>
        <v>0</v>
      </c>
      <c r="W1000" s="13">
        <f t="shared" ca="1" si="302"/>
        <v>15774.9375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299</v>
      </c>
      <c r="M1001" s="7">
        <f t="shared" ca="1" si="292"/>
        <v>701</v>
      </c>
      <c r="N1001" s="44">
        <f t="shared" ca="1" si="293"/>
        <v>7</v>
      </c>
      <c r="O1001" s="94">
        <f t="shared" ca="1" si="294"/>
        <v>2.2444549919727916</v>
      </c>
      <c r="P1001" s="94">
        <f t="shared" ca="1" si="295"/>
        <v>22.444549919727915</v>
      </c>
      <c r="Q1001" s="94">
        <f t="shared" ca="1" si="296"/>
        <v>22.444549919727915</v>
      </c>
      <c r="R1001" s="94">
        <f t="shared" ca="1" si="297"/>
        <v>2.2444549919727916</v>
      </c>
      <c r="S1001" s="94">
        <f t="shared" ca="1" si="298"/>
        <v>2.2444549919727916</v>
      </c>
      <c r="T1001" s="4">
        <f t="shared" ca="1" si="299"/>
        <v>0</v>
      </c>
      <c r="U1001" s="46">
        <f t="shared" ca="1" si="300"/>
        <v>1544.7701584159711</v>
      </c>
      <c r="V1001" s="4">
        <f t="shared" ca="1" si="301"/>
        <v>0</v>
      </c>
      <c r="W1001" s="13">
        <f t="shared" ca="1" si="302"/>
        <v>13791.802499999998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280</v>
      </c>
      <c r="M1002" s="7">
        <f t="shared" ca="1" si="292"/>
        <v>720</v>
      </c>
      <c r="N1002" s="44">
        <f t="shared" ca="1" si="293"/>
        <v>7</v>
      </c>
      <c r="O1002" s="94">
        <f t="shared" ca="1" si="294"/>
        <v>2.2444549919727916</v>
      </c>
      <c r="P1002" s="94">
        <f t="shared" ca="1" si="295"/>
        <v>22.444549919727915</v>
      </c>
      <c r="Q1002" s="94">
        <f t="shared" ca="1" si="296"/>
        <v>22.444549919727915</v>
      </c>
      <c r="R1002" s="94">
        <f t="shared" ca="1" si="297"/>
        <v>2.2444549919727916</v>
      </c>
      <c r="S1002" s="94">
        <f t="shared" ca="1" si="298"/>
        <v>2.2444549919727916</v>
      </c>
      <c r="T1002" s="4">
        <f t="shared" ca="1" si="299"/>
        <v>0</v>
      </c>
      <c r="U1002" s="46">
        <f t="shared" ca="1" si="300"/>
        <v>1525.7701584159711</v>
      </c>
      <c r="V1002" s="4">
        <f t="shared" ca="1" si="301"/>
        <v>0</v>
      </c>
      <c r="W1002" s="13">
        <f t="shared" ca="1" si="302"/>
        <v>11808.6675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261</v>
      </c>
      <c r="M1003" s="7">
        <f t="shared" ca="1" si="292"/>
        <v>739</v>
      </c>
      <c r="N1003" s="44">
        <f t="shared" ca="1" si="293"/>
        <v>7</v>
      </c>
      <c r="O1003" s="94">
        <f t="shared" ca="1" si="294"/>
        <v>2.2444549919727916</v>
      </c>
      <c r="P1003" s="94">
        <f t="shared" ca="1" si="295"/>
        <v>22.444549919727915</v>
      </c>
      <c r="Q1003" s="94">
        <f t="shared" ca="1" si="296"/>
        <v>22.444549919727915</v>
      </c>
      <c r="R1003" s="94">
        <f t="shared" ca="1" si="297"/>
        <v>2.2444549919727916</v>
      </c>
      <c r="S1003" s="94">
        <f t="shared" ca="1" si="298"/>
        <v>2.2444549919727916</v>
      </c>
      <c r="T1003" s="4">
        <f t="shared" ca="1" si="299"/>
        <v>0</v>
      </c>
      <c r="U1003" s="46">
        <f t="shared" ca="1" si="300"/>
        <v>1506.7701584159711</v>
      </c>
      <c r="V1003" s="4">
        <f t="shared" ca="1" si="301"/>
        <v>0</v>
      </c>
      <c r="W1003" s="13">
        <f t="shared" ca="1" si="302"/>
        <v>9825.5324999999993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2.2444549919727916</v>
      </c>
      <c r="P1004" s="94">
        <f t="shared" ca="1" si="295"/>
        <v>22.444549919727915</v>
      </c>
      <c r="Q1004" s="94">
        <f t="shared" ca="1" si="296"/>
        <v>22.444549919727915</v>
      </c>
      <c r="R1004" s="94">
        <f t="shared" ca="1" si="297"/>
        <v>2.2444549919727916</v>
      </c>
      <c r="S1004" s="94">
        <f t="shared" ca="1" si="298"/>
        <v>2.2444549919727916</v>
      </c>
      <c r="T1004" s="4">
        <f t="shared" ca="1" si="299"/>
        <v>0</v>
      </c>
      <c r="U1004" s="46">
        <f t="shared" ca="1" si="300"/>
        <v>1487.7701584159711</v>
      </c>
      <c r="V1004" s="4">
        <f t="shared" ca="1" si="301"/>
        <v>0</v>
      </c>
      <c r="W1004" s="13">
        <f t="shared" ca="1" si="302"/>
        <v>7842.3974999999991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223</v>
      </c>
      <c r="M1005" s="7">
        <f t="shared" ca="1" si="292"/>
        <v>777</v>
      </c>
      <c r="N1005" s="44">
        <f t="shared" ca="1" si="293"/>
        <v>7</v>
      </c>
      <c r="O1005" s="94">
        <f t="shared" ca="1" si="294"/>
        <v>2.2444549919727916</v>
      </c>
      <c r="P1005" s="94">
        <f t="shared" ca="1" si="295"/>
        <v>22.444549919727915</v>
      </c>
      <c r="Q1005" s="94">
        <f t="shared" ca="1" si="296"/>
        <v>22.444549919727915</v>
      </c>
      <c r="R1005" s="94">
        <f t="shared" ca="1" si="297"/>
        <v>2.2444549919727916</v>
      </c>
      <c r="S1005" s="94">
        <f t="shared" ca="1" si="298"/>
        <v>2.2444549919727916</v>
      </c>
      <c r="T1005" s="4">
        <f t="shared" ca="1" si="299"/>
        <v>0</v>
      </c>
      <c r="U1005" s="46">
        <f t="shared" ca="1" si="300"/>
        <v>1468.7701584159711</v>
      </c>
      <c r="V1005" s="4">
        <f t="shared" ca="1" si="301"/>
        <v>0</v>
      </c>
      <c r="W1005" s="13">
        <f t="shared" ca="1" si="302"/>
        <v>5859.2624999999998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204</v>
      </c>
      <c r="M1006" s="7">
        <f t="shared" ca="1" si="292"/>
        <v>796</v>
      </c>
      <c r="N1006" s="44">
        <f t="shared" ca="1" si="293"/>
        <v>8</v>
      </c>
      <c r="O1006" s="94">
        <f t="shared" ca="1" si="294"/>
        <v>2.4908891993879614</v>
      </c>
      <c r="P1006" s="94">
        <f t="shared" ca="1" si="295"/>
        <v>23.430286749388593</v>
      </c>
      <c r="Q1006" s="94">
        <f t="shared" ca="1" si="296"/>
        <v>22.444549919727915</v>
      </c>
      <c r="R1006" s="94">
        <f t="shared" ca="1" si="297"/>
        <v>2.2937418334558251</v>
      </c>
      <c r="S1006" s="94">
        <f t="shared" ca="1" si="298"/>
        <v>2.4908891993879614</v>
      </c>
      <c r="T1006" s="4">
        <f t="shared" ca="1" si="299"/>
        <v>0</v>
      </c>
      <c r="U1006" s="46">
        <f t="shared" ca="1" si="300"/>
        <v>1557.6995798612329</v>
      </c>
      <c r="V1006" s="4">
        <f t="shared" ca="1" si="301"/>
        <v>0</v>
      </c>
      <c r="W1006" s="13">
        <f t="shared" ca="1" si="302"/>
        <v>3876.1274999999996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235</v>
      </c>
      <c r="M1007" s="7">
        <f t="shared" ca="1" si="292"/>
        <v>765</v>
      </c>
      <c r="N1007" s="44">
        <f t="shared" ca="1" si="293"/>
        <v>7</v>
      </c>
      <c r="O1007" s="94">
        <f t="shared" ca="1" si="294"/>
        <v>2.2444549919727916</v>
      </c>
      <c r="P1007" s="94">
        <f t="shared" ca="1" si="295"/>
        <v>22.444549919727915</v>
      </c>
      <c r="Q1007" s="94">
        <f t="shared" ca="1" si="296"/>
        <v>22.444549919727915</v>
      </c>
      <c r="R1007" s="94">
        <f t="shared" ca="1" si="297"/>
        <v>2.2444549919727916</v>
      </c>
      <c r="S1007" s="94">
        <f t="shared" ca="1" si="298"/>
        <v>2.2444549919727916</v>
      </c>
      <c r="T1007" s="4">
        <f t="shared" ca="1" si="299"/>
        <v>0</v>
      </c>
      <c r="U1007" s="46">
        <f t="shared" ca="1" si="300"/>
        <v>1480.7701584159711</v>
      </c>
      <c r="V1007" s="4">
        <f t="shared" ca="1" si="301"/>
        <v>0</v>
      </c>
      <c r="W1007" s="13">
        <f t="shared" ca="1" si="302"/>
        <v>15865.08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216</v>
      </c>
      <c r="M1008" s="7">
        <f t="shared" ca="1" si="292"/>
        <v>784</v>
      </c>
      <c r="N1008" s="44">
        <f t="shared" ca="1" si="293"/>
        <v>7</v>
      </c>
      <c r="O1008" s="94">
        <f t="shared" ca="1" si="294"/>
        <v>2.2444549919727916</v>
      </c>
      <c r="P1008" s="94">
        <f t="shared" ca="1" si="295"/>
        <v>22.444549919727915</v>
      </c>
      <c r="Q1008" s="94">
        <f t="shared" ca="1" si="296"/>
        <v>22.444549919727915</v>
      </c>
      <c r="R1008" s="94">
        <f t="shared" ca="1" si="297"/>
        <v>2.2444549919727916</v>
      </c>
      <c r="S1008" s="94">
        <f t="shared" ca="1" si="298"/>
        <v>2.2444549919727916</v>
      </c>
      <c r="T1008" s="4">
        <f t="shared" ca="1" si="299"/>
        <v>0</v>
      </c>
      <c r="U1008" s="46">
        <f t="shared" ca="1" si="300"/>
        <v>1461.7701584159711</v>
      </c>
      <c r="V1008" s="4">
        <f t="shared" ca="1" si="301"/>
        <v>0</v>
      </c>
      <c r="W1008" s="13">
        <f t="shared" ca="1" si="302"/>
        <v>13881.945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197</v>
      </c>
      <c r="M1009" s="7">
        <f t="shared" ca="1" si="292"/>
        <v>803</v>
      </c>
      <c r="N1009" s="44">
        <f t="shared" ca="1" si="293"/>
        <v>8</v>
      </c>
      <c r="O1009" s="94">
        <f t="shared" ca="1" si="294"/>
        <v>2.4908891993879614</v>
      </c>
      <c r="P1009" s="94">
        <f t="shared" ca="1" si="295"/>
        <v>24.908891993879614</v>
      </c>
      <c r="Q1009" s="94">
        <f t="shared" ca="1" si="296"/>
        <v>22.690984127143082</v>
      </c>
      <c r="R1009" s="94">
        <f t="shared" ca="1" si="297"/>
        <v>2.379993806051135</v>
      </c>
      <c r="S1009" s="94">
        <f t="shared" ca="1" si="298"/>
        <v>2.4908891993879614</v>
      </c>
      <c r="T1009" s="4">
        <f t="shared" ca="1" si="299"/>
        <v>0</v>
      </c>
      <c r="U1009" s="46">
        <f t="shared" ca="1" si="300"/>
        <v>1550.6995798612329</v>
      </c>
      <c r="V1009" s="4">
        <f t="shared" ca="1" si="301"/>
        <v>0</v>
      </c>
      <c r="W1009" s="13">
        <f t="shared" ca="1" si="302"/>
        <v>11898.81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178</v>
      </c>
      <c r="M1010" s="7">
        <f t="shared" ca="1" si="292"/>
        <v>822</v>
      </c>
      <c r="N1010" s="44">
        <f t="shared" ca="1" si="293"/>
        <v>8</v>
      </c>
      <c r="O1010" s="94">
        <f t="shared" ca="1" si="294"/>
        <v>2.4908891993879614</v>
      </c>
      <c r="P1010" s="94">
        <f t="shared" ca="1" si="295"/>
        <v>24.908891993879614</v>
      </c>
      <c r="Q1010" s="94">
        <f t="shared" ca="1" si="296"/>
        <v>24.908891993879614</v>
      </c>
      <c r="R1010" s="94">
        <f t="shared" ca="1" si="297"/>
        <v>2.4908891993879614</v>
      </c>
      <c r="S1010" s="94">
        <f t="shared" ca="1" si="298"/>
        <v>2.4908891993879614</v>
      </c>
      <c r="T1010" s="4">
        <f t="shared" ca="1" si="299"/>
        <v>0</v>
      </c>
      <c r="U1010" s="46">
        <f t="shared" ca="1" si="300"/>
        <v>1531.6995798612329</v>
      </c>
      <c r="V1010" s="4">
        <f t="shared" ca="1" si="301"/>
        <v>0</v>
      </c>
      <c r="W1010" s="13">
        <f t="shared" ca="1" si="302"/>
        <v>9915.6749999999993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159</v>
      </c>
      <c r="M1011" s="7">
        <f t="shared" ca="1" si="292"/>
        <v>841</v>
      </c>
      <c r="N1011" s="44">
        <f t="shared" ca="1" si="293"/>
        <v>8</v>
      </c>
      <c r="O1011" s="94">
        <f t="shared" ca="1" si="294"/>
        <v>2.4908891993879614</v>
      </c>
      <c r="P1011" s="94">
        <f t="shared" ca="1" si="295"/>
        <v>24.908891993879614</v>
      </c>
      <c r="Q1011" s="94">
        <f t="shared" ca="1" si="296"/>
        <v>24.908891993879614</v>
      </c>
      <c r="R1011" s="94">
        <f t="shared" ca="1" si="297"/>
        <v>2.4908891993879614</v>
      </c>
      <c r="S1011" s="94">
        <f t="shared" ca="1" si="298"/>
        <v>2.4908891993879614</v>
      </c>
      <c r="T1011" s="4">
        <f t="shared" ca="1" si="299"/>
        <v>0</v>
      </c>
      <c r="U1011" s="46">
        <f t="shared" ca="1" si="300"/>
        <v>1512.6995798612329</v>
      </c>
      <c r="V1011" s="4">
        <f t="shared" ca="1" si="301"/>
        <v>0</v>
      </c>
      <c r="W1011" s="13">
        <f t="shared" ca="1" si="302"/>
        <v>7932.54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140</v>
      </c>
      <c r="M1012" s="7">
        <f t="shared" ca="1" si="292"/>
        <v>860</v>
      </c>
      <c r="N1012" s="44">
        <f t="shared" ca="1" si="293"/>
        <v>8</v>
      </c>
      <c r="O1012" s="94">
        <f t="shared" ca="1" si="294"/>
        <v>2.4908891993879614</v>
      </c>
      <c r="P1012" s="94">
        <f t="shared" ca="1" si="295"/>
        <v>24.908891993879614</v>
      </c>
      <c r="Q1012" s="94">
        <f t="shared" ca="1" si="296"/>
        <v>24.908891993879614</v>
      </c>
      <c r="R1012" s="94">
        <f t="shared" ca="1" si="297"/>
        <v>2.4908891993879614</v>
      </c>
      <c r="S1012" s="94">
        <f t="shared" ca="1" si="298"/>
        <v>2.4908891993879614</v>
      </c>
      <c r="T1012" s="4">
        <f t="shared" ca="1" si="299"/>
        <v>0</v>
      </c>
      <c r="U1012" s="46">
        <f t="shared" ca="1" si="300"/>
        <v>1493.6995798612329</v>
      </c>
      <c r="V1012" s="4">
        <f t="shared" ca="1" si="301"/>
        <v>0</v>
      </c>
      <c r="W1012" s="13">
        <f t="shared" ca="1" si="302"/>
        <v>5949.4049999999997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2.4908891993879614</v>
      </c>
      <c r="P1013" s="94">
        <f t="shared" ca="1" si="295"/>
        <v>24.908891993879614</v>
      </c>
      <c r="Q1013" s="94">
        <f t="shared" ca="1" si="296"/>
        <v>24.908891993879614</v>
      </c>
      <c r="R1013" s="94">
        <f t="shared" ca="1" si="297"/>
        <v>2.4908891993879614</v>
      </c>
      <c r="S1013" s="94">
        <f t="shared" ca="1" si="298"/>
        <v>2.4908891993879614</v>
      </c>
      <c r="T1013" s="4">
        <f t="shared" ca="1" si="299"/>
        <v>0</v>
      </c>
      <c r="U1013" s="46">
        <f t="shared" ca="1" si="300"/>
        <v>1474.6995798612329</v>
      </c>
      <c r="V1013" s="4">
        <f t="shared" ca="1" si="301"/>
        <v>0</v>
      </c>
      <c r="W1013" s="13">
        <f t="shared" ca="1" si="302"/>
        <v>3966.27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102</v>
      </c>
      <c r="M1014" s="7">
        <f t="shared" ca="1" si="292"/>
        <v>898</v>
      </c>
      <c r="N1014" s="44">
        <f t="shared" ca="1" si="293"/>
        <v>8</v>
      </c>
      <c r="O1014" s="94">
        <f t="shared" ca="1" si="294"/>
        <v>2.4908891993879614</v>
      </c>
      <c r="P1014" s="94">
        <f t="shared" ca="1" si="295"/>
        <v>24.908891993879614</v>
      </c>
      <c r="Q1014" s="94">
        <f t="shared" ca="1" si="296"/>
        <v>24.908891993879614</v>
      </c>
      <c r="R1014" s="94">
        <f t="shared" ca="1" si="297"/>
        <v>2.4908891993879614</v>
      </c>
      <c r="S1014" s="94">
        <f t="shared" ca="1" si="298"/>
        <v>2.4908891993879614</v>
      </c>
      <c r="T1014" s="4">
        <f t="shared" ca="1" si="299"/>
        <v>0</v>
      </c>
      <c r="U1014" s="46">
        <f t="shared" ca="1" si="300"/>
        <v>1455.6995798612329</v>
      </c>
      <c r="V1014" s="4">
        <f t="shared" ca="1" si="301"/>
        <v>0</v>
      </c>
      <c r="W1014" s="13">
        <f t="shared" ca="1" si="302"/>
        <v>1983.135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235</v>
      </c>
      <c r="M1015" s="7">
        <f t="shared" ca="1" si="292"/>
        <v>765</v>
      </c>
      <c r="N1015" s="44">
        <f t="shared" ca="1" si="293"/>
        <v>7</v>
      </c>
      <c r="O1015" s="94">
        <f t="shared" ca="1" si="294"/>
        <v>2.2444549919727916</v>
      </c>
      <c r="P1015" s="94">
        <f t="shared" ca="1" si="295"/>
        <v>22.444549919727915</v>
      </c>
      <c r="Q1015" s="94">
        <f t="shared" ca="1" si="296"/>
        <v>22.444549919727915</v>
      </c>
      <c r="R1015" s="94">
        <f t="shared" ca="1" si="297"/>
        <v>2.2444549919727916</v>
      </c>
      <c r="S1015" s="94">
        <f t="shared" ca="1" si="298"/>
        <v>2.2444549919727916</v>
      </c>
      <c r="T1015" s="4">
        <f t="shared" ca="1" si="299"/>
        <v>0</v>
      </c>
      <c r="U1015" s="46">
        <f t="shared" ca="1" si="300"/>
        <v>1480.7701584159711</v>
      </c>
      <c r="V1015" s="4">
        <f t="shared" ca="1" si="301"/>
        <v>0</v>
      </c>
      <c r="W1015" s="13">
        <f t="shared" ca="1" si="302"/>
        <v>15774.9375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216</v>
      </c>
      <c r="M1016" s="7">
        <f t="shared" ca="1" si="292"/>
        <v>784</v>
      </c>
      <c r="N1016" s="44">
        <f t="shared" ca="1" si="293"/>
        <v>7</v>
      </c>
      <c r="O1016" s="94">
        <f t="shared" ca="1" si="294"/>
        <v>2.2444549919727916</v>
      </c>
      <c r="P1016" s="94">
        <f t="shared" ca="1" si="295"/>
        <v>22.444549919727915</v>
      </c>
      <c r="Q1016" s="94">
        <f t="shared" ca="1" si="296"/>
        <v>22.444549919727915</v>
      </c>
      <c r="R1016" s="94">
        <f t="shared" ca="1" si="297"/>
        <v>2.2444549919727916</v>
      </c>
      <c r="S1016" s="94">
        <f t="shared" ca="1" si="298"/>
        <v>2.2444549919727916</v>
      </c>
      <c r="T1016" s="4">
        <f t="shared" ca="1" si="299"/>
        <v>0</v>
      </c>
      <c r="U1016" s="46">
        <f t="shared" ca="1" si="300"/>
        <v>1461.7701584159711</v>
      </c>
      <c r="V1016" s="4">
        <f t="shared" ca="1" si="301"/>
        <v>0</v>
      </c>
      <c r="W1016" s="13">
        <f t="shared" ca="1" si="302"/>
        <v>13791.8025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197</v>
      </c>
      <c r="M1017" s="7">
        <f t="shared" ca="1" si="292"/>
        <v>803</v>
      </c>
      <c r="N1017" s="44">
        <f t="shared" ca="1" si="293"/>
        <v>8</v>
      </c>
      <c r="O1017" s="94">
        <f t="shared" ca="1" si="294"/>
        <v>2.4908891993879614</v>
      </c>
      <c r="P1017" s="94">
        <f t="shared" ca="1" si="295"/>
        <v>24.908891993879614</v>
      </c>
      <c r="Q1017" s="94">
        <f t="shared" ca="1" si="296"/>
        <v>22.690984127143082</v>
      </c>
      <c r="R1017" s="94">
        <f t="shared" ca="1" si="297"/>
        <v>2.379993806051135</v>
      </c>
      <c r="S1017" s="94">
        <f t="shared" ca="1" si="298"/>
        <v>2.4908891993879614</v>
      </c>
      <c r="T1017" s="4">
        <f t="shared" ca="1" si="299"/>
        <v>0</v>
      </c>
      <c r="U1017" s="46">
        <f t="shared" ca="1" si="300"/>
        <v>1550.6995798612329</v>
      </c>
      <c r="V1017" s="4">
        <f t="shared" ca="1" si="301"/>
        <v>0</v>
      </c>
      <c r="W1017" s="13">
        <f t="shared" ca="1" si="302"/>
        <v>11808.6675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178</v>
      </c>
      <c r="M1018" s="7">
        <f t="shared" ca="1" si="292"/>
        <v>822</v>
      </c>
      <c r="N1018" s="44">
        <f t="shared" ca="1" si="293"/>
        <v>8</v>
      </c>
      <c r="O1018" s="94">
        <f t="shared" ca="1" si="294"/>
        <v>2.4908891993879614</v>
      </c>
      <c r="P1018" s="94">
        <f t="shared" ca="1" si="295"/>
        <v>24.908891993879614</v>
      </c>
      <c r="Q1018" s="94">
        <f t="shared" ca="1" si="296"/>
        <v>24.908891993879614</v>
      </c>
      <c r="R1018" s="94">
        <f t="shared" ca="1" si="297"/>
        <v>2.4908891993879614</v>
      </c>
      <c r="S1018" s="94">
        <f t="shared" ca="1" si="298"/>
        <v>2.4908891993879614</v>
      </c>
      <c r="T1018" s="4">
        <f t="shared" ca="1" si="299"/>
        <v>0</v>
      </c>
      <c r="U1018" s="46">
        <f t="shared" ca="1" si="300"/>
        <v>1531.6995798612329</v>
      </c>
      <c r="V1018" s="4">
        <f t="shared" ca="1" si="301"/>
        <v>0</v>
      </c>
      <c r="W1018" s="13">
        <f t="shared" ca="1" si="302"/>
        <v>9825.5324999999993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159</v>
      </c>
      <c r="M1019" s="7">
        <f t="shared" ca="1" si="292"/>
        <v>841</v>
      </c>
      <c r="N1019" s="44">
        <f t="shared" ca="1" si="293"/>
        <v>8</v>
      </c>
      <c r="O1019" s="94">
        <f t="shared" ca="1" si="294"/>
        <v>2.4908891993879614</v>
      </c>
      <c r="P1019" s="94">
        <f t="shared" ca="1" si="295"/>
        <v>24.908891993879614</v>
      </c>
      <c r="Q1019" s="94">
        <f t="shared" ca="1" si="296"/>
        <v>24.908891993879614</v>
      </c>
      <c r="R1019" s="94">
        <f t="shared" ca="1" si="297"/>
        <v>2.4908891993879614</v>
      </c>
      <c r="S1019" s="94">
        <f t="shared" ca="1" si="298"/>
        <v>2.4908891993879614</v>
      </c>
      <c r="T1019" s="4">
        <f t="shared" ca="1" si="299"/>
        <v>0</v>
      </c>
      <c r="U1019" s="46">
        <f t="shared" ca="1" si="300"/>
        <v>1512.6995798612329</v>
      </c>
      <c r="V1019" s="4">
        <f t="shared" ca="1" si="301"/>
        <v>0</v>
      </c>
      <c r="W1019" s="13">
        <f t="shared" ca="1" si="302"/>
        <v>7842.3974999999991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140</v>
      </c>
      <c r="M1020" s="7">
        <f t="shared" ca="1" si="292"/>
        <v>860</v>
      </c>
      <c r="N1020" s="44">
        <f t="shared" ca="1" si="293"/>
        <v>8</v>
      </c>
      <c r="O1020" s="94">
        <f t="shared" ca="1" si="294"/>
        <v>2.4908891993879614</v>
      </c>
      <c r="P1020" s="94">
        <f t="shared" ca="1" si="295"/>
        <v>24.908891993879614</v>
      </c>
      <c r="Q1020" s="94">
        <f t="shared" ca="1" si="296"/>
        <v>24.908891993879614</v>
      </c>
      <c r="R1020" s="94">
        <f t="shared" ca="1" si="297"/>
        <v>2.4908891993879614</v>
      </c>
      <c r="S1020" s="94">
        <f t="shared" ca="1" si="298"/>
        <v>2.4908891993879614</v>
      </c>
      <c r="T1020" s="4">
        <f t="shared" ca="1" si="299"/>
        <v>0</v>
      </c>
      <c r="U1020" s="46">
        <f t="shared" ca="1" si="300"/>
        <v>1493.6995798612329</v>
      </c>
      <c r="V1020" s="4">
        <f t="shared" ca="1" si="301"/>
        <v>0</v>
      </c>
      <c r="W1020" s="13">
        <f t="shared" ca="1" si="302"/>
        <v>5859.2624999999998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2.4908891993879614</v>
      </c>
      <c r="P1021" s="94">
        <f t="shared" ca="1" si="295"/>
        <v>24.908891993879614</v>
      </c>
      <c r="Q1021" s="94">
        <f t="shared" ca="1" si="296"/>
        <v>24.908891993879614</v>
      </c>
      <c r="R1021" s="94">
        <f t="shared" ca="1" si="297"/>
        <v>2.4908891993879614</v>
      </c>
      <c r="S1021" s="94">
        <f t="shared" ca="1" si="298"/>
        <v>2.4908891993879614</v>
      </c>
      <c r="T1021" s="4">
        <f t="shared" ca="1" si="299"/>
        <v>0</v>
      </c>
      <c r="U1021" s="46">
        <f t="shared" ca="1" si="300"/>
        <v>1474.6995798612329</v>
      </c>
      <c r="V1021" s="4">
        <f t="shared" ca="1" si="301"/>
        <v>0</v>
      </c>
      <c r="W1021" s="13">
        <f t="shared" ca="1" si="302"/>
        <v>3876.1274999999996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102</v>
      </c>
      <c r="M1022" s="7">
        <f t="shared" ca="1" si="292"/>
        <v>898</v>
      </c>
      <c r="N1022" s="44">
        <f t="shared" ca="1" si="293"/>
        <v>8</v>
      </c>
      <c r="O1022" s="94">
        <f t="shared" ca="1" si="294"/>
        <v>2.4908891993879614</v>
      </c>
      <c r="P1022" s="94">
        <f t="shared" ca="1" si="295"/>
        <v>24.908891993879614</v>
      </c>
      <c r="Q1022" s="94">
        <f t="shared" ca="1" si="296"/>
        <v>24.908891993879614</v>
      </c>
      <c r="R1022" s="94">
        <f t="shared" ca="1" si="297"/>
        <v>2.4908891993879614</v>
      </c>
      <c r="S1022" s="94">
        <f t="shared" ca="1" si="298"/>
        <v>2.4908891993879614</v>
      </c>
      <c r="T1022" s="4">
        <f t="shared" ca="1" si="299"/>
        <v>0</v>
      </c>
      <c r="U1022" s="46">
        <f t="shared" ca="1" si="300"/>
        <v>1455.6995798612329</v>
      </c>
      <c r="V1022" s="4">
        <f t="shared" ca="1" si="301"/>
        <v>0</v>
      </c>
      <c r="W1022" s="13">
        <f t="shared" ca="1" si="302"/>
        <v>1892.9924999999998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133</v>
      </c>
      <c r="M1023" s="7">
        <f t="shared" ca="1" si="292"/>
        <v>867</v>
      </c>
      <c r="N1023" s="44">
        <f t="shared" ca="1" si="293"/>
        <v>8</v>
      </c>
      <c r="O1023" s="94">
        <f t="shared" ca="1" si="294"/>
        <v>2.4908891993879614</v>
      </c>
      <c r="P1023" s="94">
        <f t="shared" ca="1" si="295"/>
        <v>24.908891993879614</v>
      </c>
      <c r="Q1023" s="94">
        <f t="shared" ca="1" si="296"/>
        <v>24.908891993879614</v>
      </c>
      <c r="R1023" s="94">
        <f t="shared" ca="1" si="297"/>
        <v>2.4908891993879614</v>
      </c>
      <c r="S1023" s="94">
        <f t="shared" ca="1" si="298"/>
        <v>2.4908891993879614</v>
      </c>
      <c r="T1023" s="4">
        <f t="shared" ca="1" si="299"/>
        <v>0</v>
      </c>
      <c r="U1023" s="46">
        <f t="shared" ca="1" si="300"/>
        <v>1486.6995798612329</v>
      </c>
      <c r="V1023" s="4">
        <f t="shared" ca="1" si="301"/>
        <v>0</v>
      </c>
      <c r="W1023" s="13">
        <f t="shared" ca="1" si="302"/>
        <v>13881.945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114</v>
      </c>
      <c r="M1024" s="7">
        <f t="shared" ca="1" si="292"/>
        <v>886</v>
      </c>
      <c r="N1024" s="44">
        <f t="shared" ca="1" si="293"/>
        <v>8</v>
      </c>
      <c r="O1024" s="94">
        <f t="shared" ca="1" si="294"/>
        <v>2.4908891993879614</v>
      </c>
      <c r="P1024" s="94">
        <f t="shared" ca="1" si="295"/>
        <v>24.908891993879614</v>
      </c>
      <c r="Q1024" s="94">
        <f t="shared" ca="1" si="296"/>
        <v>24.908891993879614</v>
      </c>
      <c r="R1024" s="94">
        <f t="shared" ca="1" si="297"/>
        <v>2.4908891993879614</v>
      </c>
      <c r="S1024" s="94">
        <f t="shared" ca="1" si="298"/>
        <v>2.4908891993879614</v>
      </c>
      <c r="T1024" s="4">
        <f t="shared" ca="1" si="299"/>
        <v>0</v>
      </c>
      <c r="U1024" s="46">
        <f t="shared" ca="1" si="300"/>
        <v>1467.6995798612329</v>
      </c>
      <c r="V1024" s="4">
        <f t="shared" ca="1" si="301"/>
        <v>0</v>
      </c>
      <c r="W1024" s="13">
        <f t="shared" ca="1" si="302"/>
        <v>11898.81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2.4908891993879614</v>
      </c>
      <c r="P1025" s="94">
        <f t="shared" ca="1" si="295"/>
        <v>24.908891993879614</v>
      </c>
      <c r="Q1025" s="94">
        <f t="shared" ca="1" si="296"/>
        <v>24.908891993879614</v>
      </c>
      <c r="R1025" s="94">
        <f t="shared" ca="1" si="297"/>
        <v>2.4908891993879614</v>
      </c>
      <c r="S1025" s="94">
        <f t="shared" ca="1" si="298"/>
        <v>2.4908891993879614</v>
      </c>
      <c r="T1025" s="4">
        <f t="shared" ca="1" si="299"/>
        <v>0</v>
      </c>
      <c r="U1025" s="46">
        <f t="shared" ca="1" si="300"/>
        <v>1453.6995798612329</v>
      </c>
      <c r="V1025" s="4">
        <f t="shared" ca="1" si="301"/>
        <v>0</v>
      </c>
      <c r="W1025" s="13">
        <f t="shared" ca="1" si="302"/>
        <v>9915.6749999999993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100</v>
      </c>
      <c r="M1026" s="7">
        <f t="shared" ca="1" si="292"/>
        <v>900</v>
      </c>
      <c r="N1026" s="44">
        <f t="shared" ca="1" si="293"/>
        <v>8</v>
      </c>
      <c r="O1026" s="94">
        <f t="shared" ca="1" si="294"/>
        <v>2.4908891993879614</v>
      </c>
      <c r="P1026" s="94">
        <f t="shared" ca="1" si="295"/>
        <v>24.908891993879614</v>
      </c>
      <c r="Q1026" s="94">
        <f t="shared" ca="1" si="296"/>
        <v>24.908891993879614</v>
      </c>
      <c r="R1026" s="94">
        <f t="shared" ca="1" si="297"/>
        <v>2.4908891993879614</v>
      </c>
      <c r="S1026" s="94">
        <f t="shared" ca="1" si="298"/>
        <v>2.4908891993879614</v>
      </c>
      <c r="T1026" s="4">
        <f t="shared" ca="1" si="299"/>
        <v>0</v>
      </c>
      <c r="U1026" s="46">
        <f t="shared" ca="1" si="300"/>
        <v>1453.6995798612329</v>
      </c>
      <c r="V1026" s="4">
        <f t="shared" ca="1" si="301"/>
        <v>0</v>
      </c>
      <c r="W1026" s="13">
        <f t="shared" ca="1" si="302"/>
        <v>7932.54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100</v>
      </c>
      <c r="M1027" s="7">
        <f t="shared" ca="1" si="292"/>
        <v>900</v>
      </c>
      <c r="N1027" s="44">
        <f t="shared" ca="1" si="293"/>
        <v>8</v>
      </c>
      <c r="O1027" s="94">
        <f t="shared" ca="1" si="294"/>
        <v>2.4908891993879614</v>
      </c>
      <c r="P1027" s="94">
        <f t="shared" ca="1" si="295"/>
        <v>24.908891993879614</v>
      </c>
      <c r="Q1027" s="94">
        <f t="shared" ca="1" si="296"/>
        <v>24.908891993879614</v>
      </c>
      <c r="R1027" s="94">
        <f t="shared" ca="1" si="297"/>
        <v>2.4908891993879614</v>
      </c>
      <c r="S1027" s="94">
        <f t="shared" ca="1" si="298"/>
        <v>2.4908891993879614</v>
      </c>
      <c r="T1027" s="4">
        <f t="shared" ca="1" si="299"/>
        <v>0</v>
      </c>
      <c r="U1027" s="46">
        <f t="shared" ca="1" si="300"/>
        <v>1453.6995798612329</v>
      </c>
      <c r="V1027" s="4">
        <f t="shared" ca="1" si="301"/>
        <v>0</v>
      </c>
      <c r="W1027" s="13">
        <f t="shared" ca="1" si="302"/>
        <v>5949.4049999999997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100</v>
      </c>
      <c r="M1028" s="7">
        <f t="shared" ca="1" si="292"/>
        <v>900</v>
      </c>
      <c r="N1028" s="44">
        <f t="shared" ca="1" si="293"/>
        <v>8</v>
      </c>
      <c r="O1028" s="94">
        <f t="shared" ca="1" si="294"/>
        <v>2.4908891993879614</v>
      </c>
      <c r="P1028" s="94">
        <f t="shared" ca="1" si="295"/>
        <v>24.908891993879614</v>
      </c>
      <c r="Q1028" s="94">
        <f t="shared" ca="1" si="296"/>
        <v>24.908891993879614</v>
      </c>
      <c r="R1028" s="94">
        <f t="shared" ca="1" si="297"/>
        <v>2.4908891993879614</v>
      </c>
      <c r="S1028" s="94">
        <f t="shared" ca="1" si="298"/>
        <v>2.4908891993879614</v>
      </c>
      <c r="T1028" s="4">
        <f t="shared" ca="1" si="299"/>
        <v>0</v>
      </c>
      <c r="U1028" s="46">
        <f t="shared" ca="1" si="300"/>
        <v>1453.6995798612329</v>
      </c>
      <c r="V1028" s="4">
        <f t="shared" ca="1" si="301"/>
        <v>0</v>
      </c>
      <c r="W1028" s="13">
        <f t="shared" ca="1" si="302"/>
        <v>3966.27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100</v>
      </c>
      <c r="M1029" s="7">
        <f t="shared" ca="1" si="292"/>
        <v>900</v>
      </c>
      <c r="N1029" s="44">
        <f t="shared" ca="1" si="293"/>
        <v>8</v>
      </c>
      <c r="O1029" s="94">
        <f t="shared" ca="1" si="294"/>
        <v>2.4908891993879614</v>
      </c>
      <c r="P1029" s="94">
        <f t="shared" ca="1" si="295"/>
        <v>24.908891993879614</v>
      </c>
      <c r="Q1029" s="94">
        <f t="shared" ca="1" si="296"/>
        <v>24.908891993879614</v>
      </c>
      <c r="R1029" s="94">
        <f t="shared" ca="1" si="297"/>
        <v>2.4908891993879614</v>
      </c>
      <c r="S1029" s="94">
        <f t="shared" ca="1" si="298"/>
        <v>2.4908891993879614</v>
      </c>
      <c r="T1029" s="4">
        <f t="shared" ca="1" si="299"/>
        <v>0</v>
      </c>
      <c r="U1029" s="46">
        <f t="shared" ca="1" si="300"/>
        <v>1453.6995798612329</v>
      </c>
      <c r="V1029" s="4">
        <f t="shared" ca="1" si="301"/>
        <v>0</v>
      </c>
      <c r="W1029" s="13">
        <f t="shared" ca="1" si="302"/>
        <v>1983.135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100</v>
      </c>
      <c r="M1030" s="7">
        <f t="shared" ca="1" si="292"/>
        <v>900</v>
      </c>
      <c r="N1030" s="44">
        <f t="shared" ca="1" si="293"/>
        <v>8</v>
      </c>
      <c r="O1030" s="94">
        <f t="shared" ca="1" si="294"/>
        <v>2.4908891993879614</v>
      </c>
      <c r="P1030" s="94">
        <f t="shared" ca="1" si="295"/>
        <v>24.908891993879614</v>
      </c>
      <c r="Q1030" s="94">
        <f t="shared" ca="1" si="296"/>
        <v>24.908891993879614</v>
      </c>
      <c r="R1030" s="94">
        <f t="shared" ca="1" si="297"/>
        <v>2.4908891993879614</v>
      </c>
      <c r="S1030" s="94">
        <f t="shared" ca="1" si="298"/>
        <v>2.4908891993879614</v>
      </c>
      <c r="T1030" s="4">
        <f t="shared" ca="1" si="299"/>
        <v>0</v>
      </c>
      <c r="U1030" s="46">
        <f t="shared" ca="1" si="300"/>
        <v>1453.6995798612329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337</v>
      </c>
      <c r="M1031" s="7">
        <f t="shared" ca="1" si="292"/>
        <v>663</v>
      </c>
      <c r="N1031" s="44">
        <f t="shared" ca="1" si="293"/>
        <v>6</v>
      </c>
      <c r="O1031" s="94">
        <f t="shared" ca="1" si="294"/>
        <v>1.9922775034029279</v>
      </c>
      <c r="P1031" s="94">
        <f t="shared" ca="1" si="295"/>
        <v>19.922775034029279</v>
      </c>
      <c r="Q1031" s="94">
        <f t="shared" ca="1" si="296"/>
        <v>19.922775034029279</v>
      </c>
      <c r="R1031" s="94">
        <f t="shared" ca="1" si="297"/>
        <v>1.9922775034029279</v>
      </c>
      <c r="S1031" s="94">
        <f t="shared" ca="1" si="298"/>
        <v>1.9922775034029279</v>
      </c>
      <c r="T1031" s="4">
        <f t="shared" ca="1" si="299"/>
        <v>0</v>
      </c>
      <c r="U1031" s="46">
        <f t="shared" ca="1" si="300"/>
        <v>1472.3253840141317</v>
      </c>
      <c r="V1031" s="4">
        <f t="shared" ca="1" si="301"/>
        <v>0</v>
      </c>
      <c r="W1031" s="13">
        <f t="shared" ca="1" si="302"/>
        <v>17758.072499999998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318</v>
      </c>
      <c r="M1032" s="7">
        <f t="shared" ca="1" si="292"/>
        <v>682</v>
      </c>
      <c r="N1032" s="44">
        <f t="shared" ca="1" si="293"/>
        <v>7</v>
      </c>
      <c r="O1032" s="94">
        <f t="shared" ca="1" si="294"/>
        <v>2.2444549919727916</v>
      </c>
      <c r="P1032" s="94">
        <f t="shared" ca="1" si="295"/>
        <v>20.679307499738869</v>
      </c>
      <c r="Q1032" s="94">
        <f t="shared" ca="1" si="296"/>
        <v>19.922775034029279</v>
      </c>
      <c r="R1032" s="94">
        <f t="shared" ca="1" si="297"/>
        <v>2.0301041266884075</v>
      </c>
      <c r="S1032" s="94">
        <f t="shared" ca="1" si="298"/>
        <v>2.2444549919727916</v>
      </c>
      <c r="T1032" s="4">
        <f t="shared" ca="1" si="299"/>
        <v>0</v>
      </c>
      <c r="U1032" s="46">
        <f t="shared" ca="1" si="300"/>
        <v>1563.7701584159711</v>
      </c>
      <c r="V1032" s="4">
        <f t="shared" ca="1" si="301"/>
        <v>0</v>
      </c>
      <c r="W1032" s="13">
        <f t="shared" ca="1" si="302"/>
        <v>15774.9375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299</v>
      </c>
      <c r="M1033" s="7">
        <f t="shared" ca="1" si="292"/>
        <v>701</v>
      </c>
      <c r="N1033" s="44">
        <f t="shared" ca="1" si="293"/>
        <v>7</v>
      </c>
      <c r="O1033" s="94">
        <f t="shared" ca="1" si="294"/>
        <v>2.2444549919727916</v>
      </c>
      <c r="P1033" s="94">
        <f t="shared" ca="1" si="295"/>
        <v>22.444549919727915</v>
      </c>
      <c r="Q1033" s="94">
        <f t="shared" ca="1" si="296"/>
        <v>22.444549919727915</v>
      </c>
      <c r="R1033" s="94">
        <f t="shared" ca="1" si="297"/>
        <v>2.2444549919727916</v>
      </c>
      <c r="S1033" s="94">
        <f t="shared" ca="1" si="298"/>
        <v>2.2444549919727916</v>
      </c>
      <c r="T1033" s="4">
        <f t="shared" ca="1" si="299"/>
        <v>0</v>
      </c>
      <c r="U1033" s="46">
        <f t="shared" ca="1" si="300"/>
        <v>1544.7701584159711</v>
      </c>
      <c r="V1033" s="4">
        <f t="shared" ca="1" si="301"/>
        <v>0</v>
      </c>
      <c r="W1033" s="13">
        <f t="shared" ca="1" si="302"/>
        <v>13791.802499999998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280</v>
      </c>
      <c r="M1034" s="7">
        <f t="shared" ca="1" si="292"/>
        <v>720</v>
      </c>
      <c r="N1034" s="44">
        <f t="shared" ca="1" si="293"/>
        <v>7</v>
      </c>
      <c r="O1034" s="94">
        <f t="shared" ca="1" si="294"/>
        <v>2.2444549919727916</v>
      </c>
      <c r="P1034" s="94">
        <f t="shared" ca="1" si="295"/>
        <v>22.444549919727915</v>
      </c>
      <c r="Q1034" s="94">
        <f t="shared" ca="1" si="296"/>
        <v>22.444549919727915</v>
      </c>
      <c r="R1034" s="94">
        <f t="shared" ca="1" si="297"/>
        <v>2.2444549919727916</v>
      </c>
      <c r="S1034" s="94">
        <f t="shared" ca="1" si="298"/>
        <v>2.2444549919727916</v>
      </c>
      <c r="T1034" s="4">
        <f t="shared" ca="1" si="299"/>
        <v>0</v>
      </c>
      <c r="U1034" s="46">
        <f t="shared" ca="1" si="300"/>
        <v>1525.7701584159711</v>
      </c>
      <c r="V1034" s="4">
        <f t="shared" ca="1" si="301"/>
        <v>0</v>
      </c>
      <c r="W1034" s="13">
        <f t="shared" ca="1" si="302"/>
        <v>11808.6675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261</v>
      </c>
      <c r="M1035" s="7">
        <f t="shared" ca="1" si="292"/>
        <v>739</v>
      </c>
      <c r="N1035" s="44">
        <f t="shared" ca="1" si="293"/>
        <v>7</v>
      </c>
      <c r="O1035" s="94">
        <f t="shared" ca="1" si="294"/>
        <v>2.2444549919727916</v>
      </c>
      <c r="P1035" s="94">
        <f t="shared" ca="1" si="295"/>
        <v>22.444549919727915</v>
      </c>
      <c r="Q1035" s="94">
        <f t="shared" ca="1" si="296"/>
        <v>22.444549919727915</v>
      </c>
      <c r="R1035" s="94">
        <f t="shared" ca="1" si="297"/>
        <v>2.2444549919727916</v>
      </c>
      <c r="S1035" s="94">
        <f t="shared" ca="1" si="298"/>
        <v>2.2444549919727916</v>
      </c>
      <c r="T1035" s="4">
        <f t="shared" ca="1" si="299"/>
        <v>0</v>
      </c>
      <c r="U1035" s="46">
        <f t="shared" ca="1" si="300"/>
        <v>1506.7701584159711</v>
      </c>
      <c r="V1035" s="4">
        <f t="shared" ca="1" si="301"/>
        <v>0</v>
      </c>
      <c r="W1035" s="13">
        <f t="shared" ca="1" si="302"/>
        <v>9825.5324999999993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2.2444549919727916</v>
      </c>
      <c r="P1036" s="94">
        <f t="shared" ca="1" si="295"/>
        <v>22.444549919727915</v>
      </c>
      <c r="Q1036" s="94">
        <f t="shared" ca="1" si="296"/>
        <v>22.444549919727915</v>
      </c>
      <c r="R1036" s="94">
        <f t="shared" ca="1" si="297"/>
        <v>2.2444549919727916</v>
      </c>
      <c r="S1036" s="94">
        <f t="shared" ca="1" si="298"/>
        <v>2.2444549919727916</v>
      </c>
      <c r="T1036" s="4">
        <f t="shared" ca="1" si="299"/>
        <v>0</v>
      </c>
      <c r="U1036" s="46">
        <f t="shared" ca="1" si="300"/>
        <v>1487.7701584159711</v>
      </c>
      <c r="V1036" s="4">
        <f t="shared" ca="1" si="301"/>
        <v>0</v>
      </c>
      <c r="W1036" s="13">
        <f t="shared" ca="1" si="302"/>
        <v>7842.3974999999991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223</v>
      </c>
      <c r="M1037" s="7">
        <f t="shared" ca="1" si="292"/>
        <v>777</v>
      </c>
      <c r="N1037" s="44">
        <f t="shared" ca="1" si="293"/>
        <v>7</v>
      </c>
      <c r="O1037" s="94">
        <f t="shared" ca="1" si="294"/>
        <v>2.2444549919727916</v>
      </c>
      <c r="P1037" s="94">
        <f t="shared" ca="1" si="295"/>
        <v>22.444549919727915</v>
      </c>
      <c r="Q1037" s="94">
        <f t="shared" ca="1" si="296"/>
        <v>22.444549919727915</v>
      </c>
      <c r="R1037" s="94">
        <f t="shared" ca="1" si="297"/>
        <v>2.2444549919727916</v>
      </c>
      <c r="S1037" s="94">
        <f t="shared" ca="1" si="298"/>
        <v>2.2444549919727916</v>
      </c>
      <c r="T1037" s="4">
        <f t="shared" ca="1" si="299"/>
        <v>0</v>
      </c>
      <c r="U1037" s="46">
        <f t="shared" ca="1" si="300"/>
        <v>1468.7701584159711</v>
      </c>
      <c r="V1037" s="4">
        <f t="shared" ca="1" si="301"/>
        <v>0</v>
      </c>
      <c r="W1037" s="13">
        <f t="shared" ca="1" si="302"/>
        <v>5859.2624999999998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204</v>
      </c>
      <c r="M1038" s="7">
        <f t="shared" ca="1" si="292"/>
        <v>796</v>
      </c>
      <c r="N1038" s="44">
        <f t="shared" ca="1" si="293"/>
        <v>8</v>
      </c>
      <c r="O1038" s="94">
        <f t="shared" ca="1" si="294"/>
        <v>2.4908891993879614</v>
      </c>
      <c r="P1038" s="94">
        <f t="shared" ca="1" si="295"/>
        <v>23.430286749388593</v>
      </c>
      <c r="Q1038" s="94">
        <f t="shared" ca="1" si="296"/>
        <v>22.444549919727915</v>
      </c>
      <c r="R1038" s="94">
        <f t="shared" ca="1" si="297"/>
        <v>2.2937418334558251</v>
      </c>
      <c r="S1038" s="94">
        <f t="shared" ca="1" si="298"/>
        <v>2.4908891993879614</v>
      </c>
      <c r="T1038" s="4">
        <f t="shared" ca="1" si="299"/>
        <v>0</v>
      </c>
      <c r="U1038" s="46">
        <f t="shared" ca="1" si="300"/>
        <v>1557.6995798612329</v>
      </c>
      <c r="V1038" s="4">
        <f t="shared" ca="1" si="301"/>
        <v>0</v>
      </c>
      <c r="W1038" s="13">
        <f t="shared" ca="1" si="302"/>
        <v>3876.1274999999996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235</v>
      </c>
      <c r="M1039" s="7">
        <f t="shared" ca="1" si="292"/>
        <v>765</v>
      </c>
      <c r="N1039" s="44">
        <f t="shared" ca="1" si="293"/>
        <v>7</v>
      </c>
      <c r="O1039" s="94">
        <f t="shared" ca="1" si="294"/>
        <v>2.2444549919727916</v>
      </c>
      <c r="P1039" s="94">
        <f t="shared" ca="1" si="295"/>
        <v>22.444549919727915</v>
      </c>
      <c r="Q1039" s="94">
        <f t="shared" ca="1" si="296"/>
        <v>22.444549919727915</v>
      </c>
      <c r="R1039" s="94">
        <f t="shared" ca="1" si="297"/>
        <v>2.2444549919727916</v>
      </c>
      <c r="S1039" s="94">
        <f t="shared" ca="1" si="298"/>
        <v>2.2444549919727916</v>
      </c>
      <c r="T1039" s="4">
        <f t="shared" ca="1" si="299"/>
        <v>0</v>
      </c>
      <c r="U1039" s="46">
        <f t="shared" ca="1" si="300"/>
        <v>1480.7701584159711</v>
      </c>
      <c r="V1039" s="4">
        <f t="shared" ca="1" si="301"/>
        <v>0</v>
      </c>
      <c r="W1039" s="13">
        <f t="shared" ca="1" si="302"/>
        <v>15865.08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216</v>
      </c>
      <c r="M1040" s="7">
        <f t="shared" ca="1" si="292"/>
        <v>784</v>
      </c>
      <c r="N1040" s="44">
        <f t="shared" ca="1" si="293"/>
        <v>7</v>
      </c>
      <c r="O1040" s="94">
        <f t="shared" ca="1" si="294"/>
        <v>2.2444549919727916</v>
      </c>
      <c r="P1040" s="94">
        <f t="shared" ca="1" si="295"/>
        <v>22.444549919727915</v>
      </c>
      <c r="Q1040" s="94">
        <f t="shared" ca="1" si="296"/>
        <v>22.444549919727915</v>
      </c>
      <c r="R1040" s="94">
        <f t="shared" ca="1" si="297"/>
        <v>2.2444549919727916</v>
      </c>
      <c r="S1040" s="94">
        <f t="shared" ca="1" si="298"/>
        <v>2.2444549919727916</v>
      </c>
      <c r="T1040" s="4">
        <f t="shared" ca="1" si="299"/>
        <v>0</v>
      </c>
      <c r="U1040" s="46">
        <f t="shared" ca="1" si="300"/>
        <v>1461.7701584159711</v>
      </c>
      <c r="V1040" s="4">
        <f t="shared" ca="1" si="301"/>
        <v>0</v>
      </c>
      <c r="W1040" s="13">
        <f t="shared" ca="1" si="302"/>
        <v>13881.945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197</v>
      </c>
      <c r="M1041" s="7">
        <f t="shared" ca="1" si="292"/>
        <v>803</v>
      </c>
      <c r="N1041" s="44">
        <f t="shared" ca="1" si="293"/>
        <v>8</v>
      </c>
      <c r="O1041" s="94">
        <f t="shared" ca="1" si="294"/>
        <v>2.4908891993879614</v>
      </c>
      <c r="P1041" s="94">
        <f t="shared" ca="1" si="295"/>
        <v>24.908891993879614</v>
      </c>
      <c r="Q1041" s="94">
        <f t="shared" ca="1" si="296"/>
        <v>22.690984127143082</v>
      </c>
      <c r="R1041" s="94">
        <f t="shared" ca="1" si="297"/>
        <v>2.379993806051135</v>
      </c>
      <c r="S1041" s="94">
        <f t="shared" ca="1" si="298"/>
        <v>2.4908891993879614</v>
      </c>
      <c r="T1041" s="4">
        <f t="shared" ca="1" si="299"/>
        <v>0</v>
      </c>
      <c r="U1041" s="46">
        <f t="shared" ca="1" si="300"/>
        <v>1550.6995798612329</v>
      </c>
      <c r="V1041" s="4">
        <f t="shared" ca="1" si="301"/>
        <v>0</v>
      </c>
      <c r="W1041" s="13">
        <f t="shared" ca="1" si="302"/>
        <v>11898.81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178</v>
      </c>
      <c r="M1042" s="7">
        <f t="shared" ca="1" si="292"/>
        <v>822</v>
      </c>
      <c r="N1042" s="44">
        <f t="shared" ca="1" si="293"/>
        <v>8</v>
      </c>
      <c r="O1042" s="94">
        <f t="shared" ca="1" si="294"/>
        <v>2.4908891993879614</v>
      </c>
      <c r="P1042" s="94">
        <f t="shared" ca="1" si="295"/>
        <v>24.908891993879614</v>
      </c>
      <c r="Q1042" s="94">
        <f t="shared" ca="1" si="296"/>
        <v>24.908891993879614</v>
      </c>
      <c r="R1042" s="94">
        <f t="shared" ca="1" si="297"/>
        <v>2.4908891993879614</v>
      </c>
      <c r="S1042" s="94">
        <f t="shared" ca="1" si="298"/>
        <v>2.4908891993879614</v>
      </c>
      <c r="T1042" s="4">
        <f t="shared" ca="1" si="299"/>
        <v>0</v>
      </c>
      <c r="U1042" s="46">
        <f t="shared" ca="1" si="300"/>
        <v>1531.6995798612329</v>
      </c>
      <c r="V1042" s="4">
        <f t="shared" ca="1" si="301"/>
        <v>0</v>
      </c>
      <c r="W1042" s="13">
        <f t="shared" ca="1" si="302"/>
        <v>9915.6749999999993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159</v>
      </c>
      <c r="M1043" s="7">
        <f t="shared" ca="1" si="292"/>
        <v>841</v>
      </c>
      <c r="N1043" s="44">
        <f t="shared" ca="1" si="293"/>
        <v>8</v>
      </c>
      <c r="O1043" s="94">
        <f t="shared" ca="1" si="294"/>
        <v>2.4908891993879614</v>
      </c>
      <c r="P1043" s="94">
        <f t="shared" ca="1" si="295"/>
        <v>24.908891993879614</v>
      </c>
      <c r="Q1043" s="94">
        <f t="shared" ca="1" si="296"/>
        <v>24.908891993879614</v>
      </c>
      <c r="R1043" s="94">
        <f t="shared" ca="1" si="297"/>
        <v>2.4908891993879614</v>
      </c>
      <c r="S1043" s="94">
        <f t="shared" ca="1" si="298"/>
        <v>2.4908891993879614</v>
      </c>
      <c r="T1043" s="4">
        <f t="shared" ca="1" si="299"/>
        <v>0</v>
      </c>
      <c r="U1043" s="46">
        <f t="shared" ca="1" si="300"/>
        <v>1512.6995798612329</v>
      </c>
      <c r="V1043" s="4">
        <f t="shared" ca="1" si="301"/>
        <v>0</v>
      </c>
      <c r="W1043" s="13">
        <f t="shared" ca="1" si="302"/>
        <v>7932.54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140</v>
      </c>
      <c r="M1044" s="7">
        <f t="shared" ca="1" si="292"/>
        <v>860</v>
      </c>
      <c r="N1044" s="44">
        <f t="shared" ca="1" si="293"/>
        <v>8</v>
      </c>
      <c r="O1044" s="94">
        <f t="shared" ca="1" si="294"/>
        <v>2.4908891993879614</v>
      </c>
      <c r="P1044" s="94">
        <f t="shared" ca="1" si="295"/>
        <v>24.908891993879614</v>
      </c>
      <c r="Q1044" s="94">
        <f t="shared" ca="1" si="296"/>
        <v>24.908891993879614</v>
      </c>
      <c r="R1044" s="94">
        <f t="shared" ca="1" si="297"/>
        <v>2.4908891993879614</v>
      </c>
      <c r="S1044" s="94">
        <f t="shared" ca="1" si="298"/>
        <v>2.4908891993879614</v>
      </c>
      <c r="T1044" s="4">
        <f t="shared" ca="1" si="299"/>
        <v>0</v>
      </c>
      <c r="U1044" s="46">
        <f t="shared" ca="1" si="300"/>
        <v>1493.6995798612329</v>
      </c>
      <c r="V1044" s="4">
        <f t="shared" ca="1" si="301"/>
        <v>0</v>
      </c>
      <c r="W1044" s="13">
        <f t="shared" ca="1" si="302"/>
        <v>5949.4049999999997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2.4908891993879614</v>
      </c>
      <c r="P1045" s="94">
        <f t="shared" ca="1" si="295"/>
        <v>24.908891993879614</v>
      </c>
      <c r="Q1045" s="94">
        <f t="shared" ca="1" si="296"/>
        <v>24.908891993879614</v>
      </c>
      <c r="R1045" s="94">
        <f t="shared" ca="1" si="297"/>
        <v>2.4908891993879614</v>
      </c>
      <c r="S1045" s="94">
        <f t="shared" ca="1" si="298"/>
        <v>2.4908891993879614</v>
      </c>
      <c r="T1045" s="4">
        <f t="shared" ca="1" si="299"/>
        <v>0</v>
      </c>
      <c r="U1045" s="46">
        <f t="shared" ca="1" si="300"/>
        <v>1474.6995798612329</v>
      </c>
      <c r="V1045" s="4">
        <f t="shared" ca="1" si="301"/>
        <v>0</v>
      </c>
      <c r="W1045" s="13">
        <f t="shared" ca="1" si="302"/>
        <v>3966.27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102</v>
      </c>
      <c r="M1046" s="7">
        <f t="shared" ca="1" si="292"/>
        <v>898</v>
      </c>
      <c r="N1046" s="44">
        <f t="shared" ca="1" si="293"/>
        <v>8</v>
      </c>
      <c r="O1046" s="94">
        <f t="shared" ca="1" si="294"/>
        <v>2.4908891993879614</v>
      </c>
      <c r="P1046" s="94">
        <f t="shared" ca="1" si="295"/>
        <v>24.908891993879614</v>
      </c>
      <c r="Q1046" s="94">
        <f t="shared" ca="1" si="296"/>
        <v>24.908891993879614</v>
      </c>
      <c r="R1046" s="94">
        <f t="shared" ca="1" si="297"/>
        <v>2.4908891993879614</v>
      </c>
      <c r="S1046" s="94">
        <f t="shared" ca="1" si="298"/>
        <v>2.4908891993879614</v>
      </c>
      <c r="T1046" s="4">
        <f t="shared" ca="1" si="299"/>
        <v>0</v>
      </c>
      <c r="U1046" s="46">
        <f t="shared" ca="1" si="300"/>
        <v>1455.6995798612329</v>
      </c>
      <c r="V1046" s="4">
        <f t="shared" ca="1" si="301"/>
        <v>0</v>
      </c>
      <c r="W1046" s="13">
        <f t="shared" ca="1" si="302"/>
        <v>1983.135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235</v>
      </c>
      <c r="M1047" s="7">
        <f t="shared" ca="1" si="292"/>
        <v>765</v>
      </c>
      <c r="N1047" s="44">
        <f t="shared" ca="1" si="293"/>
        <v>7</v>
      </c>
      <c r="O1047" s="94">
        <f t="shared" ca="1" si="294"/>
        <v>2.2444549919727916</v>
      </c>
      <c r="P1047" s="94">
        <f t="shared" ca="1" si="295"/>
        <v>22.444549919727915</v>
      </c>
      <c r="Q1047" s="94">
        <f t="shared" ca="1" si="296"/>
        <v>22.444549919727915</v>
      </c>
      <c r="R1047" s="94">
        <f t="shared" ca="1" si="297"/>
        <v>2.2444549919727916</v>
      </c>
      <c r="S1047" s="94">
        <f t="shared" ca="1" si="298"/>
        <v>2.2444549919727916</v>
      </c>
      <c r="T1047" s="4">
        <f t="shared" ca="1" si="299"/>
        <v>0</v>
      </c>
      <c r="U1047" s="46">
        <f t="shared" ca="1" si="300"/>
        <v>1480.7701584159711</v>
      </c>
      <c r="V1047" s="4">
        <f t="shared" ca="1" si="301"/>
        <v>0</v>
      </c>
      <c r="W1047" s="13">
        <f t="shared" ca="1" si="302"/>
        <v>15774.9375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216</v>
      </c>
      <c r="M1048" s="7">
        <f t="shared" ca="1" si="292"/>
        <v>784</v>
      </c>
      <c r="N1048" s="44">
        <f t="shared" ca="1" si="293"/>
        <v>7</v>
      </c>
      <c r="O1048" s="94">
        <f t="shared" ca="1" si="294"/>
        <v>2.2444549919727916</v>
      </c>
      <c r="P1048" s="94">
        <f t="shared" ca="1" si="295"/>
        <v>22.444549919727915</v>
      </c>
      <c r="Q1048" s="94">
        <f t="shared" ca="1" si="296"/>
        <v>22.444549919727915</v>
      </c>
      <c r="R1048" s="94">
        <f t="shared" ca="1" si="297"/>
        <v>2.2444549919727916</v>
      </c>
      <c r="S1048" s="94">
        <f t="shared" ca="1" si="298"/>
        <v>2.2444549919727916</v>
      </c>
      <c r="T1048" s="4">
        <f t="shared" ca="1" si="299"/>
        <v>0</v>
      </c>
      <c r="U1048" s="46">
        <f t="shared" ca="1" si="300"/>
        <v>1461.7701584159711</v>
      </c>
      <c r="V1048" s="4">
        <f t="shared" ca="1" si="301"/>
        <v>0</v>
      </c>
      <c r="W1048" s="13">
        <f t="shared" ca="1" si="302"/>
        <v>13791.8025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197</v>
      </c>
      <c r="M1049" s="7">
        <f t="shared" ca="1" si="292"/>
        <v>803</v>
      </c>
      <c r="N1049" s="44">
        <f t="shared" ca="1" si="293"/>
        <v>8</v>
      </c>
      <c r="O1049" s="94">
        <f t="shared" ca="1" si="294"/>
        <v>2.4908891993879614</v>
      </c>
      <c r="P1049" s="94">
        <f t="shared" ca="1" si="295"/>
        <v>24.908891993879614</v>
      </c>
      <c r="Q1049" s="94">
        <f t="shared" ca="1" si="296"/>
        <v>22.690984127143082</v>
      </c>
      <c r="R1049" s="94">
        <f t="shared" ca="1" si="297"/>
        <v>2.379993806051135</v>
      </c>
      <c r="S1049" s="94">
        <f t="shared" ca="1" si="298"/>
        <v>2.4908891993879614</v>
      </c>
      <c r="T1049" s="4">
        <f t="shared" ca="1" si="299"/>
        <v>0</v>
      </c>
      <c r="U1049" s="46">
        <f t="shared" ca="1" si="300"/>
        <v>1550.6995798612329</v>
      </c>
      <c r="V1049" s="4">
        <f t="shared" ca="1" si="301"/>
        <v>0</v>
      </c>
      <c r="W1049" s="13">
        <f t="shared" ca="1" si="302"/>
        <v>11808.6675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178</v>
      </c>
      <c r="M1050" s="7">
        <f t="shared" ca="1" si="292"/>
        <v>822</v>
      </c>
      <c r="N1050" s="44">
        <f t="shared" ca="1" si="293"/>
        <v>8</v>
      </c>
      <c r="O1050" s="94">
        <f t="shared" ca="1" si="294"/>
        <v>2.4908891993879614</v>
      </c>
      <c r="P1050" s="94">
        <f t="shared" ca="1" si="295"/>
        <v>24.908891993879614</v>
      </c>
      <c r="Q1050" s="94">
        <f t="shared" ca="1" si="296"/>
        <v>24.908891993879614</v>
      </c>
      <c r="R1050" s="94">
        <f t="shared" ca="1" si="297"/>
        <v>2.4908891993879614</v>
      </c>
      <c r="S1050" s="94">
        <f t="shared" ca="1" si="298"/>
        <v>2.4908891993879614</v>
      </c>
      <c r="T1050" s="4">
        <f t="shared" ca="1" si="299"/>
        <v>0</v>
      </c>
      <c r="U1050" s="46">
        <f t="shared" ca="1" si="300"/>
        <v>1531.6995798612329</v>
      </c>
      <c r="V1050" s="4">
        <f t="shared" ca="1" si="301"/>
        <v>0</v>
      </c>
      <c r="W1050" s="13">
        <f t="shared" ca="1" si="302"/>
        <v>9825.5324999999993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159</v>
      </c>
      <c r="M1051" s="7">
        <f t="shared" ca="1" si="292"/>
        <v>841</v>
      </c>
      <c r="N1051" s="44">
        <f t="shared" ca="1" si="293"/>
        <v>8</v>
      </c>
      <c r="O1051" s="94">
        <f t="shared" ca="1" si="294"/>
        <v>2.4908891993879614</v>
      </c>
      <c r="P1051" s="94">
        <f t="shared" ca="1" si="295"/>
        <v>24.908891993879614</v>
      </c>
      <c r="Q1051" s="94">
        <f t="shared" ca="1" si="296"/>
        <v>24.908891993879614</v>
      </c>
      <c r="R1051" s="94">
        <f t="shared" ca="1" si="297"/>
        <v>2.4908891993879614</v>
      </c>
      <c r="S1051" s="94">
        <f t="shared" ca="1" si="298"/>
        <v>2.4908891993879614</v>
      </c>
      <c r="T1051" s="4">
        <f t="shared" ca="1" si="299"/>
        <v>0</v>
      </c>
      <c r="U1051" s="46">
        <f t="shared" ca="1" si="300"/>
        <v>1512.6995798612329</v>
      </c>
      <c r="V1051" s="4">
        <f t="shared" ca="1" si="301"/>
        <v>0</v>
      </c>
      <c r="W1051" s="13">
        <f t="shared" ca="1" si="302"/>
        <v>7842.3974999999991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140</v>
      </c>
      <c r="M1052" s="7">
        <f t="shared" ca="1" si="292"/>
        <v>860</v>
      </c>
      <c r="N1052" s="44">
        <f t="shared" ca="1" si="293"/>
        <v>8</v>
      </c>
      <c r="O1052" s="94">
        <f t="shared" ca="1" si="294"/>
        <v>2.4908891993879614</v>
      </c>
      <c r="P1052" s="94">
        <f t="shared" ca="1" si="295"/>
        <v>24.908891993879614</v>
      </c>
      <c r="Q1052" s="94">
        <f t="shared" ca="1" si="296"/>
        <v>24.908891993879614</v>
      </c>
      <c r="R1052" s="94">
        <f t="shared" ca="1" si="297"/>
        <v>2.4908891993879614</v>
      </c>
      <c r="S1052" s="94">
        <f t="shared" ca="1" si="298"/>
        <v>2.4908891993879614</v>
      </c>
      <c r="T1052" s="4">
        <f t="shared" ca="1" si="299"/>
        <v>0</v>
      </c>
      <c r="U1052" s="46">
        <f t="shared" ca="1" si="300"/>
        <v>1493.6995798612329</v>
      </c>
      <c r="V1052" s="4">
        <f t="shared" ca="1" si="301"/>
        <v>0</v>
      </c>
      <c r="W1052" s="13">
        <f t="shared" ca="1" si="302"/>
        <v>5859.2624999999998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2.4908891993879614</v>
      </c>
      <c r="P1053" s="94">
        <f t="shared" ca="1" si="295"/>
        <v>24.908891993879614</v>
      </c>
      <c r="Q1053" s="94">
        <f t="shared" ca="1" si="296"/>
        <v>24.908891993879614</v>
      </c>
      <c r="R1053" s="94">
        <f t="shared" ca="1" si="297"/>
        <v>2.4908891993879614</v>
      </c>
      <c r="S1053" s="94">
        <f t="shared" ca="1" si="298"/>
        <v>2.4908891993879614</v>
      </c>
      <c r="T1053" s="4">
        <f t="shared" ca="1" si="299"/>
        <v>0</v>
      </c>
      <c r="U1053" s="46">
        <f t="shared" ca="1" si="300"/>
        <v>1474.6995798612329</v>
      </c>
      <c r="V1053" s="4">
        <f t="shared" ca="1" si="301"/>
        <v>0</v>
      </c>
      <c r="W1053" s="13">
        <f t="shared" ca="1" si="302"/>
        <v>3876.1274999999996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102</v>
      </c>
      <c r="M1054" s="7">
        <f t="shared" ca="1" si="292"/>
        <v>898</v>
      </c>
      <c r="N1054" s="44">
        <f t="shared" ca="1" si="293"/>
        <v>8</v>
      </c>
      <c r="O1054" s="94">
        <f t="shared" ca="1" si="294"/>
        <v>2.4908891993879614</v>
      </c>
      <c r="P1054" s="94">
        <f t="shared" ca="1" si="295"/>
        <v>24.908891993879614</v>
      </c>
      <c r="Q1054" s="94">
        <f t="shared" ca="1" si="296"/>
        <v>24.908891993879614</v>
      </c>
      <c r="R1054" s="94">
        <f t="shared" ca="1" si="297"/>
        <v>2.4908891993879614</v>
      </c>
      <c r="S1054" s="94">
        <f t="shared" ca="1" si="298"/>
        <v>2.4908891993879614</v>
      </c>
      <c r="T1054" s="4">
        <f t="shared" ca="1" si="299"/>
        <v>0</v>
      </c>
      <c r="U1054" s="46">
        <f t="shared" ca="1" si="300"/>
        <v>1455.6995798612329</v>
      </c>
      <c r="V1054" s="4">
        <f t="shared" ca="1" si="301"/>
        <v>0</v>
      </c>
      <c r="W1054" s="13">
        <f t="shared" ca="1" si="302"/>
        <v>1892.9924999999998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133</v>
      </c>
      <c r="M1055" s="7">
        <f t="shared" ca="1" si="292"/>
        <v>867</v>
      </c>
      <c r="N1055" s="44">
        <f t="shared" ca="1" si="293"/>
        <v>8</v>
      </c>
      <c r="O1055" s="94">
        <f t="shared" ca="1" si="294"/>
        <v>2.4908891993879614</v>
      </c>
      <c r="P1055" s="94">
        <f t="shared" ca="1" si="295"/>
        <v>24.908891993879614</v>
      </c>
      <c r="Q1055" s="94">
        <f t="shared" ca="1" si="296"/>
        <v>24.908891993879614</v>
      </c>
      <c r="R1055" s="94">
        <f t="shared" ca="1" si="297"/>
        <v>2.4908891993879614</v>
      </c>
      <c r="S1055" s="94">
        <f t="shared" ca="1" si="298"/>
        <v>2.4908891993879614</v>
      </c>
      <c r="T1055" s="4">
        <f t="shared" ca="1" si="299"/>
        <v>0</v>
      </c>
      <c r="U1055" s="46">
        <f t="shared" ca="1" si="300"/>
        <v>1486.6995798612329</v>
      </c>
      <c r="V1055" s="4">
        <f t="shared" ca="1" si="301"/>
        <v>0</v>
      </c>
      <c r="W1055" s="13">
        <f t="shared" ca="1" si="302"/>
        <v>13881.945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114</v>
      </c>
      <c r="M1056" s="7">
        <f t="shared" ca="1" si="292"/>
        <v>886</v>
      </c>
      <c r="N1056" s="44">
        <f t="shared" ca="1" si="293"/>
        <v>8</v>
      </c>
      <c r="O1056" s="94">
        <f t="shared" ca="1" si="294"/>
        <v>2.4908891993879614</v>
      </c>
      <c r="P1056" s="94">
        <f t="shared" ca="1" si="295"/>
        <v>24.908891993879614</v>
      </c>
      <c r="Q1056" s="94">
        <f t="shared" ca="1" si="296"/>
        <v>24.908891993879614</v>
      </c>
      <c r="R1056" s="94">
        <f t="shared" ca="1" si="297"/>
        <v>2.4908891993879614</v>
      </c>
      <c r="S1056" s="94">
        <f t="shared" ca="1" si="298"/>
        <v>2.4908891993879614</v>
      </c>
      <c r="T1056" s="4">
        <f t="shared" ca="1" si="299"/>
        <v>0</v>
      </c>
      <c r="U1056" s="46">
        <f t="shared" ca="1" si="300"/>
        <v>1467.6995798612329</v>
      </c>
      <c r="V1056" s="4">
        <f t="shared" ca="1" si="301"/>
        <v>0</v>
      </c>
      <c r="W1056" s="13">
        <f t="shared" ca="1" si="302"/>
        <v>11898.81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2.4908891993879614</v>
      </c>
      <c r="P1057" s="94">
        <f t="shared" ca="1" si="295"/>
        <v>24.908891993879614</v>
      </c>
      <c r="Q1057" s="94">
        <f t="shared" ca="1" si="296"/>
        <v>24.908891993879614</v>
      </c>
      <c r="R1057" s="94">
        <f t="shared" ca="1" si="297"/>
        <v>2.4908891993879614</v>
      </c>
      <c r="S1057" s="94">
        <f t="shared" ca="1" si="298"/>
        <v>2.4908891993879614</v>
      </c>
      <c r="T1057" s="4">
        <f t="shared" ca="1" si="299"/>
        <v>0</v>
      </c>
      <c r="U1057" s="46">
        <f t="shared" ca="1" si="300"/>
        <v>1453.6995798612329</v>
      </c>
      <c r="V1057" s="4">
        <f t="shared" ca="1" si="301"/>
        <v>0</v>
      </c>
      <c r="W1057" s="13">
        <f t="shared" ca="1" si="302"/>
        <v>9915.6749999999993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100</v>
      </c>
      <c r="M1058" s="7">
        <f t="shared" ca="1" si="292"/>
        <v>900</v>
      </c>
      <c r="N1058" s="44">
        <f t="shared" ca="1" si="293"/>
        <v>8</v>
      </c>
      <c r="O1058" s="94">
        <f t="shared" ca="1" si="294"/>
        <v>2.4908891993879614</v>
      </c>
      <c r="P1058" s="94">
        <f t="shared" ca="1" si="295"/>
        <v>24.908891993879614</v>
      </c>
      <c r="Q1058" s="94">
        <f t="shared" ca="1" si="296"/>
        <v>24.908891993879614</v>
      </c>
      <c r="R1058" s="94">
        <f t="shared" ca="1" si="297"/>
        <v>2.4908891993879614</v>
      </c>
      <c r="S1058" s="94">
        <f t="shared" ca="1" si="298"/>
        <v>2.4908891993879614</v>
      </c>
      <c r="T1058" s="4">
        <f t="shared" ca="1" si="299"/>
        <v>0</v>
      </c>
      <c r="U1058" s="46">
        <f t="shared" ca="1" si="300"/>
        <v>1453.6995798612329</v>
      </c>
      <c r="V1058" s="4">
        <f t="shared" ca="1" si="301"/>
        <v>0</v>
      </c>
      <c r="W1058" s="13">
        <f t="shared" ca="1" si="302"/>
        <v>7932.54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100</v>
      </c>
      <c r="M1059" s="7">
        <f t="shared" ca="1" si="292"/>
        <v>900</v>
      </c>
      <c r="N1059" s="44">
        <f t="shared" ca="1" si="293"/>
        <v>8</v>
      </c>
      <c r="O1059" s="94">
        <f t="shared" ca="1" si="294"/>
        <v>2.4908891993879614</v>
      </c>
      <c r="P1059" s="94">
        <f t="shared" ca="1" si="295"/>
        <v>24.908891993879614</v>
      </c>
      <c r="Q1059" s="94">
        <f t="shared" ca="1" si="296"/>
        <v>24.908891993879614</v>
      </c>
      <c r="R1059" s="94">
        <f t="shared" ca="1" si="297"/>
        <v>2.4908891993879614</v>
      </c>
      <c r="S1059" s="94">
        <f t="shared" ca="1" si="298"/>
        <v>2.4908891993879614</v>
      </c>
      <c r="T1059" s="4">
        <f t="shared" ca="1" si="299"/>
        <v>0</v>
      </c>
      <c r="U1059" s="46">
        <f t="shared" ca="1" si="300"/>
        <v>1453.6995798612329</v>
      </c>
      <c r="V1059" s="4">
        <f t="shared" ca="1" si="301"/>
        <v>0</v>
      </c>
      <c r="W1059" s="13">
        <f t="shared" ca="1" si="302"/>
        <v>5949.4049999999997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100</v>
      </c>
      <c r="M1060" s="7">
        <f t="shared" ca="1" si="292"/>
        <v>900</v>
      </c>
      <c r="N1060" s="44">
        <f t="shared" ca="1" si="293"/>
        <v>8</v>
      </c>
      <c r="O1060" s="94">
        <f t="shared" ca="1" si="294"/>
        <v>2.4908891993879614</v>
      </c>
      <c r="P1060" s="94">
        <f t="shared" ca="1" si="295"/>
        <v>24.908891993879614</v>
      </c>
      <c r="Q1060" s="94">
        <f t="shared" ca="1" si="296"/>
        <v>24.908891993879614</v>
      </c>
      <c r="R1060" s="94">
        <f t="shared" ca="1" si="297"/>
        <v>2.4908891993879614</v>
      </c>
      <c r="S1060" s="94">
        <f t="shared" ca="1" si="298"/>
        <v>2.4908891993879614</v>
      </c>
      <c r="T1060" s="4">
        <f t="shared" ca="1" si="299"/>
        <v>0</v>
      </c>
      <c r="U1060" s="46">
        <f t="shared" ca="1" si="300"/>
        <v>1453.6995798612329</v>
      </c>
      <c r="V1060" s="4">
        <f t="shared" ca="1" si="301"/>
        <v>0</v>
      </c>
      <c r="W1060" s="13">
        <f t="shared" ca="1" si="302"/>
        <v>3966.27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100</v>
      </c>
      <c r="M1061" s="7">
        <f t="shared" ca="1" si="292"/>
        <v>900</v>
      </c>
      <c r="N1061" s="44">
        <f t="shared" ca="1" si="293"/>
        <v>8</v>
      </c>
      <c r="O1061" s="94">
        <f t="shared" ca="1" si="294"/>
        <v>2.4908891993879614</v>
      </c>
      <c r="P1061" s="94">
        <f t="shared" ca="1" si="295"/>
        <v>24.908891993879614</v>
      </c>
      <c r="Q1061" s="94">
        <f t="shared" ca="1" si="296"/>
        <v>24.908891993879614</v>
      </c>
      <c r="R1061" s="94">
        <f t="shared" ca="1" si="297"/>
        <v>2.4908891993879614</v>
      </c>
      <c r="S1061" s="94">
        <f t="shared" ca="1" si="298"/>
        <v>2.4908891993879614</v>
      </c>
      <c r="T1061" s="4">
        <f t="shared" ca="1" si="299"/>
        <v>0</v>
      </c>
      <c r="U1061" s="46">
        <f t="shared" ca="1" si="300"/>
        <v>1453.6995798612329</v>
      </c>
      <c r="V1061" s="4">
        <f t="shared" ca="1" si="301"/>
        <v>0</v>
      </c>
      <c r="W1061" s="13">
        <f t="shared" ca="1" si="302"/>
        <v>1983.135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100</v>
      </c>
      <c r="M1062" s="7">
        <f t="shared" ca="1" si="292"/>
        <v>900</v>
      </c>
      <c r="N1062" s="44">
        <f t="shared" ca="1" si="293"/>
        <v>8</v>
      </c>
      <c r="O1062" s="94">
        <f t="shared" ca="1" si="294"/>
        <v>2.4908891993879614</v>
      </c>
      <c r="P1062" s="94">
        <f t="shared" ca="1" si="295"/>
        <v>24.908891993879614</v>
      </c>
      <c r="Q1062" s="94">
        <f t="shared" ca="1" si="296"/>
        <v>24.908891993879614</v>
      </c>
      <c r="R1062" s="94">
        <f t="shared" ca="1" si="297"/>
        <v>2.4908891993879614</v>
      </c>
      <c r="S1062" s="94">
        <f t="shared" ca="1" si="298"/>
        <v>2.4908891993879614</v>
      </c>
      <c r="T1062" s="4">
        <f t="shared" ca="1" si="299"/>
        <v>0</v>
      </c>
      <c r="U1062" s="46">
        <f t="shared" ca="1" si="300"/>
        <v>1453.6995798612329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350</v>
      </c>
      <c r="K1064" s="40">
        <f ca="1">SUM(K551:K1062)</f>
        <v>0.99999999999999956</v>
      </c>
      <c r="O1064" s="44"/>
      <c r="P1064" s="44"/>
      <c r="Q1064" s="44"/>
      <c r="R1064" s="44"/>
      <c r="S1064" s="44" t="s">
        <v>351</v>
      </c>
      <c r="T1064" s="4">
        <f ca="1">SUM(T551:T1062)</f>
        <v>2.2538593060817962</v>
      </c>
      <c r="U1064" t="s">
        <v>171</v>
      </c>
      <c r="V1064" s="4">
        <f ca="1">SUM(V551:V1062)</f>
        <v>1542.6740568157047</v>
      </c>
      <c r="W1064" t="s">
        <v>352</v>
      </c>
      <c r="X1064" s="4">
        <f ca="1">SUM(X551:X1062)</f>
        <v>13663.284693550815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>
    <tabColor indexed="52"/>
  </sheetPr>
  <dimension ref="A1:U113"/>
  <sheetViews>
    <sheetView topLeftCell="A28" workbookViewId="0">
      <selection activeCell="F59" sqref="F59"/>
    </sheetView>
  </sheetViews>
  <sheetFormatPr defaultRowHeight="12.75"/>
  <cols>
    <col min="1" max="1" width="13.42578125" customWidth="1"/>
    <col min="5" max="5" width="9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161</v>
      </c>
    </row>
    <row r="2" spans="1:21">
      <c r="Q2" t="s">
        <v>161</v>
      </c>
      <c r="T2" t="s">
        <v>163</v>
      </c>
    </row>
    <row r="3" spans="1:21">
      <c r="A3" t="s">
        <v>51</v>
      </c>
      <c r="B3" s="5">
        <f ca="1">Data!B108</f>
        <v>0.99</v>
      </c>
      <c r="D3" s="44" t="s">
        <v>150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Data!B220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162</v>
      </c>
      <c r="B5" s="2">
        <f ca="1">Data!B221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324</v>
      </c>
      <c r="B6" s="2">
        <f ca="1">Data!B222</f>
        <v>0.02</v>
      </c>
      <c r="D6">
        <v>1</v>
      </c>
      <c r="E6" s="16">
        <f ca="1">(1-B6)*(1-B5)*(1-B4)*(1-B8)*(1-B24)*(1-B7)</f>
        <v>0.43315999999999988</v>
      </c>
      <c r="F6" s="40">
        <f t="shared" ca="1" si="0"/>
        <v>4.3316000000000023E-3</v>
      </c>
      <c r="G6" s="40">
        <f t="shared" ca="1" si="0"/>
        <v>0.42882839999999989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396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0.20383999999999997</v>
      </c>
      <c r="F7" s="40">
        <f t="shared" ca="1" si="0"/>
        <v>2.0384000000000034E-5</v>
      </c>
      <c r="G7" s="40">
        <f t="shared" ca="1" si="0"/>
        <v>4.0360320000000028E-3</v>
      </c>
      <c r="H7" s="40">
        <f t="shared" ca="1" si="0"/>
        <v>0.19978358399999996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397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0.34300000000000003</v>
      </c>
      <c r="F8" s="40">
        <f t="shared" ca="1" si="0"/>
        <v>3.4300000000000094E-7</v>
      </c>
      <c r="G8" s="40">
        <f t="shared" ca="1" si="0"/>
        <v>1.0187100000000019E-4</v>
      </c>
      <c r="H8" s="40">
        <f t="shared" ca="1" si="0"/>
        <v>1.0085229000000008E-2</v>
      </c>
      <c r="I8" s="40">
        <f t="shared" ca="1" si="0"/>
        <v>0.33281255700000001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398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0.02</v>
      </c>
      <c r="F9" s="40">
        <f t="shared" ca="1" si="0"/>
        <v>2.0000000000000073E-10</v>
      </c>
      <c r="G9" s="40">
        <f t="shared" ca="1" si="0"/>
        <v>7.9200000000000206E-8</v>
      </c>
      <c r="H9" s="40">
        <f t="shared" ca="1" si="0"/>
        <v>1.176120000000002E-5</v>
      </c>
      <c r="I9" s="40">
        <f t="shared" ca="1" si="0"/>
        <v>7.7623920000000068E-4</v>
      </c>
      <c r="J9" s="40">
        <f t="shared" ca="1" si="0"/>
        <v>1.92119202E-2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399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400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401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402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t="shared" ref="R13:R44" ca="1" si="1">(1+R12*$F$38+R11*$G$38+R10*$H$38+R9*$I$38+R8*$J$38+R7*$K$38+R6*$L$38+R5*$M$38)/(1-$E$38)</f>
        <v>1.0000139420598915</v>
      </c>
      <c r="T13">
        <v>1</v>
      </c>
      <c r="U13" s="3">
        <f t="shared" ref="U13:U44" ca="1" si="2">(1+U12*$F$80+U11*$G$80+U10*$H$80+U9*$I$80+U8*$J$80+U7*$K$80+U6*$L$80+U5*$M$80)/(1-$E$80)</f>
        <v>1.0000172976347441</v>
      </c>
    </row>
    <row r="14" spans="1:21">
      <c r="A14" t="s">
        <v>403</v>
      </c>
      <c r="B14" s="2">
        <f ca="1">IF(ISBLANK(Gear!$B$3), 0, VLOOKUP(Gear!$B$3, INDIRECT(Gear!$A$3), MATCH(A14, StatHeader, 0), 0))</f>
        <v>0</v>
      </c>
      <c r="E14" s="2">
        <f ca="1">SUM(E5:E13)</f>
        <v>0.99999999999999978</v>
      </c>
      <c r="O14" s="40"/>
      <c r="P14" s="40"/>
      <c r="Q14">
        <v>2</v>
      </c>
      <c r="R14" s="3">
        <f t="shared" ca="1" si="1"/>
        <v>1.0027928739576513</v>
      </c>
      <c r="T14">
        <v>2</v>
      </c>
      <c r="U14" s="3">
        <f t="shared" ca="1" si="2"/>
        <v>1.0034652952771259</v>
      </c>
    </row>
    <row r="15" spans="1:21">
      <c r="A15" t="s">
        <v>404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4.3523272000000023E-3</v>
      </c>
      <c r="G15" s="48">
        <f t="shared" ca="1" si="3"/>
        <v>0.43296638219999989</v>
      </c>
      <c r="H15" s="48">
        <f t="shared" ca="1" si="3"/>
        <v>0.20988057419999995</v>
      </c>
      <c r="I15" s="48">
        <f t="shared" ca="1" si="3"/>
        <v>0.33358879620000004</v>
      </c>
      <c r="J15" s="48">
        <f t="shared" ca="1" si="3"/>
        <v>1.92119202E-2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1"/>
        <v>1.143114581882313</v>
      </c>
      <c r="T15">
        <v>3</v>
      </c>
      <c r="U15" s="3">
        <f t="shared" ca="1" si="2"/>
        <v>1.1775981117630125</v>
      </c>
    </row>
    <row r="16" spans="1:21">
      <c r="A16" t="s">
        <v>405</v>
      </c>
      <c r="B16" s="2">
        <f ca="1">IF(ISBLANK(Gear!$B$4), 0, VLOOKUP(Gear!$B$4, INDIRECT(Gear!$A$4), MATCH("OAx", StatHeader, 0), 0))</f>
        <v>0</v>
      </c>
      <c r="E16" s="31" t="s">
        <v>654</v>
      </c>
      <c r="F16" s="48">
        <f ca="1">B27*(1-B28) + (1-B27)</f>
        <v>0.73599999999999999</v>
      </c>
      <c r="G16" s="48">
        <f ca="1">B27*B28</f>
        <v>0.26400000000000001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1"/>
        <v>1.3297709768147579</v>
      </c>
      <c r="T16">
        <v>4</v>
      </c>
      <c r="U16" s="3">
        <f t="shared" ca="1" si="2"/>
        <v>1.4099585975365905</v>
      </c>
    </row>
    <row r="17" spans="1:21">
      <c r="A17" t="s">
        <v>398</v>
      </c>
      <c r="B17" s="2">
        <f ca="1">IF(ISBLANK(Gear!$B$4), 0, VLOOKUP(Gear!$B$4, INDIRECT(Gear!$A$4), MATCH(A17, StatHeader, 0), 0))</f>
        <v>0</v>
      </c>
      <c r="E17" s="31" t="s">
        <v>7</v>
      </c>
      <c r="F17" s="158">
        <f ca="1">F15*F16</f>
        <v>3.2033128192000015E-3</v>
      </c>
      <c r="G17" s="158">
        <f ca="1">G15*F16+F15*G16</f>
        <v>0.31981227167999993</v>
      </c>
      <c r="H17" s="158">
        <f ca="1">H15*F16+G15*G16</f>
        <v>0.26877522751199995</v>
      </c>
      <c r="I17" s="158">
        <f ca="1">I15*F16+H15*G16</f>
        <v>0.30092982559199999</v>
      </c>
      <c r="J17" s="158">
        <f ca="1">J15*F16+I15*G16</f>
        <v>0.10220741546400001</v>
      </c>
      <c r="K17" s="158">
        <f ca="1">K15*F16+J15*G16</f>
        <v>5.0719469328000004E-3</v>
      </c>
      <c r="L17" s="158">
        <f ca="1">L15*F16+K15*G16</f>
        <v>0</v>
      </c>
      <c r="M17" s="158">
        <f ca="1">M15*F16+L15*G16</f>
        <v>0</v>
      </c>
      <c r="N17" s="158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t="shared" ca="1" si="1"/>
        <v>1.6443985942896013</v>
      </c>
      <c r="T17">
        <v>5</v>
      </c>
      <c r="U17" s="3">
        <f t="shared" ca="1" si="2"/>
        <v>1.7253556484187966</v>
      </c>
    </row>
    <row r="18" spans="1:21">
      <c r="A18" t="s">
        <v>399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</f>
        <v>2.1943416</v>
      </c>
      <c r="Q18">
        <v>6</v>
      </c>
      <c r="R18" s="3">
        <f t="shared" ca="1" si="1"/>
        <v>1.9016059785372181</v>
      </c>
      <c r="T18">
        <v>6</v>
      </c>
      <c r="U18" s="3">
        <f t="shared" ca="1" si="2"/>
        <v>1.9922775034029279</v>
      </c>
    </row>
    <row r="19" spans="1:21">
      <c r="A19" t="s">
        <v>400</v>
      </c>
      <c r="B19" s="2">
        <f ca="1">IF(ISBLANK(Gear!$B$4), 0, VLOOKUP(Gear!$B$4, INDIRECT(Gear!$A$4), MATCH(A19, StatHeader, 0), 0))</f>
        <v>0</v>
      </c>
      <c r="Q19">
        <v>7</v>
      </c>
      <c r="R19" s="3">
        <f t="shared" ca="1" si="1"/>
        <v>2.1521680420265392</v>
      </c>
      <c r="T19">
        <v>7</v>
      </c>
      <c r="U19" s="3">
        <f t="shared" ca="1" si="2"/>
        <v>2.2444549919727916</v>
      </c>
    </row>
    <row r="20" spans="1:21">
      <c r="A20" t="s">
        <v>401</v>
      </c>
      <c r="B20" s="2">
        <f ca="1">IF(ISBLANK(Gear!$B$4), 0, VLOOKUP(Gear!$B$4, INDIRECT(Gear!$A$4), MATCH(A20, StatHeader, 0), 0))</f>
        <v>0</v>
      </c>
      <c r="D20" s="44" t="s">
        <v>148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1"/>
        <v>2.3721134347108093</v>
      </c>
      <c r="T20">
        <v>8</v>
      </c>
      <c r="U20" s="3">
        <f t="shared" ca="1" si="2"/>
        <v>2.4908891993879614</v>
      </c>
    </row>
    <row r="21" spans="1:21">
      <c r="A21" t="s">
        <v>402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1"/>
        <v>2.6080912058901573</v>
      </c>
      <c r="T21">
        <v>9</v>
      </c>
      <c r="U21" s="3">
        <f t="shared" ca="1" si="2"/>
        <v>2.7488692629973457</v>
      </c>
    </row>
    <row r="22" spans="1:21">
      <c r="A22" t="s">
        <v>403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POWER($B$3, F$21) * POWER((1-$B$3),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1"/>
        <v>2.855590707781452</v>
      </c>
      <c r="T22">
        <v>10</v>
      </c>
      <c r="U22" s="3">
        <f t="shared" ca="1" si="2"/>
        <v>3.0111013982186758</v>
      </c>
    </row>
    <row r="23" spans="1:21">
      <c r="A23" t="s">
        <v>404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0.43315999999999988</v>
      </c>
      <c r="F23" s="40">
        <f t="shared" ca="1" si="4"/>
        <v>4.3316000000000023E-3</v>
      </c>
      <c r="G23" s="40">
        <f t="shared" ca="1" si="4"/>
        <v>0.42882839999999989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1"/>
        <v>3.1050047702295851</v>
      </c>
      <c r="T23">
        <v>11</v>
      </c>
      <c r="U23" s="3">
        <f t="shared" ca="1" si="2"/>
        <v>3.2707720272849339</v>
      </c>
    </row>
    <row r="24" spans="1:21">
      <c r="A24" t="s">
        <v>455</v>
      </c>
      <c r="B24" s="2">
        <f ca="1">IF(Setup!B$26=1,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0.20383999999999997</v>
      </c>
      <c r="F24" s="40">
        <f t="shared" ca="1" si="4"/>
        <v>2.0384000000000034E-5</v>
      </c>
      <c r="G24" s="40">
        <f t="shared" ca="1" si="4"/>
        <v>4.0360320000000028E-3</v>
      </c>
      <c r="H24" s="40">
        <f t="shared" ca="1" si="4"/>
        <v>0.19978358399999996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1"/>
        <v>3.3466665553541435</v>
      </c>
      <c r="T24">
        <v>12</v>
      </c>
      <c r="U24" s="3">
        <f t="shared" ca="1" si="2"/>
        <v>3.5275093028540931</v>
      </c>
    </row>
    <row r="25" spans="1:21">
      <c r="A25" t="s">
        <v>456</v>
      </c>
      <c r="B25" s="2">
        <f ca="1">IF(Setup!B$26=1,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0.34300000000000003</v>
      </c>
      <c r="F25" s="40">
        <f t="shared" ca="1" si="4"/>
        <v>3.4300000000000094E-7</v>
      </c>
      <c r="G25" s="40">
        <f t="shared" ca="1" si="4"/>
        <v>1.0187100000000019E-4</v>
      </c>
      <c r="H25" s="40">
        <f t="shared" ca="1" si="4"/>
        <v>1.0085229000000008E-2</v>
      </c>
      <c r="I25" s="40">
        <f t="shared" ca="1" si="4"/>
        <v>0.33281255700000001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1"/>
        <v>3.5864771835818701</v>
      </c>
      <c r="T25">
        <v>13</v>
      </c>
      <c r="U25" s="3">
        <f t="shared" ca="1" si="2"/>
        <v>3.7845264730644694</v>
      </c>
    </row>
    <row r="26" spans="1:21">
      <c r="A26" t="s">
        <v>457</v>
      </c>
      <c r="B26" s="2">
        <f ca="1">IF(Setup!B$26=1,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0.02</v>
      </c>
      <c r="F26" s="40">
        <f t="shared" ca="1" si="4"/>
        <v>2.0000000000000073E-10</v>
      </c>
      <c r="G26" s="40">
        <f t="shared" ca="1" si="4"/>
        <v>7.9200000000000206E-8</v>
      </c>
      <c r="H26" s="40">
        <f t="shared" ca="1" si="4"/>
        <v>1.176120000000002E-5</v>
      </c>
      <c r="I26" s="40">
        <f t="shared" ca="1" si="4"/>
        <v>7.7623920000000068E-4</v>
      </c>
      <c r="J26" s="40">
        <f t="shared" ca="1" si="4"/>
        <v>1.92119202E-2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1"/>
        <v>3.8277522330554166</v>
      </c>
      <c r="T26" s="20">
        <v>14</v>
      </c>
      <c r="U26" s="3">
        <f t="shared" ca="1" si="2"/>
        <v>4.0426791192144691</v>
      </c>
    </row>
    <row r="27" spans="1:21">
      <c r="A27" s="31" t="s">
        <v>654</v>
      </c>
      <c r="B27" s="89">
        <f ca="1">IF(Data!G25&gt;0, Data!B223, 0)</f>
        <v>0.4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1"/>
        <v>4.071027981909249</v>
      </c>
      <c r="T27">
        <v>15</v>
      </c>
      <c r="U27" s="3">
        <f t="shared" ca="1" si="2"/>
        <v>4.3011266104513268</v>
      </c>
    </row>
    <row r="28" spans="1:21">
      <c r="A28" s="31" t="s">
        <v>676</v>
      </c>
      <c r="B28" s="89">
        <f ca="1">Data!B201</f>
        <v>0.66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1"/>
        <v>4.3143115037512478</v>
      </c>
      <c r="T28">
        <v>16</v>
      </c>
      <c r="U28" s="3">
        <f t="shared" ca="1" si="2"/>
        <v>4.5592328447761208</v>
      </c>
    </row>
    <row r="29" spans="1:21"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1"/>
        <v>4.5568075814611557</v>
      </c>
      <c r="T29">
        <v>17</v>
      </c>
      <c r="U29" s="3">
        <f t="shared" ca="1" si="2"/>
        <v>4.8171081731841978</v>
      </c>
    </row>
    <row r="30" spans="1:21"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1"/>
        <v>4.7988486362639131</v>
      </c>
      <c r="T30">
        <v>18</v>
      </c>
      <c r="U30" s="3">
        <f t="shared" ca="1" si="2"/>
        <v>5.0750347827177356</v>
      </c>
    </row>
    <row r="31" spans="1:21">
      <c r="E31" s="2">
        <f ca="1">SUM(E22:E30)</f>
        <v>0.99999999999999978</v>
      </c>
      <c r="O31" s="44"/>
      <c r="Q31">
        <v>19</v>
      </c>
      <c r="R31" s="3">
        <f t="shared" ca="1" si="1"/>
        <v>5.0411156434790927</v>
      </c>
      <c r="T31">
        <v>19</v>
      </c>
      <c r="U31" s="3">
        <f t="shared" ca="1" si="2"/>
        <v>5.3330712116847234</v>
      </c>
    </row>
    <row r="32" spans="1:21">
      <c r="E32" t="s">
        <v>46</v>
      </c>
      <c r="F32" s="48">
        <f t="shared" ref="F32:N32" ca="1" si="5">SUM(F22:F30)</f>
        <v>4.3523272000000023E-3</v>
      </c>
      <c r="G32" s="48">
        <f t="shared" ca="1" si="5"/>
        <v>0.43296638219999989</v>
      </c>
      <c r="H32" s="48">
        <f t="shared" ca="1" si="5"/>
        <v>0.20988057419999995</v>
      </c>
      <c r="I32" s="48">
        <f t="shared" ca="1" si="5"/>
        <v>0.33358879620000004</v>
      </c>
      <c r="J32" s="48">
        <f t="shared" ca="1" si="5"/>
        <v>1.92119202E-2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1"/>
        <v>5.2836662955866167</v>
      </c>
      <c r="T32">
        <v>20</v>
      </c>
      <c r="U32" s="3">
        <f t="shared" ca="1" si="2"/>
        <v>5.5911250328782778</v>
      </c>
    </row>
    <row r="33" spans="1:21">
      <c r="E33" t="s">
        <v>47</v>
      </c>
      <c r="F33" s="19">
        <f ca="1">F21*F32+G21*G32+H21*H32+I21*I32+J32*J21+K32*K21+L32*L21+M32*M21+N32*N21</f>
        <v>1.9303416</v>
      </c>
      <c r="I33" s="44"/>
      <c r="J33" s="44"/>
      <c r="K33" s="40"/>
      <c r="O33" s="40"/>
      <c r="P33" s="1"/>
      <c r="Q33">
        <v>21</v>
      </c>
      <c r="R33" s="3">
        <f t="shared" ca="1" si="1"/>
        <v>5.5262465113956827</v>
      </c>
      <c r="T33">
        <v>21</v>
      </c>
      <c r="U33" s="3">
        <f t="shared" ca="1" si="2"/>
        <v>5.8491414858247737</v>
      </c>
    </row>
    <row r="34" spans="1:21">
      <c r="K34" s="40"/>
      <c r="O34" s="44"/>
      <c r="Q34">
        <v>22</v>
      </c>
      <c r="R34" s="3">
        <f t="shared" ca="1" si="1"/>
        <v>5.7687032471768811</v>
      </c>
      <c r="T34">
        <v>22</v>
      </c>
      <c r="U34" s="3">
        <f t="shared" ca="1" si="2"/>
        <v>6.107138384680308</v>
      </c>
    </row>
    <row r="35" spans="1:21">
      <c r="Q35">
        <v>23</v>
      </c>
      <c r="R35" s="3">
        <f t="shared" ca="1" si="1"/>
        <v>6.0110965274858783</v>
      </c>
      <c r="T35">
        <v>23</v>
      </c>
      <c r="U35" s="3">
        <f t="shared" ca="1" si="2"/>
        <v>6.3651432980097269</v>
      </c>
    </row>
    <row r="36" spans="1:21">
      <c r="D36" s="44" t="s">
        <v>167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1"/>
        <v>6.2535160877995786</v>
      </c>
      <c r="T36">
        <v>24</v>
      </c>
      <c r="U36" s="3">
        <f t="shared" ca="1" si="2"/>
        <v>6.6231585923988803</v>
      </c>
    </row>
    <row r="37" spans="1:21">
      <c r="D37" s="44" t="s">
        <v>169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1"/>
        <v>6.4959778111684718</v>
      </c>
      <c r="T37">
        <v>25</v>
      </c>
      <c r="U37" s="3">
        <f t="shared" ca="1" si="2"/>
        <v>6.8811742968065035</v>
      </c>
    </row>
    <row r="38" spans="1:21">
      <c r="D38" s="44" t="s">
        <v>168</v>
      </c>
      <c r="E38" s="40">
        <f ca="1">F17*F32</f>
        <v>1.3941865513112856E-5</v>
      </c>
      <c r="F38" s="40">
        <f ca="1">F17*G32+G17*F32</f>
        <v>2.778854411310561E-3</v>
      </c>
      <c r="G38" s="40">
        <f ca="1">F17*H32+G17*G32+H17*F32</f>
        <v>0.14031007311967564</v>
      </c>
      <c r="H38" s="40">
        <f ca="1">F17*I32+G17*H32+H17*G32+I17*F32</f>
        <v>0.18587135542968153</v>
      </c>
      <c r="I38" s="40">
        <f ca="1">F17*J32+G17*I32+H17*H32+I17*G32+J17*F32</f>
        <v>0.29389536958794166</v>
      </c>
      <c r="J38" s="40">
        <f ca="1">F17*K32+G17*J32+H17*I32+I17*H32+J17*G32+K17*F32</f>
        <v>0.20323838670581384</v>
      </c>
      <c r="K38" s="40">
        <f ca="1">F17*L32+G17*K32+H17*J32+I17*I32+J17*H32+K17*G32+L17*F32</f>
        <v>0.12919784004189569</v>
      </c>
      <c r="L38" s="1">
        <f ca="1">F17*M32+G17*L32+H17*K32+I17*J32+J17*I32+K17*H32+L17*G32+M17*F32</f>
        <v>4.0941191616990447E-2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3.7529872211772373E-3</v>
      </c>
      <c r="N38" s="40">
        <f ca="1">SUM(E38:M38)</f>
        <v>0.99999999999999978</v>
      </c>
      <c r="Q38">
        <v>26</v>
      </c>
      <c r="R38" s="3">
        <f t="shared" ca="1" si="1"/>
        <v>6.738445452223484</v>
      </c>
      <c r="T38">
        <v>26</v>
      </c>
      <c r="U38" s="3">
        <f t="shared" ca="1" si="2"/>
        <v>7.1391860757559984</v>
      </c>
    </row>
    <row r="39" spans="1:21">
      <c r="D39" s="24" t="s">
        <v>47</v>
      </c>
      <c r="E39" s="3">
        <f ca="1">E37*E38+F37*F38+G37*G38+H37*H38+I37*I38+J37*J38+K37*K38+L37*L38+M37*M38</f>
        <v>4.1245857581602667</v>
      </c>
      <c r="Q39">
        <v>27</v>
      </c>
      <c r="R39" s="3">
        <f t="shared" ca="1" si="1"/>
        <v>6.9808964452639097</v>
      </c>
      <c r="T39">
        <v>27</v>
      </c>
      <c r="U39" s="3">
        <f t="shared" ca="1" si="2"/>
        <v>7.3971963480959317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1"/>
        <v>7.2233372076343159</v>
      </c>
      <c r="T40">
        <v>28</v>
      </c>
      <c r="U40" s="3">
        <f t="shared" ca="1" si="2"/>
        <v>7.6552076440421244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1"/>
        <v>7.4657812955209515</v>
      </c>
      <c r="T41">
        <v>29</v>
      </c>
      <c r="U41" s="3">
        <f t="shared" ca="1" si="2"/>
        <v>7.9132198820421333</v>
      </c>
    </row>
    <row r="42" spans="1:21">
      <c r="A42" t="s">
        <v>163</v>
      </c>
      <c r="Q42">
        <v>30</v>
      </c>
      <c r="R42" s="3">
        <f t="shared" ca="1" si="1"/>
        <v>7.7082315051690644</v>
      </c>
      <c r="T42">
        <v>30</v>
      </c>
      <c r="U42" s="3">
        <f t="shared" ca="1" si="2"/>
        <v>8.1712320408173689</v>
      </c>
    </row>
    <row r="43" spans="1:21">
      <c r="Q43">
        <v>31</v>
      </c>
      <c r="R43" s="3">
        <f t="shared" ca="1" si="1"/>
        <v>7.9506828919493655</v>
      </c>
      <c r="T43">
        <v>31</v>
      </c>
      <c r="U43" s="3">
        <f t="shared" ca="1" si="2"/>
        <v>8.4292438027892143</v>
      </c>
    </row>
    <row r="44" spans="1:21">
      <c r="A44" t="s">
        <v>51</v>
      </c>
      <c r="B44" s="5">
        <f ca="1">Data!C108</f>
        <v>0.99</v>
      </c>
      <c r="D44" s="44" t="s">
        <v>150</v>
      </c>
      <c r="E44" s="44"/>
      <c r="F44" s="44"/>
      <c r="G44" s="44"/>
      <c r="H44" s="44"/>
      <c r="I44" s="44"/>
      <c r="Q44">
        <v>32</v>
      </c>
      <c r="R44" s="3">
        <f t="shared" ca="1" si="1"/>
        <v>8.1931319581557371</v>
      </c>
      <c r="T44">
        <v>32</v>
      </c>
      <c r="U44" s="3">
        <f t="shared" ca="1" si="2"/>
        <v>8.6872554601088705</v>
      </c>
    </row>
    <row r="45" spans="1:21">
      <c r="A45" t="s">
        <v>43</v>
      </c>
      <c r="B45" s="2">
        <f ca="1">Data!C220</f>
        <v>0.32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8.4355794686314454</v>
      </c>
      <c r="T45">
        <v>33</v>
      </c>
      <c r="U45" s="3">
        <f t="shared" ref="U45:U76" ca="1" si="7">(1+U44*$F$80+U43*$G$80+U42*$H$80+U41*$I$80+U40*$J$80+U39*$K$80+U38*$L$80+U37*$M$80)/(1-$E$80)</f>
        <v>8.9452672372797792</v>
      </c>
    </row>
    <row r="46" spans="1:21">
      <c r="A46" t="s">
        <v>162</v>
      </c>
      <c r="B46" s="2">
        <f ca="1">Data!C221</f>
        <v>0.27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8.6780273618534753</v>
      </c>
      <c r="T46">
        <v>34</v>
      </c>
      <c r="U46" s="3">
        <f t="shared" ca="1" si="7"/>
        <v>9.2032790965032483</v>
      </c>
    </row>
    <row r="47" spans="1:21">
      <c r="A47" t="s">
        <v>324</v>
      </c>
      <c r="B47" s="2">
        <f ca="1">Data!C222</f>
        <v>0.02</v>
      </c>
      <c r="D47">
        <v>1</v>
      </c>
      <c r="E47" s="16">
        <f ca="1">(1-B47)*(1-B46)*(1-B45)*(1-B49)*(1-B65)*(1-B48)</f>
        <v>0.4864719999999999</v>
      </c>
      <c r="F47" s="40">
        <f t="shared" ca="1" si="8"/>
        <v>4.8647200000000038E-3</v>
      </c>
      <c r="G47" s="40">
        <f t="shared" ca="1" si="8"/>
        <v>0.48160727999999992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8.9204761449831391</v>
      </c>
      <c r="T47">
        <v>35</v>
      </c>
      <c r="U47" s="3">
        <f t="shared" ca="1" si="7"/>
        <v>9.4612909367957663</v>
      </c>
    </row>
    <row r="48" spans="1:21">
      <c r="A48" t="s">
        <v>396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0.22892799999999999</v>
      </c>
      <c r="F48" s="40">
        <f t="shared" ca="1" si="8"/>
        <v>2.2892800000000039E-5</v>
      </c>
      <c r="G48" s="40">
        <f t="shared" ca="1" si="8"/>
        <v>4.5327744000000043E-3</v>
      </c>
      <c r="H48" s="40">
        <f t="shared" ca="1" si="8"/>
        <v>0.22437233279999999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9.1629251410319927</v>
      </c>
      <c r="T48">
        <v>36</v>
      </c>
      <c r="U48" s="3">
        <f t="shared" ca="1" si="7"/>
        <v>9.7193027384246822</v>
      </c>
    </row>
    <row r="49" spans="1:21">
      <c r="A49" t="s">
        <v>397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0.2646</v>
      </c>
      <c r="F49" s="40">
        <f t="shared" ca="1" si="8"/>
        <v>2.6460000000000071E-7</v>
      </c>
      <c r="G49" s="40">
        <f t="shared" ca="1" si="8"/>
        <v>7.8586200000000146E-5</v>
      </c>
      <c r="H49" s="40">
        <f t="shared" ca="1" si="8"/>
        <v>7.7800338000000059E-3</v>
      </c>
      <c r="I49" s="40">
        <f t="shared" ca="1" si="8"/>
        <v>0.2567411154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9.4053738200167007</v>
      </c>
      <c r="T49">
        <v>37</v>
      </c>
      <c r="U49" s="3">
        <f t="shared" ca="1" si="7"/>
        <v>9.9773145342462772</v>
      </c>
    </row>
    <row r="50" spans="1:21">
      <c r="A50" t="s">
        <v>398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0.02</v>
      </c>
      <c r="F50" s="40">
        <f t="shared" ca="1" si="8"/>
        <v>2.0000000000000073E-10</v>
      </c>
      <c r="G50" s="40">
        <f t="shared" ca="1" si="8"/>
        <v>7.9200000000000206E-8</v>
      </c>
      <c r="H50" s="40">
        <f t="shared" ca="1" si="8"/>
        <v>1.176120000000002E-5</v>
      </c>
      <c r="I50" s="40">
        <f t="shared" ca="1" si="8"/>
        <v>7.7623920000000068E-4</v>
      </c>
      <c r="J50" s="40">
        <f t="shared" ca="1" si="8"/>
        <v>1.92119202E-2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9.6478222610581934</v>
      </c>
      <c r="T50">
        <v>38</v>
      </c>
      <c r="U50" s="3">
        <f t="shared" ca="1" si="7"/>
        <v>10.235326343247396</v>
      </c>
    </row>
    <row r="51" spans="1:21">
      <c r="A51" t="s">
        <v>399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9.8902707442694862</v>
      </c>
      <c r="T51">
        <v>39</v>
      </c>
      <c r="U51" s="3">
        <f t="shared" ca="1" si="7"/>
        <v>10.493338159037416</v>
      </c>
    </row>
    <row r="52" spans="1:21">
      <c r="A52" t="s">
        <v>400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10.132719355767581</v>
      </c>
      <c r="T52">
        <v>40</v>
      </c>
      <c r="U52" s="3">
        <f t="shared" ca="1" si="7"/>
        <v>10.751349971980611</v>
      </c>
    </row>
    <row r="53" spans="1:21">
      <c r="A53" t="s">
        <v>401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10.375168004207968</v>
      </c>
      <c r="T53">
        <v>41</v>
      </c>
      <c r="U53" s="3">
        <f t="shared" ca="1" si="7"/>
        <v>11.009361781286337</v>
      </c>
    </row>
    <row r="54" spans="1:21">
      <c r="A54" t="s">
        <v>402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10.617616609597505</v>
      </c>
      <c r="T54">
        <v>42</v>
      </c>
      <c r="U54" s="3">
        <f t="shared" ca="1" si="7"/>
        <v>11.267373590464011</v>
      </c>
    </row>
    <row r="55" spans="1:21">
      <c r="A55" t="s">
        <v>403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10.860065179022415</v>
      </c>
      <c r="T55">
        <v>43</v>
      </c>
      <c r="U55" s="3">
        <f t="shared" ca="1" si="7"/>
        <v>11.525385401024765</v>
      </c>
    </row>
    <row r="56" spans="1:21">
      <c r="A56" t="s">
        <v>404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4.8878776000000042E-3</v>
      </c>
      <c r="G56" s="48">
        <f t="shared" ca="1" si="9"/>
        <v>0.48621871979999992</v>
      </c>
      <c r="H56" s="48">
        <f t="shared" ca="1" si="9"/>
        <v>0.23216412779999998</v>
      </c>
      <c r="I56" s="48">
        <f t="shared" ca="1" si="9"/>
        <v>0.25751735460000003</v>
      </c>
      <c r="J56" s="48">
        <f t="shared" ca="1" si="9"/>
        <v>1.92119202E-2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11.102513752523253</v>
      </c>
      <c r="T56">
        <v>44</v>
      </c>
      <c r="U56" s="3">
        <f t="shared" ca="1" si="7"/>
        <v>11.783397212109074</v>
      </c>
    </row>
    <row r="57" spans="1:21">
      <c r="A57" t="s">
        <v>405</v>
      </c>
      <c r="B57" s="2">
        <f ca="1">IF(ISBLANK(Gear!$Z$4), 0, VLOOKUP(Gear!$Z$4, INDIRECT(Gear!$Y$4), MATCH("OAx", StatHeader, 0), 0))</f>
        <v>0</v>
      </c>
      <c r="E57" s="31" t="s">
        <v>654</v>
      </c>
      <c r="F57" s="48">
        <f ca="1">B68*(1-B69) + (1-B68)</f>
        <v>0.72399999999999998</v>
      </c>
      <c r="G57" s="48">
        <f ca="1">B68*B69</f>
        <v>0.27599999999999997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11.344962344434158</v>
      </c>
      <c r="T57">
        <v>45</v>
      </c>
      <c r="U57" s="3">
        <f t="shared" ca="1" si="7"/>
        <v>12.041409022830011</v>
      </c>
    </row>
    <row r="58" spans="1:21">
      <c r="A58" t="s">
        <v>398</v>
      </c>
      <c r="B58" s="2">
        <f ca="1">IF(ISBLANK(Gear!$Z$4), 0, VLOOKUP(Gear!$Z$4, INDIRECT(Gear!$Y$4), MATCH(A58, StatHeader, 0), 0))</f>
        <v>0</v>
      </c>
      <c r="E58" s="31" t="s">
        <v>7</v>
      </c>
      <c r="F58" s="158">
        <f ca="1">F56*F57</f>
        <v>3.5388233824000031E-3</v>
      </c>
      <c r="G58" s="158">
        <f ca="1">G56*F57+F56*G57</f>
        <v>0.35337140735279993</v>
      </c>
      <c r="H58" s="158">
        <f ca="1">H56*F57+G56*G57</f>
        <v>0.30228319519199992</v>
      </c>
      <c r="I58" s="158">
        <f ca="1">I56*F57+H56*G57</f>
        <v>0.25051986400320003</v>
      </c>
      <c r="J58" s="158">
        <f ca="1">J56*F57+I56*G57</f>
        <v>8.4984220094400001E-2</v>
      </c>
      <c r="K58" s="158">
        <f ca="1">K56*F57+J56*G57</f>
        <v>5.3024899751999994E-3</v>
      </c>
      <c r="L58" s="158">
        <f ca="1">L56*F57+K56*G57</f>
        <v>0</v>
      </c>
      <c r="M58" s="158">
        <f ca="1">M56*F57+L56*G57</f>
        <v>0</v>
      </c>
      <c r="N58" s="158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11.587410942546919</v>
      </c>
      <c r="T58">
        <v>46</v>
      </c>
      <c r="U58" s="3">
        <f t="shared" ca="1" si="7"/>
        <v>12.299420833221205</v>
      </c>
    </row>
    <row r="59" spans="1:21">
      <c r="A59" t="s">
        <v>399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</f>
        <v>2.0759467199999997</v>
      </c>
      <c r="G59" s="40"/>
      <c r="H59" s="40"/>
      <c r="I59" s="40"/>
      <c r="O59" s="44"/>
      <c r="P59" s="44"/>
      <c r="Q59">
        <v>47</v>
      </c>
      <c r="R59" s="3">
        <f t="shared" ca="1" si="6"/>
        <v>11.829859534881468</v>
      </c>
      <c r="T59">
        <v>47</v>
      </c>
      <c r="U59" s="3">
        <f t="shared" ca="1" si="7"/>
        <v>12.5574326436421</v>
      </c>
    </row>
    <row r="60" spans="1:21">
      <c r="A60" t="s">
        <v>400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12.072308121812316</v>
      </c>
      <c r="T60">
        <v>48</v>
      </c>
      <c r="U60" s="3">
        <f t="shared" ca="1" si="7"/>
        <v>12.815444454202508</v>
      </c>
    </row>
    <row r="61" spans="1:21">
      <c r="A61" t="s">
        <v>401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12.314756709038718</v>
      </c>
      <c r="T61">
        <v>49</v>
      </c>
      <c r="U61" s="3">
        <f t="shared" ca="1" si="7"/>
        <v>13.073456264799013</v>
      </c>
    </row>
    <row r="62" spans="1:21">
      <c r="A62" t="s">
        <v>402</v>
      </c>
      <c r="B62" s="2">
        <f ca="1">IF(ISBLANK(Gear!$Z$4), 0, VLOOKUP(Gear!$Z$4, INDIRECT(Gear!$Y$4), MATCH(A62, StatHeader, 0), 0))</f>
        <v>0</v>
      </c>
      <c r="D62" s="44" t="s">
        <v>148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12.557205298890707</v>
      </c>
      <c r="T62">
        <v>50</v>
      </c>
      <c r="U62" s="3">
        <f t="shared" ca="1" si="7"/>
        <v>13.331468075353142</v>
      </c>
    </row>
    <row r="63" spans="1:21">
      <c r="A63" t="s">
        <v>403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12.799653889759787</v>
      </c>
      <c r="T63">
        <v>51</v>
      </c>
      <c r="U63" s="3">
        <f t="shared" ca="1" si="7"/>
        <v>13.589479885878607</v>
      </c>
    </row>
    <row r="64" spans="1:21">
      <c r="A64" t="s">
        <v>404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t="shared" ref="F64:N72" ca="1" si="10">IF($D64&gt;=F$63, POWER($B$44, F$63) * POWER((1-$B$44), $D64-F$63) * COMBIN($D64,F$63) * $E64, 0)</f>
        <v>0</v>
      </c>
      <c r="G64" s="40">
        <f t="shared" si="10"/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13.042102479862827</v>
      </c>
      <c r="T64">
        <v>52</v>
      </c>
      <c r="U64" s="3">
        <f t="shared" ca="1" si="7"/>
        <v>13.847491696410886</v>
      </c>
    </row>
    <row r="65" spans="1:21">
      <c r="A65" t="s">
        <v>455</v>
      </c>
      <c r="B65" s="2">
        <f ca="1">IF(Setup!C$26=1,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0.4864719999999999</v>
      </c>
      <c r="F65" s="40">
        <f t="shared" ca="1" si="10"/>
        <v>4.8647200000000038E-3</v>
      </c>
      <c r="G65" s="40">
        <f t="shared" ca="1" si="10"/>
        <v>0.48160727999999992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13.284551069159551</v>
      </c>
      <c r="T65">
        <v>53</v>
      </c>
      <c r="U65" s="3">
        <f t="shared" ca="1" si="7"/>
        <v>14.10550350695674</v>
      </c>
    </row>
    <row r="66" spans="1:21">
      <c r="A66" t="s">
        <v>456</v>
      </c>
      <c r="B66" s="2">
        <f ca="1">IF(Setup!C$26=1,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0.22892799999999999</v>
      </c>
      <c r="F66" s="40">
        <f t="shared" ca="1" si="10"/>
        <v>2.2892800000000039E-5</v>
      </c>
      <c r="G66" s="40">
        <f t="shared" ca="1" si="10"/>
        <v>4.5327744000000043E-3</v>
      </c>
      <c r="H66" s="40">
        <f t="shared" ca="1" si="10"/>
        <v>0.22437233279999999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13.526999658455876</v>
      </c>
      <c r="T66">
        <v>54</v>
      </c>
      <c r="U66" s="3">
        <f t="shared" ca="1" si="7"/>
        <v>14.36351531750457</v>
      </c>
    </row>
    <row r="67" spans="1:21">
      <c r="A67" t="s">
        <v>457</v>
      </c>
      <c r="B67" s="2">
        <f ca="1">IF(Setup!C$26=1,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0.2646</v>
      </c>
      <c r="F67" s="40">
        <f t="shared" ca="1" si="10"/>
        <v>2.6460000000000071E-7</v>
      </c>
      <c r="G67" s="40">
        <f t="shared" ca="1" si="10"/>
        <v>7.8586200000000146E-5</v>
      </c>
      <c r="H67" s="40">
        <f t="shared" ca="1" si="10"/>
        <v>7.7800338000000059E-3</v>
      </c>
      <c r="I67" s="40">
        <f t="shared" ca="1" si="10"/>
        <v>0.2567411154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13.769448248124498</v>
      </c>
      <c r="T67">
        <v>55</v>
      </c>
      <c r="U67" s="3">
        <f t="shared" ca="1" si="7"/>
        <v>14.621527128047751</v>
      </c>
    </row>
    <row r="68" spans="1:21">
      <c r="A68" s="31" t="s">
        <v>654</v>
      </c>
      <c r="B68" s="89">
        <f ca="1">IF(Data!H25&gt;0, Data!C223, 0)</f>
        <v>0.4</v>
      </c>
      <c r="D68">
        <v>4</v>
      </c>
      <c r="E68" s="16">
        <f ca="1">IF(E62=1, (1-B47)*(1-B46)*(1-B45)*(B57)*(B60) + (B47), 0)</f>
        <v>0.02</v>
      </c>
      <c r="F68" s="40">
        <f t="shared" ca="1" si="10"/>
        <v>2.0000000000000073E-10</v>
      </c>
      <c r="G68" s="40">
        <f t="shared" ca="1" si="10"/>
        <v>7.9200000000000206E-8</v>
      </c>
      <c r="H68" s="40">
        <f t="shared" ca="1" si="10"/>
        <v>1.176120000000002E-5</v>
      </c>
      <c r="I68" s="40">
        <f t="shared" ca="1" si="10"/>
        <v>7.7623920000000068E-4</v>
      </c>
      <c r="J68" s="40">
        <f t="shared" ca="1" si="10"/>
        <v>1.92119202E-2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14.011896837956835</v>
      </c>
      <c r="T68">
        <v>56</v>
      </c>
      <c r="U68" s="3">
        <f t="shared" ca="1" si="7"/>
        <v>14.879538938588563</v>
      </c>
    </row>
    <row r="69" spans="1:21">
      <c r="A69" s="31" t="s">
        <v>676</v>
      </c>
      <c r="B69" s="89">
        <f ca="1">Data!C201</f>
        <v>0.69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14.254345427689145</v>
      </c>
      <c r="T69">
        <v>57</v>
      </c>
      <c r="U69" s="3">
        <f t="shared" ca="1" si="7"/>
        <v>15.137550749130389</v>
      </c>
    </row>
    <row r="70" spans="1:21"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14.496794017301875</v>
      </c>
      <c r="T70">
        <v>58</v>
      </c>
      <c r="U70" s="3">
        <f t="shared" ca="1" si="7"/>
        <v>15.395562559673497</v>
      </c>
    </row>
    <row r="71" spans="1:21"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14.739242606908283</v>
      </c>
      <c r="T71">
        <v>59</v>
      </c>
      <c r="U71" s="3">
        <f t="shared" ca="1" si="7"/>
        <v>15.653574370216635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14.981691196567152</v>
      </c>
      <c r="T72">
        <v>60</v>
      </c>
      <c r="U72" s="3">
        <f t="shared" ca="1" si="7"/>
        <v>15.911586180759286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15.224139786251982</v>
      </c>
      <c r="T73">
        <v>61</v>
      </c>
      <c r="U73" s="3">
        <f t="shared" ca="1" si="7"/>
        <v>16.16959799130176</v>
      </c>
    </row>
    <row r="74" spans="1:21">
      <c r="E74" t="s">
        <v>46</v>
      </c>
      <c r="F74" s="48">
        <f t="shared" ref="F74:N74" ca="1" si="11">SUM(F64:F72)</f>
        <v>4.8878776000000042E-3</v>
      </c>
      <c r="G74" s="48">
        <f t="shared" ca="1" si="11"/>
        <v>0.48621871979999992</v>
      </c>
      <c r="H74" s="48">
        <f t="shared" ca="1" si="11"/>
        <v>0.23216412779999998</v>
      </c>
      <c r="I74" s="48">
        <f t="shared" ca="1" si="11"/>
        <v>0.25751735460000003</v>
      </c>
      <c r="J74" s="48">
        <f t="shared" ca="1" si="11"/>
        <v>1.92119202E-2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15.466588375923987</v>
      </c>
      <c r="T74">
        <v>62</v>
      </c>
      <c r="U74" s="3">
        <f t="shared" ca="1" si="7"/>
        <v>16.427609801844362</v>
      </c>
    </row>
    <row r="75" spans="1:21">
      <c r="E75" t="s">
        <v>47</v>
      </c>
      <c r="F75" s="19">
        <f ca="1">F63*F74+G63*G74+H63*H74+I63*I74+J74*J63+K74*K63+L74*L63+M74*M63+N74*N63</f>
        <v>1.7999467200000001</v>
      </c>
      <c r="I75" s="44"/>
      <c r="J75" s="44"/>
      <c r="K75" s="40"/>
      <c r="O75" s="40"/>
      <c r="P75" s="1"/>
      <c r="Q75">
        <v>63</v>
      </c>
      <c r="R75" s="3">
        <f t="shared" ca="1" si="6"/>
        <v>15.709036965578367</v>
      </c>
      <c r="T75">
        <v>63</v>
      </c>
      <c r="U75" s="3">
        <f t="shared" ca="1" si="7"/>
        <v>16.685621612387081</v>
      </c>
    </row>
    <row r="76" spans="1:21">
      <c r="K76" s="40"/>
      <c r="O76" s="44"/>
      <c r="Q76">
        <v>64</v>
      </c>
      <c r="R76" s="3">
        <f t="shared" ca="1" si="6"/>
        <v>15.951485555230926</v>
      </c>
      <c r="T76">
        <v>64</v>
      </c>
      <c r="U76" s="3">
        <f t="shared" ca="1" si="7"/>
        <v>16.943633422929786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16.193934144890829</v>
      </c>
      <c r="T77">
        <v>65</v>
      </c>
      <c r="U77" s="3">
        <f t="shared" ref="U77:U108" ca="1" si="13">(1+U76*$F$80+U75*$G$80+U74*$H$80+U73*$I$80+U72*$J$80+U71*$K$80+U70*$L$80+U69*$M$80)/(1-$E$80)</f>
        <v>17.201645233472441</v>
      </c>
    </row>
    <row r="78" spans="1:21">
      <c r="D78" s="44" t="s">
        <v>167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16.436382734554794</v>
      </c>
      <c r="T78">
        <v>66</v>
      </c>
      <c r="U78" s="3">
        <f t="shared" ca="1" si="13"/>
        <v>17.459657044015081</v>
      </c>
    </row>
    <row r="79" spans="1:21">
      <c r="D79" s="44" t="s">
        <v>169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16.67883132421716</v>
      </c>
      <c r="T79">
        <v>67</v>
      </c>
      <c r="U79" s="3">
        <f t="shared" ca="1" si="13"/>
        <v>17.717668854557747</v>
      </c>
    </row>
    <row r="80" spans="1:21">
      <c r="D80" s="44" t="s">
        <v>168</v>
      </c>
      <c r="E80" s="40">
        <f ca="1">F58*F74</f>
        <v>1.7297335541189225E-5</v>
      </c>
      <c r="F80" s="40">
        <f ca="1">F58*G74+G58*F74</f>
        <v>3.4478783610690624E-3</v>
      </c>
      <c r="G80" s="40">
        <f ca="1">F58*H74+G58*G74+H58*F74</f>
        <v>0.17411490439965122</v>
      </c>
      <c r="H80" s="40">
        <f ca="1">F58*I74+G58*H74+H58*G74+I58*F74</f>
        <v>0.23115173162827754</v>
      </c>
      <c r="I80" s="40">
        <f ca="1">F58*J74+G58*I74+H58*H74+I58*G74+J58*F74</f>
        <v>0.28346941199140335</v>
      </c>
      <c r="J80" s="40">
        <f ca="1">F58*K74+G58*J74+H58*I74+I58*H74+J58*G74+K58*F74</f>
        <v>0.18414067438725509</v>
      </c>
      <c r="K80" s="40">
        <f ca="1">F58*L74+G58*K74+H58*J74+I58*I74+J58*H74+K58*G74+L58*F74</f>
        <v>9.2629110499159256E-2</v>
      </c>
      <c r="L80" s="1">
        <f ca="1">F58*M74+G58*L74+H58*K74+I58*J74+J58*I74+K58*H74+L58*G74+M58*F74</f>
        <v>2.7928927137458932E-2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3.1000642601842149E-3</v>
      </c>
      <c r="N80" s="40">
        <f ca="1">SUM(E80:M80)</f>
        <v>0.99999999999999978</v>
      </c>
      <c r="Q80">
        <v>68</v>
      </c>
      <c r="R80" s="3">
        <f t="shared" ca="1" si="12"/>
        <v>16.921279913876941</v>
      </c>
      <c r="T80">
        <v>68</v>
      </c>
      <c r="U80" s="3">
        <f t="shared" ca="1" si="13"/>
        <v>17.975680665100416</v>
      </c>
    </row>
    <row r="81" spans="1:21">
      <c r="D81" s="24" t="s">
        <v>47</v>
      </c>
      <c r="E81" s="3">
        <f ca="1">E79*E80+F79*F80+G79*G80+H79*H80+I79*I80+J79*J80+K79*K80+L79*L80+M79*M80</f>
        <v>3.875791568985735</v>
      </c>
      <c r="Q81">
        <v>69</v>
      </c>
      <c r="R81" s="3">
        <f t="shared" ca="1" si="12"/>
        <v>17.163728503536323</v>
      </c>
      <c r="T81">
        <v>69</v>
      </c>
      <c r="U81" s="3">
        <f t="shared" ca="1" si="13"/>
        <v>18.233692475643082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17.406177093196728</v>
      </c>
      <c r="T82">
        <v>70</v>
      </c>
      <c r="U82" s="3">
        <f t="shared" ca="1" si="13"/>
        <v>18.49170428618574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17.648625682857766</v>
      </c>
      <c r="T83">
        <v>71</v>
      </c>
      <c r="U83" s="3">
        <f t="shared" ca="1" si="13"/>
        <v>18.749716096728406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17.891074272518612</v>
      </c>
      <c r="T84">
        <v>72</v>
      </c>
      <c r="U84" s="3">
        <f t="shared" ca="1" si="13"/>
        <v>19.007727907271068</v>
      </c>
    </row>
    <row r="85" spans="1:21">
      <c r="A85" s="44"/>
      <c r="B85" s="44"/>
      <c r="C85" s="44"/>
      <c r="Q85">
        <v>73</v>
      </c>
      <c r="R85" s="3">
        <f t="shared" ca="1" si="12"/>
        <v>18.133522862179071</v>
      </c>
      <c r="T85">
        <v>73</v>
      </c>
      <c r="U85" s="3">
        <f t="shared" ca="1" si="13"/>
        <v>19.26573971781373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18.375971451839462</v>
      </c>
      <c r="T86">
        <v>74</v>
      </c>
      <c r="U86" s="3">
        <f t="shared" ca="1" si="13"/>
        <v>19.523751528356389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18.618420041499995</v>
      </c>
      <c r="T87">
        <v>75</v>
      </c>
      <c r="U87" s="3">
        <f t="shared" ca="1" si="13"/>
        <v>19.781763338899061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18.860868631160621</v>
      </c>
      <c r="T88">
        <v>76</v>
      </c>
      <c r="U88" s="3">
        <f t="shared" ca="1" si="13"/>
        <v>20.039775149441716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19.103317220821218</v>
      </c>
      <c r="T89">
        <v>77</v>
      </c>
      <c r="U89" s="3">
        <f t="shared" ca="1" si="13"/>
        <v>20.297786959984386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19.345765810481776</v>
      </c>
      <c r="T90">
        <v>78</v>
      </c>
      <c r="U90" s="3">
        <f t="shared" ca="1" si="13"/>
        <v>20.555798770527044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19.588214400142313</v>
      </c>
      <c r="T91">
        <v>79</v>
      </c>
      <c r="U91" s="3">
        <f t="shared" ca="1" si="13"/>
        <v>20.81381058106971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19.830662989802867</v>
      </c>
      <c r="T92">
        <v>80</v>
      </c>
      <c r="U92" s="3">
        <f t="shared" ca="1" si="13"/>
        <v>21.071822391612372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20.073111579463429</v>
      </c>
      <c r="T93">
        <v>81</v>
      </c>
      <c r="U93" s="3">
        <f t="shared" ca="1" si="13"/>
        <v>21.329834202155034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20.315560169124005</v>
      </c>
      <c r="T94">
        <v>82</v>
      </c>
      <c r="U94" s="3">
        <f t="shared" ca="1" si="13"/>
        <v>21.5878460126977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20.558008758784567</v>
      </c>
      <c r="T95">
        <v>83</v>
      </c>
      <c r="U95" s="3">
        <f t="shared" ca="1" si="13"/>
        <v>21.845857823240362</v>
      </c>
    </row>
    <row r="96" spans="1:21">
      <c r="Q96">
        <v>84</v>
      </c>
      <c r="R96" s="3">
        <f t="shared" ca="1" si="12"/>
        <v>20.800457348445121</v>
      </c>
      <c r="T96">
        <v>84</v>
      </c>
      <c r="U96" s="3">
        <f t="shared" ca="1" si="13"/>
        <v>22.103869633783024</v>
      </c>
    </row>
    <row r="97" spans="17:21">
      <c r="Q97">
        <v>85</v>
      </c>
      <c r="R97" s="3">
        <f t="shared" ca="1" si="12"/>
        <v>21.04290593810568</v>
      </c>
      <c r="T97">
        <v>85</v>
      </c>
      <c r="U97" s="3">
        <f t="shared" ca="1" si="13"/>
        <v>22.361881444325686</v>
      </c>
    </row>
    <row r="98" spans="17:21">
      <c r="Q98">
        <v>86</v>
      </c>
      <c r="R98" s="3">
        <f t="shared" ca="1" si="12"/>
        <v>21.285354527766245</v>
      </c>
      <c r="T98">
        <v>86</v>
      </c>
      <c r="U98" s="3">
        <f t="shared" ca="1" si="13"/>
        <v>22.619893254868352</v>
      </c>
    </row>
    <row r="99" spans="17:21">
      <c r="Q99">
        <v>87</v>
      </c>
      <c r="R99" s="3">
        <f t="shared" ca="1" si="12"/>
        <v>21.527803117426807</v>
      </c>
      <c r="T99">
        <v>87</v>
      </c>
      <c r="U99" s="3">
        <f t="shared" ca="1" si="13"/>
        <v>22.87790506541101</v>
      </c>
    </row>
    <row r="100" spans="17:21">
      <c r="Q100">
        <v>88</v>
      </c>
      <c r="R100" s="3">
        <f t="shared" ca="1" si="12"/>
        <v>21.770251707087365</v>
      </c>
      <c r="T100">
        <v>88</v>
      </c>
      <c r="U100" s="3">
        <f t="shared" ca="1" si="13"/>
        <v>23.135916875953676</v>
      </c>
    </row>
    <row r="101" spans="17:21">
      <c r="Q101">
        <v>89</v>
      </c>
      <c r="R101" s="3">
        <f t="shared" ca="1" si="12"/>
        <v>22.012700296747926</v>
      </c>
      <c r="T101">
        <v>89</v>
      </c>
      <c r="U101" s="3">
        <f t="shared" ca="1" si="13"/>
        <v>23.393928686496334</v>
      </c>
    </row>
    <row r="102" spans="17:21">
      <c r="Q102">
        <v>90</v>
      </c>
      <c r="R102" s="3">
        <f t="shared" ca="1" si="12"/>
        <v>22.255148886408485</v>
      </c>
      <c r="T102">
        <v>90</v>
      </c>
      <c r="U102" s="3">
        <f t="shared" ca="1" si="13"/>
        <v>23.651940497039</v>
      </c>
    </row>
    <row r="103" spans="17:21">
      <c r="Q103">
        <v>91</v>
      </c>
      <c r="R103" s="3">
        <f t="shared" ca="1" si="12"/>
        <v>22.49759747606905</v>
      </c>
      <c r="T103">
        <v>91</v>
      </c>
      <c r="U103" s="3">
        <f t="shared" ca="1" si="13"/>
        <v>23.909952307581666</v>
      </c>
    </row>
    <row r="104" spans="17:21">
      <c r="Q104">
        <v>92</v>
      </c>
      <c r="R104" s="3">
        <f t="shared" ca="1" si="12"/>
        <v>22.740046065729604</v>
      </c>
      <c r="T104">
        <v>92</v>
      </c>
      <c r="U104" s="3">
        <f t="shared" ca="1" si="13"/>
        <v>24.167964118124324</v>
      </c>
    </row>
    <row r="105" spans="17:21">
      <c r="Q105">
        <v>93</v>
      </c>
      <c r="R105" s="3">
        <f t="shared" ca="1" si="12"/>
        <v>22.98249465539017</v>
      </c>
      <c r="T105">
        <v>93</v>
      </c>
      <c r="U105" s="3">
        <f t="shared" ca="1" si="13"/>
        <v>24.42597592866699</v>
      </c>
    </row>
    <row r="106" spans="17:21">
      <c r="Q106">
        <v>94</v>
      </c>
      <c r="R106" s="3">
        <f t="shared" ca="1" si="12"/>
        <v>23.224943245050731</v>
      </c>
      <c r="T106">
        <v>94</v>
      </c>
      <c r="U106" s="3">
        <f t="shared" ca="1" si="13"/>
        <v>24.683987739209648</v>
      </c>
    </row>
    <row r="107" spans="17:21">
      <c r="Q107">
        <v>95</v>
      </c>
      <c r="R107" s="3">
        <f t="shared" ca="1" si="12"/>
        <v>23.467391834711293</v>
      </c>
      <c r="T107">
        <v>95</v>
      </c>
      <c r="U107" s="3">
        <f t="shared" ca="1" si="13"/>
        <v>24.941999549752317</v>
      </c>
    </row>
    <row r="108" spans="17:21">
      <c r="Q108">
        <v>96</v>
      </c>
      <c r="R108" s="3">
        <f t="shared" ca="1" si="12"/>
        <v>23.709840424371851</v>
      </c>
      <c r="T108">
        <v>96</v>
      </c>
      <c r="U108" s="3">
        <f t="shared" ca="1" si="13"/>
        <v>25.20001136029498</v>
      </c>
    </row>
    <row r="109" spans="17:21">
      <c r="Q109">
        <v>97</v>
      </c>
      <c r="R109" s="3">
        <f ca="1">(1+R108*$F$38+R107*$G$38+R106*$H$38+R105*$I$38+R104*$J$38+R103*$K$38+R102*$L$38+R101*$M$38)/(1-$E$38)</f>
        <v>23.952289014032409</v>
      </c>
      <c r="T109">
        <v>97</v>
      </c>
      <c r="U109" s="3">
        <f ca="1">(1+U108*$F$80+U107*$G$80+U106*$H$80+U105*$I$80+U104*$J$80+U103*$K$80+U102*$L$80+U101*$M$80)/(1-$E$80)</f>
        <v>25.458023170837642</v>
      </c>
    </row>
    <row r="110" spans="17:21">
      <c r="Q110">
        <v>98</v>
      </c>
      <c r="R110" s="3">
        <f ca="1">(1+R109*$F$38+R108*$G$38+R107*$H$38+R106*$I$38+R105*$J$38+R104*$K$38+R103*$L$38+R102*$M$38)/(1-$E$38)</f>
        <v>24.194737603692978</v>
      </c>
      <c r="T110">
        <v>98</v>
      </c>
      <c r="U110" s="3">
        <f ca="1">(1+U109*$F$80+U108*$G$80+U107*$H$80+U106*$I$80+U105*$J$80+U104*$K$80+U103*$L$80+U102*$M$80)/(1-$E$80)</f>
        <v>25.716034981380307</v>
      </c>
    </row>
    <row r="111" spans="17:21">
      <c r="Q111">
        <v>99</v>
      </c>
      <c r="R111" s="3">
        <f ca="1">(1+R110*$F$38+R109*$G$38+R108*$H$38+R107*$I$38+R106*$J$38+R105*$K$38+R104*$L$38+R103*$M$38)/(1-$E$38)</f>
        <v>24.437186193353536</v>
      </c>
      <c r="T111">
        <v>99</v>
      </c>
      <c r="U111" s="3">
        <f ca="1">(1+U110*$F$80+U109*$G$80+U108*$H$80+U107*$I$80+U106*$J$80+U105*$K$80+U104*$L$80+U103*$M$80)/(1-$E$80)</f>
        <v>25.974046791922969</v>
      </c>
    </row>
    <row r="112" spans="17:21">
      <c r="Q112">
        <v>100</v>
      </c>
      <c r="R112" s="3">
        <f ca="1">(1+R111*$F$38+R110*$G$38+R109*$H$38+R108*$I$38+R107*$J$38+R106*$K$38+R105*$L$38+R104*$M$38)/(1-$E$38)</f>
        <v>24.679634783014095</v>
      </c>
      <c r="T112">
        <v>100</v>
      </c>
      <c r="U112" s="3">
        <f ca="1">(1+U111*$F$80+U110*$G$80+U109*$H$80+U108*$I$80+U107*$J$80+U106*$K$80+U105*$L$80+U104*$M$80)/(1-$E$80)</f>
        <v>26.232058602465635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>
    <tabColor indexed="46"/>
  </sheetPr>
  <dimension ref="A1:BI389"/>
  <sheetViews>
    <sheetView zoomScaleNormal="100" workbookViewId="0">
      <pane ySplit="1" topLeftCell="A335" activePane="bottomLeft" state="frozen"/>
      <selection pane="bottomLeft" activeCell="AD377" sqref="AD377"/>
    </sheetView>
  </sheetViews>
  <sheetFormatPr defaultRowHeight="12.75"/>
  <cols>
    <col min="1" max="1" width="23.42578125" customWidth="1"/>
    <col min="2" max="2" width="4.7109375" customWidth="1"/>
    <col min="3" max="6" width="3.7109375" customWidth="1"/>
    <col min="7" max="15" width="4.7109375" customWidth="1"/>
    <col min="16" max="21" width="5.5703125" customWidth="1"/>
    <col min="22" max="27" width="4.710937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7" width="4.7109375" style="35" customWidth="1"/>
    <col min="38" max="38" width="4.7109375" customWidth="1"/>
    <col min="39" max="39" width="4.71093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3">
      <c r="B1" t="s">
        <v>30</v>
      </c>
      <c r="C1" t="s">
        <v>529</v>
      </c>
      <c r="D1" t="s">
        <v>657</v>
      </c>
      <c r="E1" t="s">
        <v>499</v>
      </c>
      <c r="F1" s="31" t="s">
        <v>524</v>
      </c>
      <c r="G1" t="s">
        <v>3</v>
      </c>
      <c r="H1" t="s">
        <v>4</v>
      </c>
      <c r="I1" t="s">
        <v>5</v>
      </c>
      <c r="J1" t="s">
        <v>42</v>
      </c>
      <c r="K1" t="s">
        <v>221</v>
      </c>
      <c r="L1" t="s">
        <v>222</v>
      </c>
      <c r="M1" t="s">
        <v>223</v>
      </c>
      <c r="N1" t="s">
        <v>10</v>
      </c>
      <c r="O1" t="s">
        <v>9</v>
      </c>
      <c r="P1" t="s">
        <v>494</v>
      </c>
      <c r="Q1" t="s">
        <v>643</v>
      </c>
      <c r="R1" t="s">
        <v>644</v>
      </c>
      <c r="S1" t="s">
        <v>645</v>
      </c>
      <c r="T1" s="35" t="s">
        <v>646</v>
      </c>
      <c r="U1" s="148" t="s">
        <v>647</v>
      </c>
      <c r="V1" t="s">
        <v>12</v>
      </c>
      <c r="W1" t="s">
        <v>164</v>
      </c>
      <c r="X1" t="s">
        <v>360</v>
      </c>
      <c r="Y1" t="s">
        <v>495</v>
      </c>
      <c r="Z1" t="s">
        <v>496</v>
      </c>
      <c r="AA1" t="s">
        <v>131</v>
      </c>
      <c r="AB1" t="s">
        <v>11</v>
      </c>
      <c r="AC1" t="s">
        <v>127</v>
      </c>
      <c r="AD1" t="s">
        <v>126</v>
      </c>
      <c r="AE1" t="s">
        <v>13</v>
      </c>
      <c r="AF1" t="s">
        <v>124</v>
      </c>
      <c r="AG1" t="s">
        <v>302</v>
      </c>
      <c r="AH1" t="s">
        <v>175</v>
      </c>
      <c r="AI1" s="35" t="s">
        <v>473</v>
      </c>
      <c r="AJ1" s="35" t="s">
        <v>474</v>
      </c>
      <c r="AK1" s="148" t="s">
        <v>449</v>
      </c>
      <c r="AL1" t="s">
        <v>354</v>
      </c>
      <c r="AM1" s="148" t="s">
        <v>654</v>
      </c>
      <c r="AN1" t="s">
        <v>63</v>
      </c>
      <c r="AO1" t="s">
        <v>64</v>
      </c>
      <c r="AP1" t="s">
        <v>406</v>
      </c>
      <c r="AQ1" t="s">
        <v>398</v>
      </c>
      <c r="AR1" t="s">
        <v>399</v>
      </c>
      <c r="AS1" t="s">
        <v>400</v>
      </c>
      <c r="AT1" t="s">
        <v>401</v>
      </c>
      <c r="AU1" t="s">
        <v>402</v>
      </c>
      <c r="AV1" t="s">
        <v>403</v>
      </c>
      <c r="AW1" t="s">
        <v>404</v>
      </c>
      <c r="AX1" t="s">
        <v>455</v>
      </c>
      <c r="AY1" t="s">
        <v>456</v>
      </c>
      <c r="AZ1" t="s">
        <v>457</v>
      </c>
      <c r="BA1" t="s">
        <v>458</v>
      </c>
    </row>
    <row r="4" spans="1:53">
      <c r="A4" s="31" t="s">
        <v>533</v>
      </c>
      <c r="B4" t="s">
        <v>30</v>
      </c>
      <c r="C4" t="s">
        <v>529</v>
      </c>
      <c r="D4" t="s">
        <v>657</v>
      </c>
      <c r="E4" t="s">
        <v>499</v>
      </c>
      <c r="F4" s="31" t="s">
        <v>524</v>
      </c>
      <c r="G4" t="s">
        <v>3</v>
      </c>
      <c r="H4" t="s">
        <v>4</v>
      </c>
      <c r="I4" t="s">
        <v>5</v>
      </c>
      <c r="J4" t="s">
        <v>42</v>
      </c>
      <c r="K4" t="s">
        <v>221</v>
      </c>
      <c r="L4" t="s">
        <v>222</v>
      </c>
      <c r="M4" t="s">
        <v>223</v>
      </c>
      <c r="N4" t="s">
        <v>10</v>
      </c>
      <c r="O4" t="s">
        <v>9</v>
      </c>
      <c r="P4" t="s">
        <v>494</v>
      </c>
      <c r="Q4" t="s">
        <v>643</v>
      </c>
      <c r="R4" t="s">
        <v>644</v>
      </c>
      <c r="S4" t="s">
        <v>645</v>
      </c>
      <c r="T4" s="35" t="s">
        <v>646</v>
      </c>
      <c r="U4" s="148" t="s">
        <v>647</v>
      </c>
      <c r="V4" t="s">
        <v>12</v>
      </c>
      <c r="W4" t="s">
        <v>164</v>
      </c>
      <c r="X4" t="s">
        <v>360</v>
      </c>
      <c r="Y4" t="s">
        <v>495</v>
      </c>
      <c r="Z4" t="s">
        <v>496</v>
      </c>
      <c r="AA4" t="s">
        <v>131</v>
      </c>
      <c r="AB4" t="s">
        <v>11</v>
      </c>
      <c r="AC4" t="s">
        <v>127</v>
      </c>
      <c r="AD4" t="s">
        <v>126</v>
      </c>
      <c r="AE4" t="s">
        <v>13</v>
      </c>
      <c r="AF4" t="s">
        <v>124</v>
      </c>
      <c r="AG4" t="s">
        <v>302</v>
      </c>
      <c r="AH4" t="s">
        <v>175</v>
      </c>
      <c r="AI4" s="35" t="s">
        <v>473</v>
      </c>
      <c r="AJ4" s="35" t="s">
        <v>474</v>
      </c>
      <c r="AK4" s="148" t="s">
        <v>449</v>
      </c>
      <c r="AL4" t="s">
        <v>354</v>
      </c>
      <c r="AM4" s="148" t="s">
        <v>654</v>
      </c>
      <c r="AN4" t="s">
        <v>63</v>
      </c>
      <c r="AO4" t="s">
        <v>64</v>
      </c>
      <c r="AP4" t="s">
        <v>406</v>
      </c>
      <c r="AQ4" t="s">
        <v>398</v>
      </c>
      <c r="AR4" t="s">
        <v>399</v>
      </c>
      <c r="AS4" t="s">
        <v>400</v>
      </c>
      <c r="AT4" t="s">
        <v>401</v>
      </c>
      <c r="AU4" t="s">
        <v>402</v>
      </c>
      <c r="AV4" t="s">
        <v>403</v>
      </c>
      <c r="AW4" t="s">
        <v>404</v>
      </c>
      <c r="AX4" t="s">
        <v>455</v>
      </c>
      <c r="AY4" t="s">
        <v>456</v>
      </c>
      <c r="AZ4" t="s">
        <v>457</v>
      </c>
      <c r="BA4" t="s">
        <v>458</v>
      </c>
    </row>
    <row r="5" spans="1:53" s="209" customFormat="1">
      <c r="A5" s="163" t="s">
        <v>782</v>
      </c>
      <c r="B5" s="163"/>
      <c r="C5" s="163"/>
      <c r="D5" s="163"/>
      <c r="E5" s="163"/>
      <c r="F5" s="164">
        <v>269</v>
      </c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4">
        <v>10</v>
      </c>
      <c r="AF5" s="163"/>
      <c r="AG5" s="164">
        <v>500</v>
      </c>
      <c r="AH5" s="163"/>
      <c r="AI5" s="163"/>
      <c r="AJ5" s="163"/>
      <c r="AK5" s="163"/>
      <c r="AL5" s="163"/>
      <c r="AM5" s="163"/>
      <c r="AN5" s="164">
        <v>159</v>
      </c>
      <c r="AO5" s="164">
        <v>227</v>
      </c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</row>
    <row r="6" spans="1:53" s="209" customFormat="1">
      <c r="A6" s="163" t="s">
        <v>784</v>
      </c>
      <c r="B6" s="163"/>
      <c r="C6" s="163"/>
      <c r="D6" s="163"/>
      <c r="E6" s="163"/>
      <c r="F6" s="163">
        <v>242</v>
      </c>
      <c r="G6" s="163"/>
      <c r="H6" s="164"/>
      <c r="I6" s="163"/>
      <c r="J6" s="163"/>
      <c r="K6" s="163"/>
      <c r="L6" s="163"/>
      <c r="M6" s="163"/>
      <c r="N6" s="164">
        <v>40</v>
      </c>
      <c r="O6" s="164">
        <v>35</v>
      </c>
      <c r="P6" s="163"/>
      <c r="Q6" s="163">
        <v>15</v>
      </c>
      <c r="R6" s="163">
        <v>10</v>
      </c>
      <c r="S6" s="163"/>
      <c r="T6" s="163"/>
      <c r="U6" s="163"/>
      <c r="V6" s="163"/>
      <c r="W6" s="221">
        <v>0.03</v>
      </c>
      <c r="X6" s="163"/>
      <c r="Y6" s="163"/>
      <c r="Z6" s="163"/>
      <c r="AA6" s="163"/>
      <c r="AB6" s="163"/>
      <c r="AC6" s="163"/>
      <c r="AD6" s="165"/>
      <c r="AE6" s="164">
        <v>5</v>
      </c>
      <c r="AF6" s="163"/>
      <c r="AG6" s="163"/>
      <c r="AH6" s="163"/>
      <c r="AI6" s="163"/>
      <c r="AJ6" s="163"/>
      <c r="AK6" s="163"/>
      <c r="AL6" s="163"/>
      <c r="AM6" s="163"/>
      <c r="AN6" s="164">
        <v>127</v>
      </c>
      <c r="AO6" s="164">
        <v>227</v>
      </c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</row>
    <row r="7" spans="1:53">
      <c r="A7" s="163" t="s">
        <v>550</v>
      </c>
      <c r="B7" s="163"/>
      <c r="C7" s="163"/>
      <c r="D7" s="163"/>
      <c r="E7" s="163"/>
      <c r="F7" s="164">
        <v>242</v>
      </c>
      <c r="G7" s="163"/>
      <c r="H7" s="163"/>
      <c r="I7" s="163"/>
      <c r="J7" s="164">
        <v>20</v>
      </c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4">
        <v>106</v>
      </c>
      <c r="AO7" s="164">
        <v>210</v>
      </c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</row>
    <row r="8" spans="1:53" s="209" customFormat="1">
      <c r="A8" s="163" t="s">
        <v>763</v>
      </c>
      <c r="B8" s="163"/>
      <c r="C8" s="163"/>
      <c r="D8" s="163"/>
      <c r="E8" s="163"/>
      <c r="F8" s="164">
        <v>269</v>
      </c>
      <c r="G8" s="163"/>
      <c r="H8" s="163"/>
      <c r="I8" s="163"/>
      <c r="J8" s="164">
        <v>50</v>
      </c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>
        <v>186</v>
      </c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4">
        <v>148</v>
      </c>
      <c r="AO8" s="164">
        <v>210</v>
      </c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</row>
    <row r="9" spans="1:53">
      <c r="A9" s="163" t="s">
        <v>551</v>
      </c>
      <c r="B9" s="163"/>
      <c r="C9" s="163"/>
      <c r="D9" s="163"/>
      <c r="E9" s="163"/>
      <c r="F9" s="164">
        <v>242</v>
      </c>
      <c r="G9" s="163"/>
      <c r="H9" s="163"/>
      <c r="I9" s="163"/>
      <c r="J9" s="163"/>
      <c r="K9" s="163"/>
      <c r="L9" s="163"/>
      <c r="M9" s="163"/>
      <c r="N9" s="163"/>
      <c r="O9" s="164">
        <v>40</v>
      </c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4">
        <v>109</v>
      </c>
      <c r="AO9" s="164">
        <v>210</v>
      </c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</row>
    <row r="10" spans="1:53" s="209" customFormat="1">
      <c r="A10" s="163" t="s">
        <v>761</v>
      </c>
      <c r="B10" s="163"/>
      <c r="C10" s="163"/>
      <c r="D10" s="163"/>
      <c r="E10" s="163"/>
      <c r="F10" s="164">
        <v>269</v>
      </c>
      <c r="G10" s="163"/>
      <c r="H10" s="163"/>
      <c r="I10" s="163"/>
      <c r="J10" s="163"/>
      <c r="K10" s="163"/>
      <c r="L10" s="163"/>
      <c r="M10" s="163"/>
      <c r="N10" s="163"/>
      <c r="O10" s="164">
        <v>60</v>
      </c>
      <c r="P10" s="163"/>
      <c r="Q10" s="163"/>
      <c r="R10" s="163"/>
      <c r="S10" s="163"/>
      <c r="T10" s="163"/>
      <c r="U10" s="163">
        <v>186</v>
      </c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4">
        <v>148</v>
      </c>
      <c r="AO10" s="164">
        <v>210</v>
      </c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</row>
    <row r="11" spans="1:53">
      <c r="A11" s="163" t="s">
        <v>552</v>
      </c>
      <c r="B11" s="163"/>
      <c r="C11" s="163"/>
      <c r="D11" s="163"/>
      <c r="E11" s="163"/>
      <c r="F11" s="164">
        <v>242</v>
      </c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4">
        <v>113</v>
      </c>
      <c r="AO11" s="164">
        <v>227</v>
      </c>
      <c r="AP11" s="163"/>
      <c r="AQ11" s="163"/>
      <c r="AR11" s="163"/>
      <c r="AS11" s="163"/>
      <c r="AT11" s="163"/>
      <c r="AU11" s="163"/>
      <c r="AV11" s="163"/>
      <c r="AW11" s="163"/>
      <c r="AX11" s="165">
        <v>0.6</v>
      </c>
      <c r="AY11" s="165">
        <v>0.67</v>
      </c>
      <c r="AZ11" s="165">
        <v>0.33</v>
      </c>
      <c r="BA11" s="163"/>
    </row>
    <row r="12" spans="1:53" s="209" customFormat="1">
      <c r="A12" s="163" t="s">
        <v>762</v>
      </c>
      <c r="B12" s="163"/>
      <c r="C12" s="163"/>
      <c r="D12" s="163"/>
      <c r="E12" s="163"/>
      <c r="F12" s="164">
        <v>269</v>
      </c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>
        <v>40</v>
      </c>
      <c r="T12" s="163"/>
      <c r="U12" s="163">
        <v>186</v>
      </c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4">
        <v>142</v>
      </c>
      <c r="AO12" s="164">
        <v>227</v>
      </c>
      <c r="AP12" s="163"/>
      <c r="AQ12" s="163"/>
      <c r="AR12" s="163"/>
      <c r="AS12" s="163"/>
      <c r="AT12" s="163"/>
      <c r="AU12" s="163"/>
      <c r="AV12" s="163"/>
      <c r="AW12" s="163"/>
      <c r="AX12" s="165">
        <v>0.6</v>
      </c>
      <c r="AY12" s="165">
        <v>0.67</v>
      </c>
      <c r="AZ12" s="165">
        <v>0.33</v>
      </c>
      <c r="BA12" s="163"/>
    </row>
    <row r="13" spans="1:53">
      <c r="A13" s="163" t="s">
        <v>743</v>
      </c>
      <c r="B13" s="163"/>
      <c r="C13" s="163"/>
      <c r="D13" s="163"/>
      <c r="E13" s="163"/>
      <c r="F13" s="164">
        <v>242</v>
      </c>
      <c r="G13" s="164">
        <v>22</v>
      </c>
      <c r="H13" s="164">
        <v>22</v>
      </c>
      <c r="I13" s="164">
        <v>12</v>
      </c>
      <c r="J13" s="164">
        <v>12</v>
      </c>
      <c r="K13" s="164">
        <v>12</v>
      </c>
      <c r="L13" s="164">
        <v>12</v>
      </c>
      <c r="M13" s="164">
        <v>12</v>
      </c>
      <c r="N13" s="164">
        <v>20</v>
      </c>
      <c r="O13" s="163"/>
      <c r="P13" s="163"/>
      <c r="Q13" s="164">
        <v>20</v>
      </c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4">
        <v>135</v>
      </c>
      <c r="AO13" s="164">
        <v>227</v>
      </c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</row>
    <row r="14" spans="1:53">
      <c r="A14" s="163" t="s">
        <v>681</v>
      </c>
      <c r="B14" s="163"/>
      <c r="C14" s="163"/>
      <c r="D14" s="163"/>
      <c r="E14" s="163"/>
      <c r="F14" s="164">
        <v>242</v>
      </c>
      <c r="G14" s="164">
        <v>14</v>
      </c>
      <c r="H14" s="163"/>
      <c r="I14" s="163"/>
      <c r="J14" s="164">
        <v>14</v>
      </c>
      <c r="K14" s="163"/>
      <c r="L14" s="163"/>
      <c r="M14" s="163"/>
      <c r="N14" s="164">
        <v>16</v>
      </c>
      <c r="O14" s="163"/>
      <c r="P14" s="163"/>
      <c r="Q14" s="163"/>
      <c r="R14" s="163"/>
      <c r="S14" s="163"/>
      <c r="T14" s="163"/>
      <c r="U14" s="163"/>
      <c r="V14" s="165">
        <v>0.03</v>
      </c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4">
        <v>128</v>
      </c>
      <c r="AO14" s="164">
        <v>222</v>
      </c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</row>
    <row r="15" spans="1:53">
      <c r="A15" s="163" t="s">
        <v>584</v>
      </c>
      <c r="B15" s="163"/>
      <c r="C15" s="163"/>
      <c r="D15" s="163"/>
      <c r="E15" s="163"/>
      <c r="F15" s="164">
        <v>242</v>
      </c>
      <c r="G15" s="163"/>
      <c r="H15" s="164">
        <v>12</v>
      </c>
      <c r="I15" s="163"/>
      <c r="J15" s="164">
        <v>12</v>
      </c>
      <c r="K15" s="163"/>
      <c r="L15" s="163"/>
      <c r="M15" s="163"/>
      <c r="N15" s="164">
        <v>15</v>
      </c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4">
        <v>122</v>
      </c>
      <c r="AO15" s="164">
        <v>227</v>
      </c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</row>
    <row r="16" spans="1:53">
      <c r="A16" s="163" t="s">
        <v>783</v>
      </c>
      <c r="B16" s="163"/>
      <c r="C16" s="163"/>
      <c r="D16" s="163"/>
      <c r="E16" s="163"/>
      <c r="F16" s="164">
        <v>228</v>
      </c>
      <c r="G16" s="163"/>
      <c r="H16" s="163"/>
      <c r="I16" s="163"/>
      <c r="J16" s="163"/>
      <c r="K16" s="163"/>
      <c r="L16" s="163"/>
      <c r="M16" s="163"/>
      <c r="N16" s="164">
        <v>77</v>
      </c>
      <c r="O16" s="163"/>
      <c r="P16" s="163"/>
      <c r="Q16" s="164">
        <v>50</v>
      </c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4">
        <v>98</v>
      </c>
      <c r="AO16" s="164">
        <v>190</v>
      </c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</row>
    <row r="17" spans="1:53">
      <c r="A17" s="163" t="s">
        <v>682</v>
      </c>
      <c r="B17" s="163"/>
      <c r="C17" s="163"/>
      <c r="D17" s="163"/>
      <c r="E17" s="163"/>
      <c r="F17" s="164">
        <v>242</v>
      </c>
      <c r="G17" s="163"/>
      <c r="H17" s="163"/>
      <c r="I17" s="163"/>
      <c r="J17" s="163"/>
      <c r="K17" s="163"/>
      <c r="L17" s="163"/>
      <c r="M17" s="163"/>
      <c r="N17" s="164">
        <v>20</v>
      </c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4">
        <v>100</v>
      </c>
      <c r="AO17" s="164">
        <v>222</v>
      </c>
      <c r="AP17" s="165">
        <v>0.4</v>
      </c>
      <c r="AQ17" s="165">
        <v>1</v>
      </c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</row>
    <row r="18" spans="1:53" s="209" customFormat="1">
      <c r="A18" s="163" t="s">
        <v>745</v>
      </c>
      <c r="B18" s="163"/>
      <c r="C18" s="163"/>
      <c r="D18" s="163"/>
      <c r="E18" s="164"/>
      <c r="F18" s="215">
        <v>228</v>
      </c>
      <c r="G18" s="215"/>
      <c r="H18" s="215"/>
      <c r="I18" s="215"/>
      <c r="J18" s="215">
        <v>20</v>
      </c>
      <c r="K18" s="215"/>
      <c r="L18" s="215"/>
      <c r="M18" s="215"/>
      <c r="N18" s="215">
        <v>27</v>
      </c>
      <c r="O18" s="215">
        <v>27</v>
      </c>
      <c r="P18" s="215"/>
      <c r="Q18" s="215">
        <v>50</v>
      </c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4">
        <v>0.03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4">
        <v>123</v>
      </c>
      <c r="AO18" s="164">
        <v>190</v>
      </c>
      <c r="AP18" s="166"/>
      <c r="AQ18" s="166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</row>
    <row r="19" spans="1:53">
      <c r="A19" s="163" t="s">
        <v>626</v>
      </c>
      <c r="B19" s="163"/>
      <c r="C19" s="163"/>
      <c r="D19" s="163"/>
      <c r="E19" s="163"/>
      <c r="F19" s="164">
        <v>188</v>
      </c>
      <c r="G19" s="163"/>
      <c r="H19" s="164">
        <v>12</v>
      </c>
      <c r="I19" s="163"/>
      <c r="J19" s="164">
        <v>12</v>
      </c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5">
        <v>0.06</v>
      </c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4">
        <v>110</v>
      </c>
      <c r="AO19" s="164">
        <v>227</v>
      </c>
      <c r="AP19" s="165">
        <v>0.4</v>
      </c>
      <c r="AQ19" s="165">
        <v>1</v>
      </c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</row>
    <row r="20" spans="1:53" s="209" customFormat="1">
      <c r="A20" s="163" t="s">
        <v>802</v>
      </c>
      <c r="B20" s="163"/>
      <c r="C20" s="163"/>
      <c r="D20" s="163"/>
      <c r="E20" s="163"/>
      <c r="F20" s="164">
        <v>242</v>
      </c>
      <c r="G20" s="164"/>
      <c r="H20" s="164"/>
      <c r="I20" s="164"/>
      <c r="J20" s="164">
        <v>15</v>
      </c>
      <c r="K20" s="164"/>
      <c r="L20" s="164"/>
      <c r="M20" s="164"/>
      <c r="N20" s="164">
        <v>27</v>
      </c>
      <c r="O20" s="163"/>
      <c r="P20" s="163"/>
      <c r="Q20" s="164"/>
      <c r="R20" s="163"/>
      <c r="S20" s="163"/>
      <c r="T20" s="163"/>
      <c r="U20" s="163"/>
      <c r="V20" s="163"/>
      <c r="W20" s="221">
        <v>0.04</v>
      </c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4">
        <v>100</v>
      </c>
      <c r="AO20" s="164">
        <v>175</v>
      </c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</row>
    <row r="21" spans="1:53">
      <c r="A21" s="163" t="s">
        <v>625</v>
      </c>
      <c r="B21" s="163"/>
      <c r="C21" s="163"/>
      <c r="D21" s="163"/>
      <c r="E21" s="163"/>
      <c r="F21" s="164">
        <v>188</v>
      </c>
      <c r="G21" s="163"/>
      <c r="H21" s="164">
        <v>12</v>
      </c>
      <c r="I21" s="163"/>
      <c r="J21" s="164">
        <v>12</v>
      </c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5">
        <v>0.02</v>
      </c>
      <c r="AD21" s="163"/>
      <c r="AE21" s="163"/>
      <c r="AF21" s="163"/>
      <c r="AG21" s="163"/>
      <c r="AH21" s="165">
        <v>0.02</v>
      </c>
      <c r="AI21" s="163"/>
      <c r="AJ21" s="163"/>
      <c r="AK21" s="163"/>
      <c r="AL21" s="163"/>
      <c r="AM21" s="163"/>
      <c r="AN21" s="164">
        <v>110</v>
      </c>
      <c r="AO21" s="164">
        <v>227</v>
      </c>
      <c r="AP21" s="165">
        <v>0.4</v>
      </c>
      <c r="AQ21" s="165">
        <v>1</v>
      </c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</row>
    <row r="22" spans="1:53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</row>
    <row r="23" spans="1:53">
      <c r="A23" s="163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</row>
    <row r="24" spans="1:53">
      <c r="A24" s="31" t="s">
        <v>534</v>
      </c>
      <c r="B24" t="s">
        <v>30</v>
      </c>
      <c r="C24" t="s">
        <v>529</v>
      </c>
      <c r="D24" t="s">
        <v>657</v>
      </c>
      <c r="E24" t="s">
        <v>499</v>
      </c>
      <c r="F24" s="31" t="s">
        <v>524</v>
      </c>
      <c r="G24" t="s">
        <v>3</v>
      </c>
      <c r="H24" t="s">
        <v>4</v>
      </c>
      <c r="I24" t="s">
        <v>5</v>
      </c>
      <c r="J24" t="s">
        <v>42</v>
      </c>
      <c r="K24" t="s">
        <v>221</v>
      </c>
      <c r="L24" t="s">
        <v>222</v>
      </c>
      <c r="M24" t="s">
        <v>223</v>
      </c>
      <c r="N24" t="s">
        <v>10</v>
      </c>
      <c r="O24" t="s">
        <v>9</v>
      </c>
      <c r="P24" t="s">
        <v>494</v>
      </c>
      <c r="Q24" t="s">
        <v>643</v>
      </c>
      <c r="R24" t="s">
        <v>644</v>
      </c>
      <c r="S24" t="s">
        <v>645</v>
      </c>
      <c r="T24" s="35" t="s">
        <v>646</v>
      </c>
      <c r="U24" s="148" t="s">
        <v>647</v>
      </c>
      <c r="V24" t="s">
        <v>12</v>
      </c>
      <c r="W24" t="s">
        <v>164</v>
      </c>
      <c r="X24" t="s">
        <v>360</v>
      </c>
      <c r="Y24" t="s">
        <v>495</v>
      </c>
      <c r="Z24" t="s">
        <v>496</v>
      </c>
      <c r="AA24" t="s">
        <v>131</v>
      </c>
      <c r="AB24" t="s">
        <v>11</v>
      </c>
      <c r="AC24" t="s">
        <v>127</v>
      </c>
      <c r="AD24" t="s">
        <v>126</v>
      </c>
      <c r="AE24" t="s">
        <v>13</v>
      </c>
      <c r="AF24" t="s">
        <v>124</v>
      </c>
      <c r="AG24" t="s">
        <v>302</v>
      </c>
      <c r="AH24" t="s">
        <v>175</v>
      </c>
      <c r="AI24" s="35" t="s">
        <v>473</v>
      </c>
      <c r="AJ24" s="35" t="s">
        <v>474</v>
      </c>
      <c r="AK24" s="148" t="s">
        <v>449</v>
      </c>
      <c r="AL24" t="s">
        <v>354</v>
      </c>
      <c r="AM24" s="148" t="s">
        <v>654</v>
      </c>
      <c r="AN24" t="s">
        <v>63</v>
      </c>
      <c r="AO24" t="s">
        <v>64</v>
      </c>
      <c r="AP24" t="s">
        <v>406</v>
      </c>
      <c r="AQ24" t="s">
        <v>398</v>
      </c>
      <c r="AR24" t="s">
        <v>399</v>
      </c>
      <c r="AS24" t="s">
        <v>400</v>
      </c>
      <c r="AT24" t="s">
        <v>401</v>
      </c>
      <c r="AU24" t="s">
        <v>402</v>
      </c>
      <c r="AV24" t="s">
        <v>403</v>
      </c>
      <c r="AW24" t="s">
        <v>404</v>
      </c>
      <c r="AX24" t="s">
        <v>455</v>
      </c>
      <c r="AY24" t="s">
        <v>456</v>
      </c>
      <c r="AZ24" t="s">
        <v>457</v>
      </c>
      <c r="BA24" t="s">
        <v>458</v>
      </c>
    </row>
    <row r="25" spans="1:53">
      <c r="A25" s="31" t="s">
        <v>54</v>
      </c>
      <c r="V25" s="2"/>
      <c r="W25" s="2"/>
      <c r="X25" s="2"/>
      <c r="Y25" s="2"/>
      <c r="Z25" s="2"/>
      <c r="AA25" s="2"/>
      <c r="AB25" s="35"/>
      <c r="AC25" s="2"/>
      <c r="AD25" s="2"/>
      <c r="AF25" s="35"/>
      <c r="AG25" s="35"/>
      <c r="AH25" s="2"/>
      <c r="AL25" s="35"/>
      <c r="AN25">
        <v>0</v>
      </c>
      <c r="AO25">
        <v>0</v>
      </c>
    </row>
    <row r="26" spans="1:53">
      <c r="A26" s="31" t="s">
        <v>535</v>
      </c>
      <c r="F26">
        <v>162</v>
      </c>
      <c r="G26">
        <v>6</v>
      </c>
      <c r="N26">
        <v>5</v>
      </c>
      <c r="V26" s="2"/>
      <c r="W26" s="2"/>
      <c r="X26" s="2"/>
      <c r="Y26" s="2"/>
      <c r="Z26" s="2"/>
      <c r="AA26" s="2"/>
      <c r="AB26" s="35"/>
      <c r="AC26" s="2"/>
      <c r="AD26" s="2"/>
      <c r="AF26" s="35"/>
      <c r="AG26" s="35"/>
      <c r="AH26" s="2"/>
      <c r="AL26" s="35"/>
      <c r="AN26">
        <v>91</v>
      </c>
      <c r="AO26">
        <v>200</v>
      </c>
    </row>
    <row r="27" spans="1:53">
      <c r="A27" s="31" t="s">
        <v>536</v>
      </c>
      <c r="F27">
        <v>162</v>
      </c>
      <c r="G27">
        <v>6</v>
      </c>
      <c r="N27">
        <v>9</v>
      </c>
      <c r="O27">
        <v>8</v>
      </c>
      <c r="V27" s="2"/>
      <c r="W27" s="2"/>
      <c r="X27" s="2"/>
      <c r="Y27" s="2"/>
      <c r="Z27" s="2"/>
      <c r="AA27" s="2"/>
      <c r="AB27" s="35"/>
      <c r="AC27" s="2"/>
      <c r="AD27" s="2"/>
      <c r="AF27" s="35"/>
      <c r="AG27" s="35"/>
      <c r="AH27" s="2"/>
      <c r="AL27" s="35"/>
      <c r="AN27">
        <v>91</v>
      </c>
      <c r="AO27">
        <v>200</v>
      </c>
    </row>
    <row r="28" spans="1:53">
      <c r="A28" s="31" t="s">
        <v>537</v>
      </c>
      <c r="F28">
        <v>162</v>
      </c>
      <c r="G28">
        <v>6</v>
      </c>
      <c r="N28">
        <v>5</v>
      </c>
      <c r="V28" s="2"/>
      <c r="W28" s="2"/>
      <c r="X28" s="2"/>
      <c r="Y28" s="2"/>
      <c r="Z28" s="2"/>
      <c r="AA28" s="2"/>
      <c r="AB28" s="35"/>
      <c r="AC28" s="2"/>
      <c r="AD28" s="2"/>
      <c r="AF28" s="35"/>
      <c r="AG28" s="35"/>
      <c r="AH28" s="2"/>
      <c r="AL28" s="35"/>
      <c r="AN28">
        <v>91</v>
      </c>
      <c r="AO28">
        <v>200</v>
      </c>
    </row>
    <row r="29" spans="1:53">
      <c r="A29" s="31" t="s">
        <v>538</v>
      </c>
      <c r="F29">
        <v>162</v>
      </c>
      <c r="G29">
        <v>16</v>
      </c>
      <c r="N29">
        <v>15</v>
      </c>
      <c r="O29">
        <v>15</v>
      </c>
      <c r="V29" s="2"/>
      <c r="W29" s="2"/>
      <c r="X29" s="2"/>
      <c r="Y29" s="2"/>
      <c r="Z29" s="2"/>
      <c r="AA29" s="2"/>
      <c r="AB29" s="35"/>
      <c r="AC29" s="2"/>
      <c r="AD29" s="2"/>
      <c r="AF29" s="35"/>
      <c r="AG29" s="35"/>
      <c r="AH29" s="2"/>
      <c r="AL29" s="35"/>
      <c r="AN29">
        <v>91</v>
      </c>
      <c r="AO29">
        <v>200</v>
      </c>
    </row>
    <row r="30" spans="1:53">
      <c r="A30" s="31" t="s">
        <v>539</v>
      </c>
      <c r="F30">
        <v>162</v>
      </c>
      <c r="G30">
        <v>6</v>
      </c>
      <c r="H30">
        <v>10</v>
      </c>
      <c r="N30">
        <v>20</v>
      </c>
      <c r="O30">
        <v>10</v>
      </c>
      <c r="V30" s="2"/>
      <c r="W30" s="2"/>
      <c r="X30" s="2"/>
      <c r="Y30" s="2"/>
      <c r="Z30" s="2"/>
      <c r="AA30" s="2"/>
      <c r="AB30" s="35"/>
      <c r="AC30" s="2"/>
      <c r="AD30" s="2"/>
      <c r="AF30" s="35"/>
      <c r="AG30" s="35"/>
      <c r="AH30" s="2"/>
      <c r="AL30" s="35"/>
      <c r="AN30">
        <v>91</v>
      </c>
      <c r="AO30">
        <v>200</v>
      </c>
    </row>
    <row r="31" spans="1:53">
      <c r="A31" t="s">
        <v>544</v>
      </c>
      <c r="F31">
        <v>102</v>
      </c>
      <c r="N31">
        <v>12</v>
      </c>
      <c r="V31" s="2"/>
      <c r="W31" s="2"/>
      <c r="X31" s="2"/>
      <c r="Y31" s="2"/>
      <c r="Z31" s="2"/>
      <c r="AA31" s="2"/>
      <c r="AB31" s="35"/>
      <c r="AC31" s="2"/>
      <c r="AD31" s="2"/>
      <c r="AF31" s="2"/>
      <c r="AG31" s="35"/>
      <c r="AH31" s="2"/>
      <c r="AL31" s="2"/>
      <c r="AN31">
        <v>60</v>
      </c>
      <c r="AO31">
        <v>150</v>
      </c>
    </row>
    <row r="32" spans="1:53">
      <c r="A32" t="s">
        <v>582</v>
      </c>
      <c r="F32">
        <v>203</v>
      </c>
      <c r="N32">
        <v>24</v>
      </c>
      <c r="V32" s="2"/>
      <c r="W32" s="2"/>
      <c r="X32" s="2"/>
      <c r="Y32" s="2"/>
      <c r="Z32" s="2"/>
      <c r="AA32" s="2"/>
      <c r="AB32" s="35"/>
      <c r="AC32" s="2"/>
      <c r="AD32" s="2"/>
      <c r="AF32" s="2"/>
      <c r="AG32" s="35"/>
      <c r="AH32" s="2"/>
      <c r="AL32" s="2"/>
      <c r="AN32">
        <v>85</v>
      </c>
      <c r="AO32">
        <v>183</v>
      </c>
    </row>
    <row r="33" spans="1:53">
      <c r="A33" t="s">
        <v>583</v>
      </c>
      <c r="F33">
        <v>203</v>
      </c>
      <c r="N33">
        <v>39</v>
      </c>
      <c r="O33">
        <v>10</v>
      </c>
      <c r="V33" s="2"/>
      <c r="W33" s="2"/>
      <c r="X33" s="2"/>
      <c r="Y33" s="2"/>
      <c r="Z33" s="2"/>
      <c r="AA33" s="2"/>
      <c r="AB33" s="35"/>
      <c r="AC33" s="2"/>
      <c r="AD33" s="2"/>
      <c r="AF33" s="2"/>
      <c r="AG33" s="35"/>
      <c r="AH33" s="2"/>
      <c r="AL33" s="2"/>
      <c r="AN33">
        <v>89</v>
      </c>
      <c r="AO33">
        <v>183</v>
      </c>
    </row>
    <row r="34" spans="1:53">
      <c r="A34" t="s">
        <v>593</v>
      </c>
      <c r="F34">
        <v>215</v>
      </c>
      <c r="H34">
        <v>5</v>
      </c>
      <c r="V34" s="2"/>
      <c r="W34" s="2"/>
      <c r="X34" s="2"/>
      <c r="Y34" s="2"/>
      <c r="Z34" s="2"/>
      <c r="AA34" s="2"/>
      <c r="AB34" s="35"/>
      <c r="AC34" s="2"/>
      <c r="AD34" s="2"/>
      <c r="AF34" s="2"/>
      <c r="AG34" s="35"/>
      <c r="AH34" s="2"/>
      <c r="AL34" s="2"/>
      <c r="AN34">
        <v>100</v>
      </c>
      <c r="AO34">
        <v>195</v>
      </c>
    </row>
    <row r="35" spans="1:53">
      <c r="A35" t="s">
        <v>594</v>
      </c>
      <c r="F35">
        <v>228</v>
      </c>
      <c r="H35">
        <v>6</v>
      </c>
      <c r="V35" s="2"/>
      <c r="W35" s="2"/>
      <c r="X35" s="2"/>
      <c r="Y35" s="2"/>
      <c r="Z35" s="2"/>
      <c r="AA35" s="2"/>
      <c r="AB35" s="35"/>
      <c r="AC35" s="2"/>
      <c r="AD35" s="2"/>
      <c r="AF35" s="2"/>
      <c r="AG35" s="35"/>
      <c r="AH35" s="2"/>
      <c r="AL35" s="2"/>
      <c r="AN35">
        <v>101</v>
      </c>
      <c r="AO35">
        <v>190</v>
      </c>
    </row>
    <row r="36" spans="1:53" s="209" customFormat="1">
      <c r="A36" s="163" t="s">
        <v>801</v>
      </c>
      <c r="B36" s="163"/>
      <c r="C36" s="163"/>
      <c r="D36" s="163"/>
      <c r="E36" s="163"/>
      <c r="F36" s="164">
        <v>242</v>
      </c>
      <c r="G36" s="164">
        <v>13</v>
      </c>
      <c r="H36" s="164">
        <v>13</v>
      </c>
      <c r="I36" s="164">
        <v>13</v>
      </c>
      <c r="J36" s="164">
        <v>13</v>
      </c>
      <c r="K36" s="164">
        <v>13</v>
      </c>
      <c r="L36" s="164">
        <v>13</v>
      </c>
      <c r="M36" s="164">
        <v>13</v>
      </c>
      <c r="N36" s="164">
        <v>13</v>
      </c>
      <c r="O36" s="163">
        <v>13</v>
      </c>
      <c r="P36" s="163"/>
      <c r="Q36" s="164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4">
        <v>113</v>
      </c>
      <c r="AO36" s="164">
        <v>208</v>
      </c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</row>
    <row r="37" spans="1:53">
      <c r="A37" t="s">
        <v>602</v>
      </c>
      <c r="F37">
        <v>242</v>
      </c>
      <c r="J37">
        <v>4</v>
      </c>
      <c r="V37" s="2"/>
      <c r="W37" s="2"/>
      <c r="X37" s="2"/>
      <c r="Y37" s="2"/>
      <c r="Z37" s="2"/>
      <c r="AA37" s="2"/>
      <c r="AB37" s="35"/>
      <c r="AC37" s="2"/>
      <c r="AD37" s="2"/>
      <c r="AF37" s="2"/>
      <c r="AG37" s="35"/>
      <c r="AH37" s="2"/>
      <c r="AL37" s="2"/>
      <c r="AN37">
        <v>101</v>
      </c>
      <c r="AO37">
        <v>196</v>
      </c>
    </row>
    <row r="38" spans="1:53">
      <c r="A38" s="31" t="s">
        <v>603</v>
      </c>
      <c r="F38">
        <v>242</v>
      </c>
      <c r="G38">
        <v>7</v>
      </c>
      <c r="J38">
        <v>4</v>
      </c>
      <c r="O38">
        <v>10</v>
      </c>
      <c r="V38" s="2"/>
      <c r="W38" s="2"/>
      <c r="X38" s="2"/>
      <c r="Y38" s="2"/>
      <c r="Z38" s="2"/>
      <c r="AA38" s="2"/>
      <c r="AB38" s="35"/>
      <c r="AC38" s="2"/>
      <c r="AD38" s="2"/>
      <c r="AF38" s="2"/>
      <c r="AG38" s="35"/>
      <c r="AH38" s="2"/>
      <c r="AL38" s="2"/>
      <c r="AN38">
        <v>104</v>
      </c>
      <c r="AO38">
        <v>196</v>
      </c>
    </row>
    <row r="39" spans="1:53">
      <c r="A39" s="31" t="s">
        <v>604</v>
      </c>
      <c r="F39">
        <v>242</v>
      </c>
      <c r="H39">
        <v>7</v>
      </c>
      <c r="J39">
        <v>4</v>
      </c>
      <c r="N39">
        <v>10</v>
      </c>
      <c r="V39" s="2"/>
      <c r="W39" s="2"/>
      <c r="X39" s="2"/>
      <c r="Y39" s="2"/>
      <c r="Z39" s="2"/>
      <c r="AA39" s="2"/>
      <c r="AB39" s="35"/>
      <c r="AC39" s="2"/>
      <c r="AD39" s="2"/>
      <c r="AF39" s="2"/>
      <c r="AG39" s="35"/>
      <c r="AH39" s="2"/>
      <c r="AL39" s="2"/>
      <c r="AN39">
        <v>104</v>
      </c>
      <c r="AO39">
        <v>196</v>
      </c>
    </row>
    <row r="40" spans="1:53">
      <c r="A40" s="31" t="s">
        <v>605</v>
      </c>
      <c r="F40">
        <v>242</v>
      </c>
      <c r="J40">
        <v>4</v>
      </c>
      <c r="O40">
        <v>10</v>
      </c>
      <c r="V40" s="2">
        <v>0.03</v>
      </c>
      <c r="W40" s="2"/>
      <c r="X40" s="2"/>
      <c r="Y40" s="2"/>
      <c r="Z40" s="2"/>
      <c r="AA40" s="2"/>
      <c r="AB40" s="35"/>
      <c r="AC40" s="2"/>
      <c r="AD40" s="2"/>
      <c r="AF40" s="2"/>
      <c r="AG40" s="35"/>
      <c r="AH40" s="2"/>
      <c r="AL40" s="2"/>
      <c r="AN40">
        <v>101</v>
      </c>
      <c r="AO40">
        <v>196</v>
      </c>
    </row>
    <row r="41" spans="1:53" s="209" customFormat="1">
      <c r="A41" s="163" t="s">
        <v>803</v>
      </c>
      <c r="B41" s="163"/>
      <c r="C41" s="163"/>
      <c r="D41" s="163"/>
      <c r="E41" s="163"/>
      <c r="F41" s="164">
        <v>242</v>
      </c>
      <c r="G41" s="164"/>
      <c r="H41" s="164"/>
      <c r="I41" s="164"/>
      <c r="J41" s="164"/>
      <c r="K41" s="164"/>
      <c r="L41" s="164"/>
      <c r="M41" s="164"/>
      <c r="N41" s="164"/>
      <c r="O41" s="163"/>
      <c r="P41" s="163"/>
      <c r="Q41" s="164"/>
      <c r="R41" s="163"/>
      <c r="S41" s="163"/>
      <c r="T41" s="163"/>
      <c r="U41" s="163"/>
      <c r="V41" s="163"/>
      <c r="W41" s="221">
        <v>0.03</v>
      </c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4">
        <v>99</v>
      </c>
      <c r="AO41" s="164">
        <v>183</v>
      </c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</row>
    <row r="42" spans="1:53" s="209" customFormat="1">
      <c r="A42" s="163" t="s">
        <v>802</v>
      </c>
      <c r="B42" s="163"/>
      <c r="C42" s="163"/>
      <c r="D42" s="163"/>
      <c r="E42" s="163"/>
      <c r="F42" s="164">
        <v>242</v>
      </c>
      <c r="G42" s="164"/>
      <c r="H42" s="164"/>
      <c r="I42" s="164"/>
      <c r="J42" s="164">
        <v>15</v>
      </c>
      <c r="K42" s="164"/>
      <c r="L42" s="164"/>
      <c r="M42" s="164"/>
      <c r="N42" s="164">
        <v>27</v>
      </c>
      <c r="O42" s="163"/>
      <c r="P42" s="163"/>
      <c r="Q42" s="164"/>
      <c r="R42" s="163"/>
      <c r="S42" s="163"/>
      <c r="T42" s="163"/>
      <c r="U42" s="163"/>
      <c r="V42" s="163"/>
      <c r="W42" s="221">
        <v>0.04</v>
      </c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4">
        <v>100</v>
      </c>
      <c r="AO42" s="164">
        <v>175</v>
      </c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</row>
    <row r="43" spans="1:53">
      <c r="A43" t="s">
        <v>589</v>
      </c>
      <c r="F43">
        <v>242</v>
      </c>
      <c r="N43">
        <v>13</v>
      </c>
      <c r="V43" s="2"/>
      <c r="W43" s="2"/>
      <c r="X43" s="2"/>
      <c r="Y43" s="2"/>
      <c r="Z43" s="2"/>
      <c r="AA43" s="2"/>
      <c r="AB43" s="35"/>
      <c r="AC43" s="2"/>
      <c r="AD43" s="2"/>
      <c r="AF43" s="35"/>
      <c r="AG43" s="35"/>
      <c r="AH43" s="2"/>
      <c r="AL43" s="2"/>
      <c r="AN43">
        <v>111</v>
      </c>
      <c r="AO43">
        <v>205</v>
      </c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35"/>
    </row>
    <row r="46" spans="1:53">
      <c r="A46" s="31" t="s">
        <v>668</v>
      </c>
      <c r="B46" t="s">
        <v>30</v>
      </c>
      <c r="C46" t="s">
        <v>529</v>
      </c>
      <c r="D46" t="s">
        <v>657</v>
      </c>
      <c r="E46" t="s">
        <v>499</v>
      </c>
      <c r="F46" s="31" t="s">
        <v>524</v>
      </c>
      <c r="G46" t="s">
        <v>3</v>
      </c>
      <c r="H46" t="s">
        <v>4</v>
      </c>
      <c r="I46" t="s">
        <v>5</v>
      </c>
      <c r="J46" t="s">
        <v>42</v>
      </c>
      <c r="K46" t="s">
        <v>221</v>
      </c>
      <c r="L46" t="s">
        <v>222</v>
      </c>
      <c r="M46" t="s">
        <v>223</v>
      </c>
      <c r="N46" t="s">
        <v>10</v>
      </c>
      <c r="O46" t="s">
        <v>9</v>
      </c>
      <c r="P46" t="s">
        <v>494</v>
      </c>
      <c r="Q46" t="s">
        <v>643</v>
      </c>
      <c r="R46" t="s">
        <v>644</v>
      </c>
      <c r="S46" t="s">
        <v>645</v>
      </c>
      <c r="T46" s="35" t="s">
        <v>646</v>
      </c>
      <c r="U46" s="148" t="s">
        <v>647</v>
      </c>
      <c r="V46" t="s">
        <v>12</v>
      </c>
      <c r="W46" t="s">
        <v>164</v>
      </c>
      <c r="X46" t="s">
        <v>360</v>
      </c>
      <c r="Y46" t="s">
        <v>495</v>
      </c>
      <c r="Z46" t="s">
        <v>496</v>
      </c>
      <c r="AA46" t="s">
        <v>131</v>
      </c>
      <c r="AB46" t="s">
        <v>11</v>
      </c>
      <c r="AC46" t="s">
        <v>127</v>
      </c>
      <c r="AD46" t="s">
        <v>126</v>
      </c>
      <c r="AE46" t="s">
        <v>13</v>
      </c>
      <c r="AF46" t="s">
        <v>124</v>
      </c>
      <c r="AG46" t="s">
        <v>302</v>
      </c>
      <c r="AH46" t="s">
        <v>175</v>
      </c>
      <c r="AI46" s="35" t="s">
        <v>473</v>
      </c>
      <c r="AJ46" s="35" t="s">
        <v>474</v>
      </c>
      <c r="AK46" s="148" t="s">
        <v>449</v>
      </c>
      <c r="AL46" t="s">
        <v>354</v>
      </c>
      <c r="AM46" s="148" t="s">
        <v>654</v>
      </c>
      <c r="AN46" t="s">
        <v>63</v>
      </c>
      <c r="AO46" t="s">
        <v>64</v>
      </c>
      <c r="AP46" t="s">
        <v>406</v>
      </c>
      <c r="AQ46" t="s">
        <v>398</v>
      </c>
      <c r="AR46" t="s">
        <v>399</v>
      </c>
      <c r="AS46" t="s">
        <v>400</v>
      </c>
      <c r="AT46" t="s">
        <v>401</v>
      </c>
      <c r="AU46" t="s">
        <v>402</v>
      </c>
      <c r="AV46" t="s">
        <v>403</v>
      </c>
      <c r="AW46" t="s">
        <v>404</v>
      </c>
      <c r="AX46" t="s">
        <v>455</v>
      </c>
      <c r="AY46" t="s">
        <v>456</v>
      </c>
      <c r="AZ46" t="s">
        <v>457</v>
      </c>
      <c r="BA46" t="s">
        <v>458</v>
      </c>
    </row>
    <row r="47" spans="1:53">
      <c r="A47" s="31" t="s">
        <v>54</v>
      </c>
      <c r="V47" s="2"/>
      <c r="W47" s="2"/>
      <c r="X47" s="2"/>
      <c r="Y47" s="2"/>
      <c r="Z47" s="2"/>
      <c r="AA47" s="2"/>
      <c r="AB47" s="35"/>
      <c r="AC47" s="2"/>
      <c r="AD47" s="2"/>
      <c r="AF47" s="35"/>
      <c r="AG47" s="35"/>
      <c r="AH47" s="2"/>
      <c r="AL47" s="35"/>
      <c r="AN47">
        <v>0</v>
      </c>
      <c r="AO47">
        <v>0</v>
      </c>
    </row>
    <row r="48" spans="1:53">
      <c r="A48" s="31" t="s">
        <v>555</v>
      </c>
      <c r="F48">
        <v>215</v>
      </c>
      <c r="Q48">
        <v>5</v>
      </c>
      <c r="V48" s="2"/>
      <c r="W48" s="2"/>
      <c r="X48" s="2"/>
      <c r="Y48" s="2"/>
      <c r="Z48" s="2"/>
      <c r="AA48" s="2"/>
      <c r="AB48" s="35"/>
      <c r="AC48" s="2"/>
      <c r="AD48" s="2"/>
      <c r="AF48" s="35"/>
      <c r="AG48" s="35"/>
      <c r="AH48" s="2"/>
      <c r="AL48" s="35"/>
      <c r="AN48">
        <v>90</v>
      </c>
      <c r="AO48">
        <v>192</v>
      </c>
    </row>
    <row r="49" spans="1:41">
      <c r="A49" s="31" t="s">
        <v>664</v>
      </c>
      <c r="F49">
        <v>215</v>
      </c>
      <c r="N49">
        <v>5</v>
      </c>
      <c r="O49">
        <v>5</v>
      </c>
      <c r="Q49">
        <v>10</v>
      </c>
      <c r="V49" s="2"/>
      <c r="W49" s="2"/>
      <c r="X49" s="2"/>
      <c r="Y49" s="2"/>
      <c r="Z49" s="2"/>
      <c r="AA49" s="2"/>
      <c r="AB49" s="35"/>
      <c r="AC49" s="2">
        <v>0.01</v>
      </c>
      <c r="AD49" s="2"/>
      <c r="AF49" s="35"/>
      <c r="AG49" s="35"/>
      <c r="AH49" s="2"/>
      <c r="AL49" s="35"/>
      <c r="AN49">
        <v>98</v>
      </c>
      <c r="AO49">
        <v>192</v>
      </c>
    </row>
    <row r="50" spans="1:41">
      <c r="A50" s="31" t="s">
        <v>665</v>
      </c>
      <c r="F50">
        <v>228</v>
      </c>
      <c r="N50">
        <v>6</v>
      </c>
      <c r="O50">
        <v>6</v>
      </c>
      <c r="Q50">
        <v>11</v>
      </c>
      <c r="V50" s="2"/>
      <c r="W50" s="2"/>
      <c r="X50" s="2"/>
      <c r="Y50" s="2"/>
      <c r="Z50" s="2"/>
      <c r="AA50" s="2"/>
      <c r="AB50" s="35"/>
      <c r="AC50" s="2">
        <v>0.02</v>
      </c>
      <c r="AD50" s="2"/>
      <c r="AF50" s="35"/>
      <c r="AG50" s="35"/>
      <c r="AH50" s="2"/>
      <c r="AL50" s="35"/>
      <c r="AN50">
        <v>99</v>
      </c>
      <c r="AO50">
        <v>192</v>
      </c>
    </row>
    <row r="51" spans="1:41">
      <c r="A51" s="31" t="s">
        <v>683</v>
      </c>
      <c r="G51">
        <v>3</v>
      </c>
      <c r="K51">
        <v>5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35"/>
      <c r="AG51" s="35"/>
      <c r="AH51" s="2"/>
      <c r="AL51" s="35"/>
    </row>
    <row r="52" spans="1:41">
      <c r="A52" s="31" t="s">
        <v>554</v>
      </c>
      <c r="H52">
        <v>4</v>
      </c>
      <c r="N52">
        <v>4</v>
      </c>
      <c r="V52" s="2"/>
      <c r="W52" s="2"/>
      <c r="X52" s="2"/>
      <c r="Y52" s="2"/>
      <c r="Z52" s="2"/>
      <c r="AA52" s="2"/>
      <c r="AB52" s="35"/>
      <c r="AC52" s="2"/>
      <c r="AD52" s="2"/>
      <c r="AF52" s="35"/>
      <c r="AG52" s="35"/>
      <c r="AH52" s="2"/>
      <c r="AL52" s="35"/>
    </row>
    <row r="53" spans="1:41">
      <c r="A53" s="31" t="s">
        <v>146</v>
      </c>
      <c r="R53">
        <v>10</v>
      </c>
      <c r="V53" s="2"/>
      <c r="W53" s="2"/>
      <c r="X53" s="2"/>
      <c r="Y53" s="2"/>
      <c r="Z53" s="2"/>
      <c r="AA53" s="2"/>
      <c r="AB53" s="35"/>
      <c r="AC53" s="2"/>
      <c r="AD53" s="2"/>
      <c r="AF53" s="35"/>
      <c r="AG53" s="35"/>
      <c r="AH53" s="2"/>
      <c r="AL53" s="35"/>
      <c r="AN53">
        <v>88</v>
      </c>
      <c r="AO53">
        <v>192</v>
      </c>
    </row>
    <row r="54" spans="1:41">
      <c r="A54" s="31" t="s">
        <v>661</v>
      </c>
      <c r="V54" s="2"/>
      <c r="W54" s="2"/>
      <c r="X54" s="2"/>
      <c r="Y54" s="2"/>
      <c r="Z54" s="2"/>
      <c r="AA54" s="2"/>
      <c r="AB54" s="35"/>
      <c r="AC54" s="2"/>
      <c r="AD54" s="2"/>
      <c r="AF54" s="35"/>
      <c r="AG54" s="35"/>
      <c r="AH54" s="2"/>
      <c r="AL54" s="35"/>
      <c r="AN54">
        <v>63</v>
      </c>
      <c r="AO54">
        <v>192</v>
      </c>
    </row>
    <row r="55" spans="1:41">
      <c r="A55" s="31" t="s">
        <v>660</v>
      </c>
      <c r="Q55">
        <v>18</v>
      </c>
      <c r="V55" s="2"/>
      <c r="W55" s="2"/>
      <c r="X55" s="2"/>
      <c r="Y55" s="2"/>
      <c r="Z55" s="2"/>
      <c r="AA55" s="2"/>
      <c r="AB55" s="35"/>
      <c r="AC55" s="2"/>
      <c r="AD55" s="2"/>
      <c r="AF55" s="35"/>
      <c r="AG55" s="35"/>
      <c r="AH55" s="2"/>
      <c r="AL55" s="35"/>
      <c r="AN55">
        <v>85</v>
      </c>
      <c r="AO55">
        <v>192</v>
      </c>
    </row>
    <row r="56" spans="1:41">
      <c r="A56" s="31" t="s">
        <v>662</v>
      </c>
      <c r="F56">
        <v>81</v>
      </c>
      <c r="O56">
        <v>12</v>
      </c>
      <c r="Q56">
        <v>3</v>
      </c>
      <c r="V56" s="2"/>
      <c r="W56" s="2"/>
      <c r="X56" s="2"/>
      <c r="Y56" s="2"/>
      <c r="Z56" s="2"/>
      <c r="AA56" s="2"/>
      <c r="AB56" s="35"/>
      <c r="AC56" s="2"/>
      <c r="AD56" s="2"/>
      <c r="AF56" s="35"/>
      <c r="AG56" s="35"/>
      <c r="AH56" s="2"/>
      <c r="AL56" s="35"/>
      <c r="AN56">
        <v>71</v>
      </c>
      <c r="AO56">
        <v>192</v>
      </c>
    </row>
    <row r="57" spans="1:41">
      <c r="A57" s="31" t="s">
        <v>663</v>
      </c>
      <c r="F57">
        <v>94</v>
      </c>
      <c r="O57">
        <v>13</v>
      </c>
      <c r="Q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35"/>
      <c r="AG57" s="35"/>
      <c r="AH57" s="2"/>
      <c r="AL57" s="35"/>
      <c r="AN57">
        <v>72</v>
      </c>
      <c r="AO57">
        <v>192</v>
      </c>
    </row>
    <row r="58" spans="1:41">
      <c r="A58" s="31" t="s">
        <v>659</v>
      </c>
      <c r="V58" s="2"/>
      <c r="W58" s="2"/>
      <c r="X58" s="2"/>
      <c r="Y58" s="2"/>
      <c r="Z58" s="2"/>
      <c r="AA58" s="2"/>
      <c r="AB58" s="35"/>
      <c r="AC58" s="2"/>
      <c r="AD58" s="2"/>
      <c r="AF58" s="35"/>
      <c r="AG58" s="35"/>
      <c r="AH58" s="2"/>
      <c r="AL58" s="35"/>
      <c r="AN58">
        <v>29</v>
      </c>
      <c r="AO58">
        <v>192</v>
      </c>
    </row>
    <row r="59" spans="1:41">
      <c r="A59" s="31" t="s">
        <v>666</v>
      </c>
      <c r="F59">
        <v>215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92</v>
      </c>
      <c r="AO59">
        <v>192</v>
      </c>
    </row>
    <row r="60" spans="1:41">
      <c r="A60" s="31" t="s">
        <v>667</v>
      </c>
      <c r="F60">
        <v>242</v>
      </c>
      <c r="I60">
        <v>3</v>
      </c>
      <c r="J60">
        <v>3</v>
      </c>
      <c r="N60">
        <v>5</v>
      </c>
      <c r="O60">
        <v>5</v>
      </c>
      <c r="Q60">
        <v>10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104</v>
      </c>
      <c r="AO60">
        <v>192</v>
      </c>
    </row>
    <row r="61" spans="1:41">
      <c r="A61" t="s">
        <v>667</v>
      </c>
      <c r="F61">
        <v>242</v>
      </c>
      <c r="I61">
        <v>3</v>
      </c>
      <c r="J61">
        <v>3</v>
      </c>
      <c r="N61">
        <v>5</v>
      </c>
      <c r="O61">
        <v>5</v>
      </c>
      <c r="Q61">
        <v>10</v>
      </c>
      <c r="AN61">
        <v>104</v>
      </c>
      <c r="AO61">
        <v>192</v>
      </c>
    </row>
    <row r="63" spans="1:41">
      <c r="A63" t="s">
        <v>136</v>
      </c>
      <c r="B63" t="s">
        <v>30</v>
      </c>
      <c r="C63" t="s">
        <v>529</v>
      </c>
      <c r="D63" t="s">
        <v>657</v>
      </c>
      <c r="E63" t="s">
        <v>499</v>
      </c>
      <c r="F63" s="31" t="s">
        <v>524</v>
      </c>
      <c r="G63" t="s">
        <v>3</v>
      </c>
      <c r="H63" t="s">
        <v>4</v>
      </c>
      <c r="I63" t="s">
        <v>5</v>
      </c>
      <c r="J63" t="s">
        <v>42</v>
      </c>
      <c r="K63" t="s">
        <v>221</v>
      </c>
      <c r="L63" t="s">
        <v>222</v>
      </c>
      <c r="M63" t="s">
        <v>223</v>
      </c>
      <c r="N63" t="s">
        <v>10</v>
      </c>
      <c r="O63" t="s">
        <v>9</v>
      </c>
      <c r="P63" t="s">
        <v>494</v>
      </c>
      <c r="Q63" t="s">
        <v>643</v>
      </c>
      <c r="R63" t="s">
        <v>644</v>
      </c>
      <c r="S63" t="s">
        <v>645</v>
      </c>
      <c r="T63" s="35" t="s">
        <v>646</v>
      </c>
      <c r="U63" s="148" t="s">
        <v>647</v>
      </c>
      <c r="V63" t="s">
        <v>12</v>
      </c>
      <c r="W63" t="s">
        <v>164</v>
      </c>
      <c r="X63" t="s">
        <v>360</v>
      </c>
      <c r="Y63" t="s">
        <v>495</v>
      </c>
      <c r="Z63" t="s">
        <v>496</v>
      </c>
      <c r="AA63" t="s">
        <v>131</v>
      </c>
      <c r="AB63" t="s">
        <v>11</v>
      </c>
      <c r="AC63" t="s">
        <v>127</v>
      </c>
      <c r="AD63" t="s">
        <v>126</v>
      </c>
      <c r="AE63" t="s">
        <v>13</v>
      </c>
      <c r="AF63" t="s">
        <v>124</v>
      </c>
      <c r="AG63" t="s">
        <v>302</v>
      </c>
      <c r="AH63" t="s">
        <v>175</v>
      </c>
      <c r="AI63" s="35" t="s">
        <v>473</v>
      </c>
      <c r="AJ63" s="35" t="s">
        <v>474</v>
      </c>
      <c r="AK63" s="148" t="s">
        <v>449</v>
      </c>
      <c r="AL63" t="s">
        <v>354</v>
      </c>
      <c r="AM63" s="148" t="s">
        <v>654</v>
      </c>
    </row>
    <row r="64" spans="1:41">
      <c r="A64" t="s">
        <v>318</v>
      </c>
      <c r="J64">
        <v>6</v>
      </c>
    </row>
    <row r="65" spans="1:43">
      <c r="A65" t="s">
        <v>138</v>
      </c>
      <c r="G65">
        <v>3</v>
      </c>
    </row>
    <row r="66" spans="1:43">
      <c r="A66" t="s">
        <v>137</v>
      </c>
    </row>
    <row r="69" spans="1:43">
      <c r="A69" t="s">
        <v>15</v>
      </c>
      <c r="B69" t="s">
        <v>30</v>
      </c>
      <c r="C69" t="s">
        <v>529</v>
      </c>
      <c r="D69" t="s">
        <v>657</v>
      </c>
      <c r="E69" t="s">
        <v>499</v>
      </c>
      <c r="F69" s="31" t="s">
        <v>524</v>
      </c>
      <c r="G69" t="s">
        <v>3</v>
      </c>
      <c r="H69" t="s">
        <v>4</v>
      </c>
      <c r="I69" t="s">
        <v>5</v>
      </c>
      <c r="J69" t="s">
        <v>42</v>
      </c>
      <c r="K69" t="s">
        <v>221</v>
      </c>
      <c r="L69" t="s">
        <v>222</v>
      </c>
      <c r="M69" t="s">
        <v>223</v>
      </c>
      <c r="N69" t="s">
        <v>10</v>
      </c>
      <c r="O69" t="s">
        <v>9</v>
      </c>
      <c r="P69" t="s">
        <v>494</v>
      </c>
      <c r="Q69" t="s">
        <v>643</v>
      </c>
      <c r="R69" t="s">
        <v>644</v>
      </c>
      <c r="S69" t="s">
        <v>645</v>
      </c>
      <c r="T69" s="35" t="s">
        <v>646</v>
      </c>
      <c r="U69" s="148" t="s">
        <v>647</v>
      </c>
      <c r="V69" t="s">
        <v>12</v>
      </c>
      <c r="W69" t="s">
        <v>164</v>
      </c>
      <c r="X69" t="s">
        <v>360</v>
      </c>
      <c r="Y69" t="s">
        <v>495</v>
      </c>
      <c r="Z69" t="s">
        <v>496</v>
      </c>
      <c r="AA69" t="s">
        <v>131</v>
      </c>
      <c r="AB69" t="s">
        <v>11</v>
      </c>
      <c r="AC69" t="s">
        <v>127</v>
      </c>
      <c r="AD69" t="s">
        <v>126</v>
      </c>
      <c r="AE69" t="s">
        <v>13</v>
      </c>
      <c r="AF69" t="s">
        <v>124</v>
      </c>
      <c r="AG69" t="s">
        <v>302</v>
      </c>
      <c r="AH69" t="s">
        <v>175</v>
      </c>
      <c r="AI69" s="35" t="s">
        <v>473</v>
      </c>
      <c r="AJ69" s="35" t="s">
        <v>474</v>
      </c>
      <c r="AK69" s="148" t="s">
        <v>449</v>
      </c>
      <c r="AL69" t="s">
        <v>354</v>
      </c>
      <c r="AM69" s="148" t="s">
        <v>654</v>
      </c>
    </row>
    <row r="70" spans="1:43">
      <c r="A70" t="s">
        <v>308</v>
      </c>
      <c r="O70">
        <v>2</v>
      </c>
      <c r="V70" s="2">
        <v>0.01</v>
      </c>
      <c r="W70" s="2"/>
      <c r="X70" s="2"/>
      <c r="Y70" s="2"/>
      <c r="Z70" s="2"/>
      <c r="AA70" s="2"/>
      <c r="AB70" s="35"/>
      <c r="AC70" s="2"/>
      <c r="AD70" s="2"/>
      <c r="AF70" s="35"/>
      <c r="AG70" s="35"/>
      <c r="AH70" s="2"/>
      <c r="AL70" s="35"/>
    </row>
    <row r="71" spans="1:43">
      <c r="A71" s="31" t="s">
        <v>553</v>
      </c>
      <c r="G71">
        <v>5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</row>
    <row r="72" spans="1:43">
      <c r="A72" t="s">
        <v>82</v>
      </c>
      <c r="H72">
        <v>1</v>
      </c>
      <c r="N72">
        <v>4</v>
      </c>
      <c r="O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</row>
    <row r="73" spans="1:43">
      <c r="A73" t="s">
        <v>139</v>
      </c>
      <c r="O73">
        <v>12</v>
      </c>
      <c r="V73" s="2"/>
      <c r="W73" s="2"/>
      <c r="X73" s="2"/>
      <c r="Y73" s="2"/>
      <c r="Z73" s="2"/>
      <c r="AA73" s="2"/>
      <c r="AB73" s="35"/>
      <c r="AC73" s="2"/>
      <c r="AD73" s="2"/>
      <c r="AF73" s="35"/>
      <c r="AG73" s="35"/>
      <c r="AH73" s="2"/>
      <c r="AL73" s="35"/>
    </row>
    <row r="74" spans="1:43">
      <c r="A74" t="s">
        <v>310</v>
      </c>
      <c r="J74">
        <v>2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</row>
    <row r="75" spans="1:43">
      <c r="A75" t="s">
        <v>319</v>
      </c>
      <c r="H75">
        <v>4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</row>
    <row r="76" spans="1:43">
      <c r="A76" t="s">
        <v>683</v>
      </c>
      <c r="G76">
        <v>3</v>
      </c>
      <c r="K76">
        <v>5</v>
      </c>
      <c r="O76">
        <v>10</v>
      </c>
      <c r="V76" s="2"/>
      <c r="W76" s="2"/>
      <c r="X76" s="2"/>
      <c r="Y76" s="2"/>
      <c r="Z76" s="2"/>
      <c r="AA76" s="2"/>
      <c r="AB76" s="35"/>
      <c r="AC76" s="2"/>
      <c r="AD76" s="2"/>
      <c r="AF76" s="35"/>
      <c r="AG76" s="35"/>
      <c r="AH76" s="2"/>
      <c r="AL76" s="35"/>
    </row>
    <row r="77" spans="1:43">
      <c r="A77" t="s">
        <v>140</v>
      </c>
      <c r="N77">
        <v>6</v>
      </c>
      <c r="O77">
        <v>6</v>
      </c>
      <c r="V77" s="2"/>
      <c r="W77" s="2"/>
      <c r="X77" s="2"/>
      <c r="Y77" s="2"/>
      <c r="Z77" s="2"/>
      <c r="AA77" s="2"/>
      <c r="AB77" s="35"/>
      <c r="AC77" s="2"/>
      <c r="AD77" s="2"/>
      <c r="AF77" s="35"/>
      <c r="AG77" s="35"/>
      <c r="AH77" s="2"/>
      <c r="AL77" s="35"/>
    </row>
    <row r="78" spans="1:43">
      <c r="A78" t="s">
        <v>309</v>
      </c>
      <c r="G78">
        <v>5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3">
      <c r="A79" t="s">
        <v>595</v>
      </c>
      <c r="N79">
        <v>5</v>
      </c>
      <c r="O79">
        <v>10</v>
      </c>
      <c r="V79" s="2"/>
      <c r="W79" s="2"/>
      <c r="X79" s="2"/>
      <c r="Y79" s="2"/>
      <c r="Z79" s="2"/>
      <c r="AA79" s="2"/>
      <c r="AB79" s="35"/>
      <c r="AC79" s="2"/>
      <c r="AD79" s="2"/>
      <c r="AE79">
        <v>3</v>
      </c>
      <c r="AF79" s="2"/>
      <c r="AG79" s="2"/>
      <c r="AH79" s="2"/>
      <c r="AL79" s="35"/>
      <c r="AN79" s="2"/>
      <c r="AO79" s="35"/>
    </row>
    <row r="80" spans="1:43">
      <c r="A80" t="s">
        <v>639</v>
      </c>
      <c r="N80">
        <v>10</v>
      </c>
      <c r="O80">
        <v>10</v>
      </c>
      <c r="V80" s="2"/>
      <c r="W80" s="2"/>
      <c r="X80" s="2"/>
      <c r="Y80" s="2"/>
      <c r="Z80" s="2"/>
      <c r="AA80" s="2"/>
      <c r="AB80" s="35">
        <v>20</v>
      </c>
      <c r="AC80" s="2"/>
      <c r="AD80" s="2"/>
      <c r="AE80">
        <v>-3</v>
      </c>
      <c r="AF80" s="35"/>
      <c r="AG80" s="35"/>
      <c r="AH80" s="2"/>
      <c r="AL80" s="2"/>
      <c r="AQ80" s="2"/>
    </row>
    <row r="81" spans="1:43">
      <c r="A81" s="31" t="s">
        <v>554</v>
      </c>
      <c r="H81">
        <v>4</v>
      </c>
      <c r="N81">
        <v>4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>
      <c r="A82" t="s">
        <v>141</v>
      </c>
      <c r="N82">
        <v>8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638</v>
      </c>
      <c r="K83">
        <v>6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2"/>
      <c r="AQ83" s="2"/>
    </row>
    <row r="84" spans="1:43">
      <c r="A84" s="31" t="s">
        <v>712</v>
      </c>
      <c r="G84">
        <v>5</v>
      </c>
      <c r="N84">
        <v>13</v>
      </c>
      <c r="O84">
        <v>13</v>
      </c>
      <c r="T84">
        <v>7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s="31" customFormat="1">
      <c r="A85" s="31" t="s">
        <v>616</v>
      </c>
      <c r="J85" s="31">
        <v>3</v>
      </c>
      <c r="N85" s="31">
        <v>15</v>
      </c>
      <c r="O85" s="31">
        <v>15</v>
      </c>
      <c r="V85" s="12"/>
      <c r="W85" s="12"/>
      <c r="X85" s="12"/>
      <c r="Y85" s="12"/>
      <c r="Z85" s="12"/>
      <c r="AA85" s="12"/>
      <c r="AB85" s="50"/>
      <c r="AC85" s="12"/>
      <c r="AD85" s="12"/>
      <c r="AF85" s="50"/>
      <c r="AG85" s="12"/>
      <c r="AH85" s="12"/>
      <c r="AI85" s="50"/>
      <c r="AJ85" s="50"/>
      <c r="AK85" s="50"/>
      <c r="AL85" s="50"/>
      <c r="AM85" s="50"/>
    </row>
    <row r="86" spans="1:43">
      <c r="A86" t="s">
        <v>311</v>
      </c>
      <c r="H86">
        <v>2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103</v>
      </c>
      <c r="N87">
        <v>2</v>
      </c>
      <c r="O87">
        <v>2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80</v>
      </c>
      <c r="V88" s="2"/>
      <c r="W88" s="2"/>
      <c r="X88" s="2"/>
      <c r="Y88" s="2"/>
      <c r="Z88" s="2"/>
      <c r="AA88" s="2"/>
      <c r="AB88" s="35"/>
      <c r="AC88" s="2"/>
      <c r="AD88" s="2"/>
      <c r="AE88">
        <v>2</v>
      </c>
      <c r="AF88" s="35"/>
      <c r="AG88" s="35"/>
      <c r="AH88" s="2"/>
      <c r="AL88" s="35"/>
    </row>
    <row r="89" spans="1:43" s="209" customFormat="1">
      <c r="A89" s="209" t="s">
        <v>795</v>
      </c>
      <c r="N89" s="209">
        <v>15</v>
      </c>
      <c r="S89" s="209">
        <v>15</v>
      </c>
      <c r="V89" s="210"/>
      <c r="W89" s="210"/>
      <c r="X89" s="210"/>
      <c r="Y89" s="210"/>
      <c r="Z89" s="210"/>
      <c r="AA89" s="210"/>
      <c r="AB89" s="212"/>
      <c r="AC89" s="210"/>
      <c r="AD89" s="210"/>
      <c r="AE89" s="209">
        <v>3</v>
      </c>
      <c r="AF89" s="212"/>
      <c r="AG89" s="212"/>
      <c r="AH89" s="210"/>
      <c r="AI89" s="212"/>
      <c r="AJ89" s="212"/>
      <c r="AK89" s="212"/>
      <c r="AL89" s="212"/>
      <c r="AM89" s="212"/>
    </row>
    <row r="90" spans="1:43">
      <c r="A90" t="s">
        <v>591</v>
      </c>
      <c r="V90" s="2"/>
      <c r="W90" s="2"/>
      <c r="X90" s="2"/>
      <c r="Y90" s="2"/>
      <c r="Z90" s="2"/>
      <c r="AA90" s="2"/>
      <c r="AB90" s="35"/>
      <c r="AC90" s="2">
        <v>0.01</v>
      </c>
      <c r="AD90" s="2">
        <v>0.05</v>
      </c>
      <c r="AF90" s="2"/>
      <c r="AG90" s="35"/>
      <c r="AH90" s="2"/>
      <c r="AL90" s="2"/>
    </row>
    <row r="91" spans="1:43">
      <c r="A91" t="s">
        <v>592</v>
      </c>
      <c r="V91" s="2"/>
      <c r="W91" s="2"/>
      <c r="X91" s="2"/>
      <c r="Y91" s="2"/>
      <c r="Z91" s="2"/>
      <c r="AA91" s="2"/>
      <c r="AB91" s="35"/>
      <c r="AC91" s="2">
        <v>0.02</v>
      </c>
      <c r="AD91" s="2">
        <v>0.06</v>
      </c>
      <c r="AF91" s="2"/>
      <c r="AG91" s="35"/>
      <c r="AH91" s="2"/>
      <c r="AL91" s="2"/>
    </row>
    <row r="92" spans="1:43">
      <c r="AB92" s="35"/>
      <c r="AF92" s="35"/>
      <c r="AG92" s="35"/>
      <c r="AL92" s="35"/>
    </row>
    <row r="94" spans="1:43">
      <c r="A94" t="s">
        <v>16</v>
      </c>
      <c r="B94" t="s">
        <v>30</v>
      </c>
      <c r="C94" t="s">
        <v>529</v>
      </c>
      <c r="D94" t="s">
        <v>657</v>
      </c>
      <c r="E94" t="s">
        <v>499</v>
      </c>
      <c r="F94" s="31" t="s">
        <v>524</v>
      </c>
      <c r="G94" t="s">
        <v>3</v>
      </c>
      <c r="H94" t="s">
        <v>4</v>
      </c>
      <c r="I94" t="s">
        <v>5</v>
      </c>
      <c r="J94" t="s">
        <v>42</v>
      </c>
      <c r="K94" t="s">
        <v>221</v>
      </c>
      <c r="L94" t="s">
        <v>222</v>
      </c>
      <c r="M94" t="s">
        <v>223</v>
      </c>
      <c r="N94" t="s">
        <v>10</v>
      </c>
      <c r="O94" t="s">
        <v>9</v>
      </c>
      <c r="P94" t="s">
        <v>494</v>
      </c>
      <c r="Q94" t="s">
        <v>643</v>
      </c>
      <c r="R94" t="s">
        <v>644</v>
      </c>
      <c r="S94" t="s">
        <v>645</v>
      </c>
      <c r="T94" s="35" t="s">
        <v>646</v>
      </c>
      <c r="U94" s="148" t="s">
        <v>647</v>
      </c>
      <c r="V94" t="s">
        <v>12</v>
      </c>
      <c r="W94" t="s">
        <v>164</v>
      </c>
      <c r="X94" t="s">
        <v>360</v>
      </c>
      <c r="Y94" t="s">
        <v>495</v>
      </c>
      <c r="Z94" t="s">
        <v>496</v>
      </c>
      <c r="AA94" t="s">
        <v>131</v>
      </c>
      <c r="AB94" t="s">
        <v>11</v>
      </c>
      <c r="AC94" t="s">
        <v>127</v>
      </c>
      <c r="AD94" t="s">
        <v>126</v>
      </c>
      <c r="AE94" t="s">
        <v>13</v>
      </c>
      <c r="AF94" t="s">
        <v>124</v>
      </c>
      <c r="AG94" t="s">
        <v>302</v>
      </c>
      <c r="AH94" t="s">
        <v>175</v>
      </c>
      <c r="AI94" s="35" t="s">
        <v>473</v>
      </c>
      <c r="AJ94" s="35" t="s">
        <v>474</v>
      </c>
      <c r="AK94" s="148" t="s">
        <v>449</v>
      </c>
      <c r="AL94" t="s">
        <v>354</v>
      </c>
      <c r="AM94" s="148" t="s">
        <v>654</v>
      </c>
    </row>
    <row r="95" spans="1:43">
      <c r="A95" s="167" t="s">
        <v>715</v>
      </c>
      <c r="B95" s="167"/>
      <c r="C95" s="167"/>
      <c r="D95" s="167"/>
      <c r="E95" s="167"/>
      <c r="F95" s="167"/>
      <c r="G95" s="167">
        <v>19</v>
      </c>
      <c r="H95" s="167">
        <v>33</v>
      </c>
      <c r="I95" s="167">
        <v>15</v>
      </c>
      <c r="J95" s="167">
        <v>31</v>
      </c>
      <c r="K95" s="167">
        <v>14</v>
      </c>
      <c r="L95" s="167">
        <v>14</v>
      </c>
      <c r="M95" s="167">
        <v>14</v>
      </c>
      <c r="N95" s="167">
        <v>20</v>
      </c>
      <c r="O95" s="167">
        <v>20</v>
      </c>
      <c r="P95" s="167"/>
      <c r="Q95" s="167"/>
      <c r="R95" s="167">
        <v>20</v>
      </c>
      <c r="S95" s="167"/>
      <c r="T95" s="167"/>
      <c r="U95" s="167"/>
      <c r="V95" s="168"/>
      <c r="W95" s="168">
        <v>0.04</v>
      </c>
      <c r="X95" s="168"/>
      <c r="Y95" s="168"/>
      <c r="Z95" s="168"/>
      <c r="AA95" s="168"/>
      <c r="AB95" s="169">
        <v>81</v>
      </c>
      <c r="AC95" s="168"/>
      <c r="AD95" s="168">
        <v>0.06</v>
      </c>
      <c r="AE95" s="169"/>
      <c r="AF95" s="169"/>
      <c r="AG95" s="2"/>
      <c r="AH95" s="2"/>
      <c r="AL95" s="35"/>
      <c r="AN95" s="2"/>
      <c r="AO95" s="35"/>
    </row>
    <row r="96" spans="1:43" s="167" customFormat="1">
      <c r="A96" s="170" t="s">
        <v>716</v>
      </c>
      <c r="B96" s="170"/>
      <c r="C96" s="170"/>
      <c r="D96" s="170"/>
      <c r="E96" s="170"/>
      <c r="F96" s="170"/>
      <c r="G96" s="170">
        <v>31</v>
      </c>
      <c r="H96" s="170">
        <v>33</v>
      </c>
      <c r="I96" s="170">
        <v>15</v>
      </c>
      <c r="J96" s="170">
        <v>19</v>
      </c>
      <c r="K96" s="170">
        <v>14</v>
      </c>
      <c r="L96" s="170">
        <v>14</v>
      </c>
      <c r="M96" s="170">
        <v>14</v>
      </c>
      <c r="N96" s="170"/>
      <c r="O96" s="170">
        <v>40</v>
      </c>
      <c r="P96" s="170"/>
      <c r="Q96" s="170"/>
      <c r="R96" s="170">
        <v>20</v>
      </c>
      <c r="S96" s="170"/>
      <c r="T96" s="170"/>
      <c r="U96" s="170"/>
      <c r="V96" s="171"/>
      <c r="W96" s="171">
        <v>0.04</v>
      </c>
      <c r="X96" s="171"/>
      <c r="Y96" s="171"/>
      <c r="Z96" s="171"/>
      <c r="AA96" s="171"/>
      <c r="AB96" s="174">
        <v>81</v>
      </c>
      <c r="AC96" s="171"/>
      <c r="AD96" s="171">
        <v>0.06</v>
      </c>
      <c r="AE96" s="174"/>
      <c r="AF96" s="174"/>
      <c r="AG96" s="168"/>
      <c r="AH96" s="168"/>
      <c r="AI96" s="169"/>
      <c r="AJ96" s="169"/>
      <c r="AK96" s="169"/>
      <c r="AL96" s="169"/>
      <c r="AM96" s="169"/>
      <c r="AN96" s="168"/>
      <c r="AO96" s="169"/>
    </row>
    <row r="97" spans="1:41" s="167" customFormat="1">
      <c r="A97" s="170" t="s">
        <v>717</v>
      </c>
      <c r="B97" s="170"/>
      <c r="C97" s="170"/>
      <c r="D97" s="170"/>
      <c r="E97" s="170"/>
      <c r="F97" s="170"/>
      <c r="G97" s="170">
        <v>19</v>
      </c>
      <c r="H97" s="170">
        <v>31</v>
      </c>
      <c r="I97" s="170">
        <v>15</v>
      </c>
      <c r="J97" s="170">
        <v>29</v>
      </c>
      <c r="K97" s="170">
        <v>14</v>
      </c>
      <c r="L97" s="170">
        <v>14</v>
      </c>
      <c r="M97" s="170">
        <v>14</v>
      </c>
      <c r="N97" s="170">
        <v>15</v>
      </c>
      <c r="O97" s="170">
        <v>26</v>
      </c>
      <c r="P97" s="170"/>
      <c r="Q97" s="170"/>
      <c r="R97" s="170">
        <v>26</v>
      </c>
      <c r="S97" s="170"/>
      <c r="T97" s="170"/>
      <c r="U97" s="170"/>
      <c r="V97" s="171"/>
      <c r="W97" s="171">
        <v>0.03</v>
      </c>
      <c r="X97" s="171"/>
      <c r="Y97" s="171"/>
      <c r="Z97" s="171"/>
      <c r="AA97" s="171"/>
      <c r="AB97" s="174">
        <v>81</v>
      </c>
      <c r="AC97" s="171"/>
      <c r="AD97" s="171">
        <v>0.05</v>
      </c>
      <c r="AE97" s="174"/>
      <c r="AF97" s="174"/>
      <c r="AG97" s="168"/>
      <c r="AH97" s="168"/>
      <c r="AI97" s="169"/>
      <c r="AJ97" s="169"/>
      <c r="AK97" s="169"/>
      <c r="AL97" s="169"/>
      <c r="AM97" s="169"/>
      <c r="AN97" s="168"/>
      <c r="AO97" s="169"/>
    </row>
    <row r="98" spans="1:41" s="167" customFormat="1">
      <c r="A98" s="170" t="s">
        <v>718</v>
      </c>
      <c r="B98" s="170"/>
      <c r="C98" s="170"/>
      <c r="D98" s="170"/>
      <c r="E98" s="170"/>
      <c r="F98" s="170"/>
      <c r="G98" s="170">
        <v>29</v>
      </c>
      <c r="H98" s="170">
        <v>31</v>
      </c>
      <c r="I98" s="170">
        <v>15</v>
      </c>
      <c r="J98" s="170">
        <v>19</v>
      </c>
      <c r="K98" s="170">
        <v>14</v>
      </c>
      <c r="L98" s="170">
        <v>14</v>
      </c>
      <c r="M98" s="170">
        <v>14</v>
      </c>
      <c r="N98" s="170"/>
      <c r="O98" s="170">
        <v>41</v>
      </c>
      <c r="P98" s="170"/>
      <c r="Q98" s="170"/>
      <c r="R98" s="170">
        <v>26</v>
      </c>
      <c r="S98" s="170"/>
      <c r="T98" s="170"/>
      <c r="U98" s="170"/>
      <c r="V98" s="171"/>
      <c r="W98" s="171">
        <v>0.03</v>
      </c>
      <c r="X98" s="171"/>
      <c r="Y98" s="171"/>
      <c r="Z98" s="171"/>
      <c r="AA98" s="171"/>
      <c r="AB98" s="174">
        <v>81</v>
      </c>
      <c r="AC98" s="171"/>
      <c r="AD98" s="171">
        <v>0.05</v>
      </c>
      <c r="AE98" s="174"/>
      <c r="AF98" s="174"/>
      <c r="AG98" s="168"/>
      <c r="AH98" s="168"/>
      <c r="AI98" s="169"/>
      <c r="AJ98" s="169"/>
      <c r="AK98" s="169"/>
      <c r="AL98" s="169"/>
      <c r="AM98" s="169"/>
      <c r="AN98" s="168"/>
      <c r="AO98" s="169"/>
    </row>
    <row r="99" spans="1:41">
      <c r="A99" t="s">
        <v>719</v>
      </c>
      <c r="G99">
        <v>18</v>
      </c>
      <c r="H99">
        <v>34</v>
      </c>
      <c r="I99">
        <v>18</v>
      </c>
      <c r="J99">
        <v>20</v>
      </c>
      <c r="K99">
        <v>18</v>
      </c>
      <c r="L99">
        <v>22</v>
      </c>
      <c r="M99">
        <v>18</v>
      </c>
      <c r="N99">
        <v>35</v>
      </c>
      <c r="Q99">
        <v>20</v>
      </c>
      <c r="S99">
        <v>35</v>
      </c>
      <c r="V99" s="2"/>
      <c r="W99" s="2"/>
      <c r="X99" s="2">
        <v>0.03</v>
      </c>
      <c r="Y99" s="2"/>
      <c r="Z99" s="2"/>
      <c r="AA99" s="2"/>
      <c r="AB99" s="35">
        <v>71</v>
      </c>
      <c r="AC99" s="2"/>
      <c r="AD99" s="2"/>
      <c r="AE99" s="35"/>
      <c r="AF99" s="35"/>
      <c r="AG99" s="35"/>
      <c r="AH99" s="2"/>
      <c r="AL99" s="35"/>
    </row>
    <row r="100" spans="1:41" s="31" customFormat="1">
      <c r="A100" s="31" t="s">
        <v>585</v>
      </c>
      <c r="G100" s="31">
        <v>23</v>
      </c>
      <c r="H100" s="31">
        <v>23</v>
      </c>
      <c r="I100" s="31">
        <v>23</v>
      </c>
      <c r="J100" s="31">
        <v>23</v>
      </c>
      <c r="K100" s="31">
        <v>19</v>
      </c>
      <c r="L100" s="31">
        <v>19</v>
      </c>
      <c r="M100" s="31">
        <v>20</v>
      </c>
      <c r="O100" s="31">
        <v>10</v>
      </c>
      <c r="V100" s="12"/>
      <c r="W100" s="12">
        <v>0.02</v>
      </c>
      <c r="X100" s="12"/>
      <c r="Y100" s="12"/>
      <c r="Z100" s="12"/>
      <c r="AA100" s="12"/>
      <c r="AB100" s="50">
        <v>81</v>
      </c>
      <c r="AC100" s="12"/>
      <c r="AD100" s="12"/>
      <c r="AE100" s="50"/>
      <c r="AF100" s="50"/>
      <c r="AG100" s="12"/>
      <c r="AH100" s="12"/>
      <c r="AI100" s="50"/>
      <c r="AJ100" s="50"/>
      <c r="AK100" s="50"/>
      <c r="AL100" s="50"/>
      <c r="AM100" s="50"/>
    </row>
    <row r="101" spans="1:41" s="31" customFormat="1">
      <c r="A101" s="31" t="s">
        <v>640</v>
      </c>
      <c r="G101" s="31">
        <v>20</v>
      </c>
      <c r="H101" s="31">
        <v>18</v>
      </c>
      <c r="I101" s="31">
        <v>14</v>
      </c>
      <c r="J101" s="31">
        <v>24</v>
      </c>
      <c r="K101" s="31">
        <v>20</v>
      </c>
      <c r="L101" s="31">
        <v>14</v>
      </c>
      <c r="M101" s="31">
        <v>16</v>
      </c>
      <c r="V101" s="12"/>
      <c r="W101" s="12"/>
      <c r="X101" s="12"/>
      <c r="Y101" s="12"/>
      <c r="Z101" s="12"/>
      <c r="AA101" s="12"/>
      <c r="AB101" s="50">
        <v>81</v>
      </c>
      <c r="AC101" s="12"/>
      <c r="AD101" s="12"/>
      <c r="AE101" s="50"/>
      <c r="AF101" s="50"/>
      <c r="AG101" s="12"/>
      <c r="AH101" s="12"/>
      <c r="AI101" s="50"/>
      <c r="AJ101" s="50"/>
      <c r="AK101" s="50"/>
      <c r="AL101" s="50"/>
      <c r="AM101" s="50"/>
    </row>
    <row r="102" spans="1:41" s="31" customFormat="1">
      <c r="A102" s="31" t="s">
        <v>641</v>
      </c>
      <c r="G102" s="31">
        <v>27</v>
      </c>
      <c r="H102" s="31">
        <v>9</v>
      </c>
      <c r="I102" s="31">
        <v>27</v>
      </c>
      <c r="J102" s="31">
        <v>9</v>
      </c>
      <c r="K102" s="31">
        <v>8</v>
      </c>
      <c r="L102" s="31">
        <v>8</v>
      </c>
      <c r="M102" s="31">
        <v>8</v>
      </c>
      <c r="V102" s="12"/>
      <c r="W102" s="12"/>
      <c r="X102" s="12"/>
      <c r="Y102" s="12"/>
      <c r="Z102" s="12"/>
      <c r="AA102" s="12"/>
      <c r="AB102" s="50">
        <v>71</v>
      </c>
      <c r="AC102" s="12"/>
      <c r="AD102" s="12"/>
      <c r="AE102" s="50"/>
      <c r="AF102" s="50"/>
      <c r="AG102" s="12"/>
      <c r="AH102" s="12"/>
      <c r="AI102" s="50"/>
      <c r="AJ102" s="50"/>
      <c r="AK102" s="50"/>
      <c r="AL102" s="50"/>
      <c r="AM102" s="50"/>
    </row>
    <row r="103" spans="1:41" s="31" customFormat="1">
      <c r="A103" s="31" t="s">
        <v>642</v>
      </c>
      <c r="G103" s="31">
        <v>21</v>
      </c>
      <c r="H103" s="31">
        <v>25</v>
      </c>
      <c r="I103" s="31">
        <v>21</v>
      </c>
      <c r="J103" s="31">
        <v>25</v>
      </c>
      <c r="K103" s="31">
        <v>18</v>
      </c>
      <c r="L103" s="31">
        <v>18</v>
      </c>
      <c r="M103" s="31">
        <v>19</v>
      </c>
      <c r="N103" s="31">
        <v>25</v>
      </c>
      <c r="O103" s="31">
        <v>25</v>
      </c>
      <c r="V103" s="12"/>
      <c r="W103" s="12"/>
      <c r="X103" s="12"/>
      <c r="Y103" s="12"/>
      <c r="Z103" s="12"/>
      <c r="AA103" s="12"/>
      <c r="AB103" s="50">
        <v>81</v>
      </c>
      <c r="AC103" s="12"/>
      <c r="AD103" s="12"/>
      <c r="AE103" s="50"/>
      <c r="AF103" s="50"/>
      <c r="AG103" s="12"/>
      <c r="AH103" s="12"/>
      <c r="AI103" s="50"/>
      <c r="AJ103" s="50">
        <v>120</v>
      </c>
      <c r="AK103" s="50"/>
      <c r="AL103" s="50"/>
      <c r="AM103" s="50"/>
    </row>
    <row r="104" spans="1:41">
      <c r="A104" s="31" t="s">
        <v>555</v>
      </c>
      <c r="G104">
        <v>17</v>
      </c>
      <c r="H104">
        <v>17</v>
      </c>
      <c r="I104">
        <v>16</v>
      </c>
      <c r="J104">
        <v>16</v>
      </c>
      <c r="K104">
        <v>15</v>
      </c>
      <c r="L104">
        <v>15</v>
      </c>
      <c r="M104">
        <v>15</v>
      </c>
      <c r="V104" s="2"/>
      <c r="W104" s="2"/>
      <c r="X104" s="2"/>
      <c r="Y104" s="2"/>
      <c r="Z104" s="2"/>
      <c r="AA104" s="2"/>
      <c r="AB104" s="35">
        <v>71</v>
      </c>
      <c r="AC104" s="2"/>
      <c r="AD104" s="2"/>
      <c r="AE104" s="35"/>
      <c r="AF104" s="35"/>
      <c r="AG104" s="35"/>
      <c r="AH104" s="2"/>
      <c r="AL104" s="2"/>
    </row>
    <row r="105" spans="1:41">
      <c r="A105" s="31" t="s">
        <v>586</v>
      </c>
      <c r="G105">
        <v>23</v>
      </c>
      <c r="H105">
        <v>23</v>
      </c>
      <c r="I105">
        <v>22</v>
      </c>
      <c r="J105">
        <v>22</v>
      </c>
      <c r="K105">
        <v>21</v>
      </c>
      <c r="L105">
        <v>21</v>
      </c>
      <c r="M105">
        <v>21</v>
      </c>
      <c r="V105" s="2"/>
      <c r="W105" s="2"/>
      <c r="X105" s="2"/>
      <c r="Y105" s="2"/>
      <c r="Z105" s="2"/>
      <c r="AA105" s="2"/>
      <c r="AB105" s="35">
        <v>81</v>
      </c>
      <c r="AC105" s="2"/>
      <c r="AD105" s="2"/>
      <c r="AE105" s="35"/>
      <c r="AF105" s="35"/>
      <c r="AG105" s="35"/>
      <c r="AH105" s="2"/>
      <c r="AL105" s="2"/>
    </row>
    <row r="106" spans="1:41" s="209" customFormat="1">
      <c r="A106" s="211" t="s">
        <v>744</v>
      </c>
      <c r="G106" s="209">
        <v>19</v>
      </c>
      <c r="H106" s="209">
        <v>31</v>
      </c>
      <c r="I106" s="209">
        <v>18</v>
      </c>
      <c r="J106" s="209">
        <v>22</v>
      </c>
      <c r="K106" s="209">
        <v>17</v>
      </c>
      <c r="L106" s="209">
        <v>17</v>
      </c>
      <c r="M106" s="209">
        <v>17</v>
      </c>
      <c r="V106" s="210"/>
      <c r="W106" s="210"/>
      <c r="X106" s="210"/>
      <c r="Y106" s="210"/>
      <c r="Z106" s="210"/>
      <c r="AA106" s="210">
        <v>7.0000000000000007E-2</v>
      </c>
      <c r="AB106" s="212">
        <v>101</v>
      </c>
      <c r="AC106" s="210"/>
      <c r="AD106" s="210"/>
      <c r="AE106" s="212"/>
      <c r="AF106" s="212"/>
      <c r="AG106" s="212"/>
      <c r="AH106" s="210"/>
      <c r="AI106" s="212"/>
      <c r="AJ106" s="212"/>
      <c r="AK106" s="212"/>
      <c r="AL106" s="210"/>
      <c r="AM106" s="212"/>
    </row>
    <row r="107" spans="1:41" s="209" customFormat="1">
      <c r="A107" s="211" t="s">
        <v>798</v>
      </c>
      <c r="G107" s="209">
        <v>22</v>
      </c>
      <c r="H107" s="209">
        <v>38</v>
      </c>
      <c r="I107" s="209">
        <v>18</v>
      </c>
      <c r="J107" s="209">
        <v>25</v>
      </c>
      <c r="K107" s="209">
        <v>20</v>
      </c>
      <c r="L107" s="209">
        <v>16</v>
      </c>
      <c r="M107" s="209">
        <v>17</v>
      </c>
      <c r="N107" s="209">
        <v>25</v>
      </c>
      <c r="O107" s="209">
        <v>40</v>
      </c>
      <c r="R107" s="209">
        <v>15</v>
      </c>
      <c r="T107" s="209">
        <v>10</v>
      </c>
      <c r="V107" s="210"/>
      <c r="W107" s="210"/>
      <c r="X107" s="210"/>
      <c r="Y107" s="210"/>
      <c r="Z107" s="210"/>
      <c r="AA107" s="210"/>
      <c r="AB107" s="212">
        <v>81</v>
      </c>
      <c r="AC107" s="210"/>
      <c r="AD107" s="210"/>
      <c r="AE107" s="212"/>
      <c r="AF107" s="212"/>
      <c r="AG107" s="212"/>
      <c r="AH107" s="210">
        <v>0.05</v>
      </c>
      <c r="AI107" s="212"/>
      <c r="AJ107" s="212"/>
      <c r="AK107" s="212"/>
      <c r="AL107" s="210"/>
      <c r="AM107" s="212"/>
    </row>
    <row r="108" spans="1:41" s="209" customFormat="1">
      <c r="A108" s="211" t="s">
        <v>736</v>
      </c>
      <c r="G108" s="209">
        <v>22</v>
      </c>
      <c r="H108" s="209">
        <v>38</v>
      </c>
      <c r="I108" s="209">
        <v>18</v>
      </c>
      <c r="J108" s="209">
        <v>25</v>
      </c>
      <c r="K108" s="209">
        <v>20</v>
      </c>
      <c r="L108" s="209">
        <v>16</v>
      </c>
      <c r="M108" s="209">
        <v>17</v>
      </c>
      <c r="N108" s="209">
        <v>25</v>
      </c>
      <c r="O108" s="209">
        <v>40</v>
      </c>
      <c r="R108" s="209">
        <v>15</v>
      </c>
      <c r="T108" s="209">
        <v>10</v>
      </c>
      <c r="V108" s="210"/>
      <c r="W108" s="210">
        <v>0.04</v>
      </c>
      <c r="X108" s="210"/>
      <c r="Y108" s="210"/>
      <c r="Z108" s="210"/>
      <c r="AA108" s="210"/>
      <c r="AB108" s="212">
        <v>81</v>
      </c>
      <c r="AC108" s="210"/>
      <c r="AD108" s="210"/>
      <c r="AE108" s="212"/>
      <c r="AF108" s="212"/>
      <c r="AG108" s="212"/>
      <c r="AH108" s="210"/>
      <c r="AI108" s="212"/>
      <c r="AJ108" s="212"/>
      <c r="AK108" s="212"/>
      <c r="AL108" s="210"/>
      <c r="AM108" s="212"/>
    </row>
    <row r="109" spans="1:41" s="209" customFormat="1">
      <c r="A109" s="211" t="s">
        <v>737</v>
      </c>
      <c r="G109" s="209">
        <v>22</v>
      </c>
      <c r="H109" s="209">
        <v>38</v>
      </c>
      <c r="I109" s="209">
        <v>18</v>
      </c>
      <c r="J109" s="209">
        <v>25</v>
      </c>
      <c r="K109" s="209">
        <v>20</v>
      </c>
      <c r="L109" s="209">
        <v>16</v>
      </c>
      <c r="M109" s="209">
        <v>17</v>
      </c>
      <c r="N109" s="209">
        <v>25</v>
      </c>
      <c r="O109" s="209">
        <v>40</v>
      </c>
      <c r="R109" s="209">
        <v>15</v>
      </c>
      <c r="T109" s="209">
        <v>10</v>
      </c>
      <c r="V109" s="210"/>
      <c r="W109" s="210"/>
      <c r="X109" s="210"/>
      <c r="Y109" s="210"/>
      <c r="Z109" s="210"/>
      <c r="AA109" s="210"/>
      <c r="AB109" s="212">
        <v>81</v>
      </c>
      <c r="AC109" s="210"/>
      <c r="AD109" s="210"/>
      <c r="AE109" s="212">
        <v>7</v>
      </c>
      <c r="AF109" s="212"/>
      <c r="AG109" s="212"/>
      <c r="AH109" s="210"/>
      <c r="AI109" s="212"/>
      <c r="AJ109" s="212"/>
      <c r="AK109" s="212"/>
      <c r="AL109" s="210"/>
      <c r="AM109" s="212"/>
    </row>
    <row r="110" spans="1:41" s="209" customFormat="1">
      <c r="A110" s="211" t="s">
        <v>738</v>
      </c>
      <c r="G110" s="209">
        <v>22</v>
      </c>
      <c r="H110" s="209">
        <v>38</v>
      </c>
      <c r="I110" s="209">
        <v>18</v>
      </c>
      <c r="J110" s="209">
        <v>25</v>
      </c>
      <c r="K110" s="209">
        <v>20</v>
      </c>
      <c r="L110" s="209">
        <v>16</v>
      </c>
      <c r="M110" s="209">
        <v>17</v>
      </c>
      <c r="N110" s="209">
        <v>25</v>
      </c>
      <c r="O110" s="209">
        <v>40</v>
      </c>
      <c r="R110" s="209">
        <v>15</v>
      </c>
      <c r="T110" s="209">
        <v>10</v>
      </c>
      <c r="V110" s="210"/>
      <c r="W110" s="210"/>
      <c r="X110" s="210"/>
      <c r="Y110" s="210"/>
      <c r="Z110" s="210"/>
      <c r="AA110" s="210"/>
      <c r="AB110" s="212">
        <v>81</v>
      </c>
      <c r="AC110" s="210">
        <v>0.05</v>
      </c>
      <c r="AD110" s="210"/>
      <c r="AE110" s="212"/>
      <c r="AF110" s="212"/>
      <c r="AG110" s="212"/>
      <c r="AH110" s="210"/>
      <c r="AI110" s="212"/>
      <c r="AJ110" s="212"/>
      <c r="AK110" s="212"/>
      <c r="AL110" s="210"/>
      <c r="AM110" s="212"/>
    </row>
    <row r="111" spans="1:41" s="209" customFormat="1">
      <c r="A111" s="211" t="s">
        <v>739</v>
      </c>
      <c r="G111" s="209">
        <v>22</v>
      </c>
      <c r="H111" s="209">
        <v>38</v>
      </c>
      <c r="I111" s="209">
        <v>18</v>
      </c>
      <c r="J111" s="209">
        <v>25</v>
      </c>
      <c r="K111" s="209">
        <v>20</v>
      </c>
      <c r="L111" s="209">
        <v>16</v>
      </c>
      <c r="M111" s="209">
        <v>17</v>
      </c>
      <c r="N111" s="209">
        <v>25</v>
      </c>
      <c r="O111" s="209">
        <v>40</v>
      </c>
      <c r="R111" s="209">
        <v>15</v>
      </c>
      <c r="T111" s="209">
        <v>10</v>
      </c>
      <c r="V111" s="210"/>
      <c r="W111" s="210"/>
      <c r="X111" s="210"/>
      <c r="Y111" s="210"/>
      <c r="Z111" s="210"/>
      <c r="AA111" s="210"/>
      <c r="AB111" s="212">
        <v>81</v>
      </c>
      <c r="AC111" s="210"/>
      <c r="AD111" s="210">
        <v>0.05</v>
      </c>
      <c r="AE111" s="212"/>
      <c r="AF111" s="212"/>
      <c r="AG111" s="212"/>
      <c r="AH111" s="210"/>
      <c r="AI111" s="212"/>
      <c r="AJ111" s="212"/>
      <c r="AK111" s="212"/>
      <c r="AL111" s="210"/>
      <c r="AM111" s="212"/>
    </row>
    <row r="112" spans="1:41" s="209" customFormat="1">
      <c r="A112" s="211" t="s">
        <v>740</v>
      </c>
      <c r="G112" s="209">
        <v>22</v>
      </c>
      <c r="H112" s="209">
        <v>28</v>
      </c>
      <c r="I112" s="209">
        <v>18</v>
      </c>
      <c r="J112" s="209">
        <v>35</v>
      </c>
      <c r="K112" s="209">
        <v>20</v>
      </c>
      <c r="L112" s="209">
        <v>16</v>
      </c>
      <c r="M112" s="209">
        <v>17</v>
      </c>
      <c r="N112" s="209">
        <v>25</v>
      </c>
      <c r="O112" s="209">
        <v>40</v>
      </c>
      <c r="R112" s="209">
        <v>15</v>
      </c>
      <c r="T112" s="209">
        <v>10</v>
      </c>
      <c r="V112" s="210"/>
      <c r="W112" s="210"/>
      <c r="X112" s="210"/>
      <c r="Y112" s="210"/>
      <c r="Z112" s="210"/>
      <c r="AA112" s="210"/>
      <c r="AB112" s="212">
        <v>81</v>
      </c>
      <c r="AC112" s="210">
        <v>0.05</v>
      </c>
      <c r="AD112" s="210"/>
      <c r="AE112" s="212"/>
      <c r="AF112" s="212"/>
      <c r="AG112" s="212"/>
      <c r="AH112" s="210"/>
      <c r="AI112" s="212"/>
      <c r="AJ112" s="212"/>
      <c r="AK112" s="212"/>
      <c r="AL112" s="210"/>
      <c r="AM112" s="212"/>
    </row>
    <row r="113" spans="1:40" s="209" customFormat="1">
      <c r="A113" s="211" t="s">
        <v>741</v>
      </c>
      <c r="G113" s="209">
        <v>22</v>
      </c>
      <c r="H113" s="209">
        <v>28</v>
      </c>
      <c r="I113" s="209">
        <v>18</v>
      </c>
      <c r="J113" s="209">
        <v>35</v>
      </c>
      <c r="K113" s="209">
        <v>20</v>
      </c>
      <c r="L113" s="209">
        <v>16</v>
      </c>
      <c r="M113" s="209">
        <v>17</v>
      </c>
      <c r="N113" s="209">
        <v>25</v>
      </c>
      <c r="O113" s="209">
        <v>40</v>
      </c>
      <c r="R113" s="209">
        <v>15</v>
      </c>
      <c r="T113" s="209">
        <v>10</v>
      </c>
      <c r="V113" s="210"/>
      <c r="W113" s="210"/>
      <c r="X113" s="210"/>
      <c r="Y113" s="210"/>
      <c r="Z113" s="210"/>
      <c r="AA113" s="210"/>
      <c r="AB113" s="212">
        <v>81</v>
      </c>
      <c r="AC113" s="210"/>
      <c r="AD113" s="210">
        <v>0.05</v>
      </c>
      <c r="AE113" s="212"/>
      <c r="AF113" s="212"/>
      <c r="AG113" s="212"/>
      <c r="AH113" s="210"/>
      <c r="AI113" s="212"/>
      <c r="AJ113" s="212"/>
      <c r="AK113" s="212"/>
      <c r="AL113" s="210"/>
      <c r="AM113" s="212"/>
    </row>
    <row r="114" spans="1:40" s="209" customFormat="1">
      <c r="A114" s="211" t="s">
        <v>787</v>
      </c>
      <c r="G114" s="209">
        <v>30</v>
      </c>
      <c r="H114" s="209">
        <v>26</v>
      </c>
      <c r="I114" s="209">
        <v>24</v>
      </c>
      <c r="J114" s="209">
        <v>21</v>
      </c>
      <c r="K114" s="209">
        <v>12</v>
      </c>
      <c r="L114" s="209">
        <v>10</v>
      </c>
      <c r="M114" s="209">
        <v>17</v>
      </c>
      <c r="N114" s="209">
        <v>38</v>
      </c>
      <c r="O114" s="209">
        <v>26</v>
      </c>
      <c r="V114" s="210"/>
      <c r="W114" s="210"/>
      <c r="X114" s="210"/>
      <c r="Y114" s="210"/>
      <c r="Z114" s="210"/>
      <c r="AA114" s="210"/>
      <c r="AB114" s="212"/>
      <c r="AC114" s="210"/>
      <c r="AD114" s="210"/>
      <c r="AE114" s="212"/>
      <c r="AF114" s="212"/>
      <c r="AG114" s="212"/>
      <c r="AH114" s="210"/>
      <c r="AI114" s="212"/>
      <c r="AJ114" s="212"/>
      <c r="AK114" s="212"/>
      <c r="AL114" s="210"/>
      <c r="AM114" s="212"/>
    </row>
    <row r="115" spans="1:40" s="209" customFormat="1">
      <c r="A115" s="211" t="s">
        <v>785</v>
      </c>
      <c r="G115" s="209">
        <v>23</v>
      </c>
      <c r="H115" s="209">
        <v>42</v>
      </c>
      <c r="I115" s="209">
        <v>32</v>
      </c>
      <c r="J115" s="209">
        <v>29</v>
      </c>
      <c r="K115" s="209">
        <v>19</v>
      </c>
      <c r="L115" s="209">
        <v>17</v>
      </c>
      <c r="M115" s="209">
        <v>19</v>
      </c>
      <c r="N115" s="209">
        <v>40</v>
      </c>
      <c r="Q115" s="209">
        <v>40</v>
      </c>
      <c r="V115" s="210"/>
      <c r="W115" s="210">
        <v>0.03</v>
      </c>
      <c r="X115" s="210"/>
      <c r="Y115" s="210"/>
      <c r="Z115" s="210"/>
      <c r="AA115" s="210"/>
      <c r="AB115" s="212">
        <v>61</v>
      </c>
      <c r="AC115" s="210">
        <v>0.03</v>
      </c>
      <c r="AD115" s="210"/>
      <c r="AE115" s="212"/>
      <c r="AF115" s="212"/>
      <c r="AG115" s="212"/>
      <c r="AH115" s="210"/>
      <c r="AI115" s="212"/>
      <c r="AJ115" s="212"/>
      <c r="AK115" s="212"/>
      <c r="AL115" s="210"/>
      <c r="AM115" s="212"/>
    </row>
    <row r="116" spans="1:40" s="209" customFormat="1">
      <c r="A116" s="211" t="s">
        <v>786</v>
      </c>
      <c r="G116" s="209">
        <v>23</v>
      </c>
      <c r="H116" s="209">
        <v>47</v>
      </c>
      <c r="I116" s="209">
        <v>32</v>
      </c>
      <c r="J116" s="209">
        <v>34</v>
      </c>
      <c r="K116" s="209">
        <v>19</v>
      </c>
      <c r="L116" s="209">
        <v>17</v>
      </c>
      <c r="M116" s="209">
        <v>19</v>
      </c>
      <c r="N116" s="209">
        <v>50</v>
      </c>
      <c r="Q116" s="209">
        <v>45</v>
      </c>
      <c r="V116" s="210"/>
      <c r="W116" s="210">
        <v>0.04</v>
      </c>
      <c r="X116" s="210"/>
      <c r="Y116" s="210"/>
      <c r="Z116" s="210"/>
      <c r="AA116" s="210"/>
      <c r="AB116" s="212">
        <v>61</v>
      </c>
      <c r="AC116" s="210">
        <v>0.05</v>
      </c>
      <c r="AD116" s="210"/>
      <c r="AE116" s="212"/>
      <c r="AF116" s="212"/>
      <c r="AG116" s="212"/>
      <c r="AH116" s="210"/>
      <c r="AI116" s="212"/>
      <c r="AJ116" s="212"/>
      <c r="AK116" s="212"/>
      <c r="AL116" s="210"/>
      <c r="AM116" s="212"/>
    </row>
    <row r="117" spans="1:40">
      <c r="A117" t="s">
        <v>684</v>
      </c>
      <c r="G117">
        <v>32</v>
      </c>
      <c r="H117">
        <v>36</v>
      </c>
      <c r="I117">
        <v>18</v>
      </c>
      <c r="J117">
        <v>22</v>
      </c>
      <c r="K117">
        <v>18</v>
      </c>
      <c r="L117">
        <v>18</v>
      </c>
      <c r="M117">
        <v>19</v>
      </c>
      <c r="O117">
        <v>35</v>
      </c>
      <c r="V117" s="2"/>
      <c r="W117" s="2"/>
      <c r="X117" s="2"/>
      <c r="Y117" s="2"/>
      <c r="Z117" s="2"/>
      <c r="AA117" s="2"/>
      <c r="AB117" s="35">
        <v>81</v>
      </c>
      <c r="AC117" s="2"/>
      <c r="AD117" s="2"/>
      <c r="AE117" s="35"/>
      <c r="AF117" s="35"/>
      <c r="AG117" s="35"/>
      <c r="AH117" s="2">
        <v>0.03</v>
      </c>
      <c r="AL117" s="35"/>
    </row>
    <row r="118" spans="1:40">
      <c r="A118" s="31" t="s">
        <v>600</v>
      </c>
      <c r="G118" s="35">
        <v>15</v>
      </c>
      <c r="H118">
        <v>15</v>
      </c>
      <c r="I118">
        <v>17</v>
      </c>
      <c r="J118">
        <v>17</v>
      </c>
      <c r="K118">
        <v>16</v>
      </c>
      <c r="L118">
        <v>16</v>
      </c>
      <c r="M118">
        <v>16</v>
      </c>
      <c r="N118">
        <v>12</v>
      </c>
      <c r="V118" s="2"/>
      <c r="W118" s="2"/>
      <c r="X118" s="2"/>
      <c r="Y118" s="2"/>
      <c r="Z118" s="2"/>
      <c r="AA118" s="2"/>
      <c r="AB118" s="35">
        <v>71</v>
      </c>
      <c r="AC118" s="2"/>
      <c r="AD118" s="2"/>
      <c r="AE118" s="35"/>
      <c r="AF118" s="2"/>
      <c r="AG118" s="2"/>
      <c r="AH118" s="2"/>
      <c r="AL118" s="2"/>
    </row>
    <row r="119" spans="1:40">
      <c r="A119" s="31" t="s">
        <v>601</v>
      </c>
      <c r="G119" s="35">
        <v>21</v>
      </c>
      <c r="H119">
        <v>21</v>
      </c>
      <c r="I119">
        <v>23</v>
      </c>
      <c r="J119">
        <v>23</v>
      </c>
      <c r="K119">
        <v>22</v>
      </c>
      <c r="L119">
        <v>22</v>
      </c>
      <c r="M119">
        <v>22</v>
      </c>
      <c r="N119">
        <v>15</v>
      </c>
      <c r="V119" s="2"/>
      <c r="W119" s="2"/>
      <c r="X119" s="2"/>
      <c r="Y119" s="2"/>
      <c r="Z119" s="2"/>
      <c r="AA119" s="2"/>
      <c r="AB119" s="35">
        <v>81</v>
      </c>
      <c r="AC119" s="2"/>
      <c r="AD119" s="2"/>
      <c r="AE119" s="35"/>
      <c r="AF119" s="2"/>
      <c r="AG119" s="2"/>
      <c r="AH119" s="2"/>
      <c r="AL119" s="2"/>
    </row>
    <row r="120" spans="1:40" s="209" customFormat="1">
      <c r="A120" s="211" t="s">
        <v>788</v>
      </c>
      <c r="G120" s="212">
        <v>20</v>
      </c>
      <c r="H120" s="209">
        <v>35</v>
      </c>
      <c r="I120" s="209">
        <v>16</v>
      </c>
      <c r="J120" s="209">
        <v>30</v>
      </c>
      <c r="K120" s="209">
        <v>15</v>
      </c>
      <c r="L120" s="209">
        <v>14</v>
      </c>
      <c r="M120" s="209">
        <v>17</v>
      </c>
      <c r="N120" s="209">
        <v>38</v>
      </c>
      <c r="Q120" s="209">
        <v>38</v>
      </c>
      <c r="S120" s="209">
        <v>38</v>
      </c>
      <c r="V120" s="210"/>
      <c r="W120" s="210"/>
      <c r="X120" s="210"/>
      <c r="Y120" s="210"/>
      <c r="Z120" s="210"/>
      <c r="AA120" s="210"/>
      <c r="AB120" s="212">
        <v>81</v>
      </c>
      <c r="AC120" s="210">
        <v>0.04</v>
      </c>
      <c r="AD120" s="210"/>
      <c r="AE120" s="212"/>
      <c r="AF120" s="210"/>
      <c r="AG120" s="210"/>
      <c r="AH120" s="210"/>
      <c r="AI120" s="212"/>
      <c r="AJ120" s="212"/>
      <c r="AK120" s="212"/>
      <c r="AL120" s="210"/>
      <c r="AM120" s="212"/>
    </row>
    <row r="121" spans="1:40" s="209" customFormat="1">
      <c r="A121" s="211" t="s">
        <v>807</v>
      </c>
      <c r="G121" s="212">
        <v>20</v>
      </c>
      <c r="H121" s="209">
        <v>39</v>
      </c>
      <c r="I121" s="209">
        <v>16</v>
      </c>
      <c r="J121" s="209">
        <v>34</v>
      </c>
      <c r="K121" s="209">
        <v>15</v>
      </c>
      <c r="L121" s="209">
        <v>14</v>
      </c>
      <c r="M121" s="209">
        <v>17</v>
      </c>
      <c r="N121" s="209">
        <v>44</v>
      </c>
      <c r="Q121" s="209">
        <v>44</v>
      </c>
      <c r="S121" s="209">
        <v>44</v>
      </c>
      <c r="V121" s="210"/>
      <c r="W121" s="210"/>
      <c r="X121" s="210"/>
      <c r="Y121" s="210"/>
      <c r="Z121" s="210"/>
      <c r="AA121" s="210"/>
      <c r="AB121" s="212">
        <v>81</v>
      </c>
      <c r="AC121" s="210">
        <v>0.05</v>
      </c>
      <c r="AD121" s="210"/>
      <c r="AE121" s="212"/>
      <c r="AF121" s="210"/>
      <c r="AG121" s="210"/>
      <c r="AH121" s="210"/>
      <c r="AI121" s="212"/>
      <c r="AJ121" s="212"/>
      <c r="AK121" s="212"/>
      <c r="AL121" s="210"/>
      <c r="AM121" s="212"/>
    </row>
    <row r="122" spans="1:40">
      <c r="A122" s="31" t="s">
        <v>615</v>
      </c>
      <c r="G122">
        <v>17</v>
      </c>
      <c r="H122">
        <v>23</v>
      </c>
      <c r="I122">
        <v>19</v>
      </c>
      <c r="J122">
        <v>23</v>
      </c>
      <c r="K122">
        <v>18</v>
      </c>
      <c r="L122">
        <v>18</v>
      </c>
      <c r="M122">
        <v>18</v>
      </c>
      <c r="N122">
        <v>23</v>
      </c>
      <c r="V122" s="2"/>
      <c r="W122" s="2"/>
      <c r="X122" s="2"/>
      <c r="Y122" s="2"/>
      <c r="Z122" s="2"/>
      <c r="AA122" s="2">
        <v>0.05</v>
      </c>
      <c r="AB122" s="35">
        <v>81</v>
      </c>
      <c r="AC122" s="2">
        <v>0.04</v>
      </c>
      <c r="AD122" s="2"/>
      <c r="AE122" s="35"/>
      <c r="AF122" s="2"/>
      <c r="AG122" s="2"/>
      <c r="AH122" s="2"/>
      <c r="AL122" s="35"/>
      <c r="AN122" s="2"/>
    </row>
    <row r="123" spans="1:40">
      <c r="A123" s="31" t="s">
        <v>689</v>
      </c>
      <c r="B123" s="31"/>
      <c r="C123" s="31"/>
      <c r="D123" s="31"/>
      <c r="E123" s="31"/>
      <c r="F123" s="31"/>
      <c r="G123" s="31">
        <v>25</v>
      </c>
      <c r="H123" s="31">
        <v>36</v>
      </c>
      <c r="I123" s="31">
        <v>18</v>
      </c>
      <c r="J123" s="31">
        <v>26</v>
      </c>
      <c r="K123" s="31">
        <v>25</v>
      </c>
      <c r="L123" s="31">
        <v>18</v>
      </c>
      <c r="M123" s="31">
        <v>19</v>
      </c>
      <c r="N123" s="31"/>
      <c r="O123" s="31">
        <v>18</v>
      </c>
      <c r="V123" s="12"/>
      <c r="W123" s="12"/>
      <c r="X123" s="12"/>
      <c r="Y123" s="12"/>
      <c r="Z123" s="12"/>
      <c r="AA123" s="12"/>
      <c r="AB123" s="50">
        <v>80</v>
      </c>
      <c r="AC123" s="12"/>
      <c r="AD123" s="12"/>
      <c r="AE123" s="35"/>
      <c r="AF123" s="12"/>
      <c r="AG123" s="35"/>
      <c r="AH123" s="12"/>
      <c r="AI123" s="50"/>
      <c r="AJ123" s="50"/>
      <c r="AK123" s="50"/>
      <c r="AL123" s="12"/>
      <c r="AM123" s="50"/>
    </row>
    <row r="124" spans="1:40" s="31" customFormat="1">
      <c r="A124" s="31" t="s">
        <v>769</v>
      </c>
      <c r="G124" s="31">
        <v>45</v>
      </c>
      <c r="H124" s="31">
        <v>29</v>
      </c>
      <c r="I124" s="31">
        <v>24</v>
      </c>
      <c r="J124" s="31">
        <v>17</v>
      </c>
      <c r="K124" s="31">
        <v>15</v>
      </c>
      <c r="L124" s="31">
        <v>19</v>
      </c>
      <c r="M124" s="31">
        <v>15</v>
      </c>
      <c r="N124" s="31">
        <v>32</v>
      </c>
      <c r="O124" s="31">
        <v>15</v>
      </c>
      <c r="V124" s="12"/>
      <c r="W124" s="12"/>
      <c r="X124" s="12"/>
      <c r="Y124" s="12"/>
      <c r="Z124" s="12"/>
      <c r="AA124" s="12"/>
      <c r="AB124" s="50">
        <v>81</v>
      </c>
      <c r="AC124" s="12">
        <v>0.04</v>
      </c>
      <c r="AD124" s="12"/>
      <c r="AE124" s="50"/>
      <c r="AF124" s="50"/>
      <c r="AG124" s="12"/>
      <c r="AH124" s="12"/>
      <c r="AI124" s="50"/>
      <c r="AJ124" s="50"/>
      <c r="AK124" s="50"/>
      <c r="AL124" s="50"/>
      <c r="AM124" s="50"/>
    </row>
    <row r="125" spans="1:40" s="132" customFormat="1" ht="14.25">
      <c r="A125" s="31" t="s">
        <v>720</v>
      </c>
      <c r="B125" s="31"/>
      <c r="C125" s="31"/>
      <c r="D125" s="31"/>
      <c r="E125" s="31"/>
      <c r="F125" s="31"/>
      <c r="G125" s="31">
        <v>31</v>
      </c>
      <c r="H125" s="31">
        <v>27</v>
      </c>
      <c r="I125" s="31">
        <v>14</v>
      </c>
      <c r="J125" s="31">
        <v>20</v>
      </c>
      <c r="K125" s="31">
        <v>11</v>
      </c>
      <c r="L125" s="31">
        <v>11</v>
      </c>
      <c r="M125" s="31">
        <v>11</v>
      </c>
      <c r="N125" s="31">
        <v>25</v>
      </c>
      <c r="O125" s="31"/>
      <c r="P125"/>
      <c r="Q125">
        <v>25</v>
      </c>
      <c r="R125"/>
      <c r="S125"/>
      <c r="T125"/>
      <c r="U125"/>
      <c r="V125" s="12"/>
      <c r="W125" s="12"/>
      <c r="X125" s="12"/>
      <c r="Y125" s="12"/>
      <c r="Z125" s="12"/>
      <c r="AA125" s="12">
        <v>0.08</v>
      </c>
      <c r="AB125" s="50">
        <v>71</v>
      </c>
      <c r="AC125" s="12"/>
      <c r="AD125" s="12"/>
      <c r="AE125" s="35">
        <v>6</v>
      </c>
      <c r="AF125" s="12"/>
      <c r="AG125" s="35"/>
      <c r="AH125" s="12"/>
      <c r="AI125" s="50"/>
      <c r="AJ125" s="50"/>
      <c r="AK125" s="50"/>
      <c r="AL125" s="12"/>
      <c r="AM125" s="50"/>
    </row>
    <row r="126" spans="1:40" s="176" customFormat="1" ht="14.25">
      <c r="A126" s="173" t="s">
        <v>721</v>
      </c>
      <c r="B126" s="173"/>
      <c r="C126" s="173"/>
      <c r="D126" s="173"/>
      <c r="E126" s="173"/>
      <c r="F126" s="173"/>
      <c r="G126" s="173">
        <v>33</v>
      </c>
      <c r="H126" s="173">
        <v>29</v>
      </c>
      <c r="I126" s="173">
        <v>14</v>
      </c>
      <c r="J126" s="173">
        <v>20</v>
      </c>
      <c r="K126" s="173">
        <v>11</v>
      </c>
      <c r="L126" s="173">
        <v>11</v>
      </c>
      <c r="M126" s="173">
        <v>11</v>
      </c>
      <c r="N126" s="173">
        <v>55</v>
      </c>
      <c r="O126" s="173"/>
      <c r="P126" s="170"/>
      <c r="Q126" s="170">
        <v>35</v>
      </c>
      <c r="R126" s="170"/>
      <c r="S126" s="170"/>
      <c r="T126" s="170"/>
      <c r="U126" s="170"/>
      <c r="V126" s="172"/>
      <c r="W126" s="172"/>
      <c r="X126" s="172"/>
      <c r="Y126" s="172"/>
      <c r="Z126" s="172"/>
      <c r="AA126" s="172">
        <v>0.08</v>
      </c>
      <c r="AB126" s="175">
        <v>71</v>
      </c>
      <c r="AC126" s="172"/>
      <c r="AD126" s="172"/>
      <c r="AE126" s="174">
        <v>7</v>
      </c>
      <c r="AF126" s="172"/>
      <c r="AG126" s="174"/>
      <c r="AH126" s="172"/>
      <c r="AI126" s="175"/>
      <c r="AJ126" s="175"/>
      <c r="AK126" s="175"/>
      <c r="AL126" s="172"/>
      <c r="AM126" s="175"/>
    </row>
    <row r="127" spans="1:40" s="176" customFormat="1" ht="14.25">
      <c r="A127" s="173" t="s">
        <v>722</v>
      </c>
      <c r="B127" s="173"/>
      <c r="C127" s="173"/>
      <c r="D127" s="173"/>
      <c r="E127" s="173"/>
      <c r="F127" s="173"/>
      <c r="G127" s="173">
        <v>21</v>
      </c>
      <c r="H127" s="173">
        <v>17</v>
      </c>
      <c r="I127" s="173">
        <v>14</v>
      </c>
      <c r="J127" s="173">
        <v>20</v>
      </c>
      <c r="K127" s="173">
        <v>11</v>
      </c>
      <c r="L127" s="173">
        <v>11</v>
      </c>
      <c r="M127" s="173">
        <v>11</v>
      </c>
      <c r="N127" s="173">
        <v>25</v>
      </c>
      <c r="O127" s="173"/>
      <c r="P127" s="170"/>
      <c r="Q127" s="170">
        <v>25</v>
      </c>
      <c r="R127" s="170"/>
      <c r="S127" s="170"/>
      <c r="T127" s="170"/>
      <c r="U127" s="170"/>
      <c r="V127" s="172"/>
      <c r="W127" s="172"/>
      <c r="X127" s="172"/>
      <c r="Y127" s="172"/>
      <c r="Z127" s="172"/>
      <c r="AA127" s="172">
        <v>0.08</v>
      </c>
      <c r="AB127" s="175">
        <v>71</v>
      </c>
      <c r="AC127" s="172"/>
      <c r="AD127" s="172"/>
      <c r="AE127" s="174">
        <v>10</v>
      </c>
      <c r="AF127" s="172"/>
      <c r="AG127" s="174"/>
      <c r="AH127" s="172"/>
      <c r="AI127" s="175"/>
      <c r="AJ127" s="175"/>
      <c r="AK127" s="175"/>
      <c r="AL127" s="172"/>
      <c r="AM127" s="175"/>
    </row>
    <row r="128" spans="1:40" s="176" customFormat="1" ht="14.25">
      <c r="A128" s="173" t="s">
        <v>723</v>
      </c>
      <c r="B128" s="173"/>
      <c r="C128" s="173"/>
      <c r="D128" s="173"/>
      <c r="E128" s="173"/>
      <c r="F128" s="173"/>
      <c r="G128" s="173">
        <v>21</v>
      </c>
      <c r="H128" s="173">
        <v>17</v>
      </c>
      <c r="I128" s="173">
        <v>14</v>
      </c>
      <c r="J128" s="173">
        <v>20</v>
      </c>
      <c r="K128" s="173">
        <v>11</v>
      </c>
      <c r="L128" s="173">
        <v>11</v>
      </c>
      <c r="M128" s="173">
        <v>11</v>
      </c>
      <c r="N128" s="173">
        <v>35</v>
      </c>
      <c r="O128" s="173"/>
      <c r="P128" s="170"/>
      <c r="Q128" s="170">
        <v>35</v>
      </c>
      <c r="R128" s="170"/>
      <c r="S128" s="170"/>
      <c r="T128" s="170"/>
      <c r="U128" s="170"/>
      <c r="V128" s="172"/>
      <c r="W128" s="172"/>
      <c r="X128" s="172"/>
      <c r="Y128" s="172"/>
      <c r="Z128" s="172"/>
      <c r="AA128" s="172">
        <v>0.08</v>
      </c>
      <c r="AB128" s="175">
        <v>71</v>
      </c>
      <c r="AC128" s="172"/>
      <c r="AD128" s="172"/>
      <c r="AE128" s="174">
        <v>12</v>
      </c>
      <c r="AF128" s="172"/>
      <c r="AG128" s="174"/>
      <c r="AH128" s="172"/>
      <c r="AI128" s="175"/>
      <c r="AJ128" s="175"/>
      <c r="AK128" s="175"/>
      <c r="AL128" s="172"/>
      <c r="AM128" s="175"/>
    </row>
    <row r="129" spans="1:39" s="31" customFormat="1">
      <c r="A129" s="31" t="s">
        <v>685</v>
      </c>
      <c r="G129" s="31">
        <v>31</v>
      </c>
      <c r="H129" s="31">
        <v>27</v>
      </c>
      <c r="I129" s="31">
        <v>14</v>
      </c>
      <c r="J129" s="31">
        <v>20</v>
      </c>
      <c r="K129" s="31">
        <v>11</v>
      </c>
      <c r="L129" s="31">
        <v>11</v>
      </c>
      <c r="M129" s="31">
        <v>11</v>
      </c>
      <c r="N129" s="31">
        <v>35</v>
      </c>
      <c r="Q129" s="31">
        <v>20</v>
      </c>
      <c r="V129" s="12"/>
      <c r="W129" s="12"/>
      <c r="X129" s="12"/>
      <c r="Y129" s="12"/>
      <c r="Z129" s="12"/>
      <c r="AA129" s="12">
        <v>0.08</v>
      </c>
      <c r="AB129" s="50">
        <v>71</v>
      </c>
      <c r="AC129" s="12"/>
      <c r="AD129" s="12"/>
      <c r="AE129" s="50">
        <v>6</v>
      </c>
      <c r="AF129" s="50"/>
      <c r="AG129" s="12"/>
      <c r="AH129" s="12"/>
      <c r="AI129" s="50"/>
      <c r="AJ129" s="50"/>
      <c r="AK129" s="50"/>
      <c r="AL129" s="50"/>
      <c r="AM129" s="50"/>
    </row>
    <row r="130" spans="1:39">
      <c r="A130" t="s">
        <v>686</v>
      </c>
      <c r="G130">
        <v>20</v>
      </c>
      <c r="H130">
        <v>22</v>
      </c>
      <c r="I130">
        <v>22</v>
      </c>
      <c r="J130">
        <v>22</v>
      </c>
      <c r="K130">
        <v>21</v>
      </c>
      <c r="L130">
        <v>21</v>
      </c>
      <c r="M130">
        <v>21</v>
      </c>
      <c r="N130">
        <v>26</v>
      </c>
      <c r="V130" s="2"/>
      <c r="W130" s="2">
        <v>0.04</v>
      </c>
      <c r="X130" s="2"/>
      <c r="Y130" s="2"/>
      <c r="Z130" s="2"/>
      <c r="AA130" s="2"/>
      <c r="AB130" s="35">
        <v>80</v>
      </c>
      <c r="AC130" s="2"/>
      <c r="AD130" s="2"/>
      <c r="AE130" s="35"/>
      <c r="AF130" s="35"/>
      <c r="AG130" s="35"/>
      <c r="AH130" s="2"/>
      <c r="AL130" s="35"/>
    </row>
    <row r="131" spans="1:39">
      <c r="A131" t="s">
        <v>687</v>
      </c>
      <c r="G131">
        <v>16</v>
      </c>
      <c r="H131">
        <v>23</v>
      </c>
      <c r="I131">
        <v>16</v>
      </c>
      <c r="J131">
        <v>23</v>
      </c>
      <c r="K131">
        <v>16</v>
      </c>
      <c r="L131">
        <v>16</v>
      </c>
      <c r="M131">
        <v>17</v>
      </c>
      <c r="N131">
        <v>30</v>
      </c>
      <c r="O131">
        <v>20</v>
      </c>
      <c r="Q131">
        <v>10</v>
      </c>
      <c r="V131" s="2"/>
      <c r="W131" s="2"/>
      <c r="X131" s="2"/>
      <c r="Y131" s="2"/>
      <c r="Z131" s="2"/>
      <c r="AA131" s="2"/>
      <c r="AB131" s="35">
        <v>80</v>
      </c>
      <c r="AC131" s="2">
        <v>0.05</v>
      </c>
      <c r="AD131" s="2">
        <v>0.03</v>
      </c>
      <c r="AE131" s="35"/>
      <c r="AF131" s="35"/>
      <c r="AG131" s="35"/>
      <c r="AH131" s="2"/>
      <c r="AL131" s="35"/>
    </row>
    <row r="132" spans="1:39">
      <c r="A132" s="31" t="s">
        <v>688</v>
      </c>
      <c r="B132" s="31"/>
      <c r="C132" s="31"/>
      <c r="D132" s="31"/>
      <c r="E132" s="31"/>
      <c r="F132" s="31"/>
      <c r="G132" s="31">
        <v>23</v>
      </c>
      <c r="H132" s="31">
        <v>30</v>
      </c>
      <c r="I132" s="31">
        <v>16</v>
      </c>
      <c r="J132" s="31">
        <v>23</v>
      </c>
      <c r="K132" s="31">
        <v>16</v>
      </c>
      <c r="L132" s="31">
        <v>16</v>
      </c>
      <c r="M132" s="31">
        <v>17</v>
      </c>
      <c r="N132" s="31">
        <v>30</v>
      </c>
      <c r="O132" s="31">
        <v>20</v>
      </c>
      <c r="V132" s="12"/>
      <c r="W132" s="12">
        <v>0.02</v>
      </c>
      <c r="X132" s="12"/>
      <c r="Y132" s="12"/>
      <c r="Z132" s="12"/>
      <c r="AA132" s="12"/>
      <c r="AB132" s="50">
        <v>80</v>
      </c>
      <c r="AC132" s="12"/>
      <c r="AD132" s="12"/>
      <c r="AE132" s="35"/>
      <c r="AF132" s="12"/>
      <c r="AG132" s="35"/>
      <c r="AH132" s="12"/>
      <c r="AI132" s="50"/>
      <c r="AJ132" s="50"/>
      <c r="AK132" s="50"/>
      <c r="AL132" s="12"/>
      <c r="AM132" s="50"/>
    </row>
    <row r="135" spans="1:39">
      <c r="A135" t="s">
        <v>17</v>
      </c>
      <c r="B135" t="s">
        <v>30</v>
      </c>
      <c r="C135" t="s">
        <v>529</v>
      </c>
      <c r="D135" t="s">
        <v>657</v>
      </c>
      <c r="E135" t="s">
        <v>499</v>
      </c>
      <c r="F135" s="31" t="s">
        <v>524</v>
      </c>
      <c r="G135" t="s">
        <v>3</v>
      </c>
      <c r="H135" t="s">
        <v>4</v>
      </c>
      <c r="I135" t="s">
        <v>5</v>
      </c>
      <c r="J135" t="s">
        <v>42</v>
      </c>
      <c r="K135" t="s">
        <v>221</v>
      </c>
      <c r="L135" t="s">
        <v>222</v>
      </c>
      <c r="M135" t="s">
        <v>223</v>
      </c>
      <c r="N135" t="s">
        <v>10</v>
      </c>
      <c r="O135" t="s">
        <v>9</v>
      </c>
      <c r="P135" t="s">
        <v>494</v>
      </c>
      <c r="Q135" t="s">
        <v>643</v>
      </c>
      <c r="R135" t="s">
        <v>644</v>
      </c>
      <c r="S135" t="s">
        <v>645</v>
      </c>
      <c r="T135" s="35" t="s">
        <v>646</v>
      </c>
      <c r="U135" s="148" t="s">
        <v>647</v>
      </c>
      <c r="V135" t="s">
        <v>12</v>
      </c>
      <c r="W135" t="s">
        <v>164</v>
      </c>
      <c r="X135" t="s">
        <v>360</v>
      </c>
      <c r="Y135" t="s">
        <v>495</v>
      </c>
      <c r="Z135" t="s">
        <v>496</v>
      </c>
      <c r="AA135" t="s">
        <v>131</v>
      </c>
      <c r="AB135" t="s">
        <v>11</v>
      </c>
      <c r="AC135" t="s">
        <v>127</v>
      </c>
      <c r="AD135" t="s">
        <v>126</v>
      </c>
      <c r="AE135" t="s">
        <v>13</v>
      </c>
      <c r="AF135" t="s">
        <v>124</v>
      </c>
      <c r="AG135" t="s">
        <v>302</v>
      </c>
      <c r="AH135" t="s">
        <v>175</v>
      </c>
      <c r="AI135" s="35" t="s">
        <v>473</v>
      </c>
      <c r="AJ135" s="35" t="s">
        <v>474</v>
      </c>
      <c r="AK135" s="148" t="s">
        <v>449</v>
      </c>
      <c r="AL135" t="s">
        <v>354</v>
      </c>
      <c r="AM135" s="148" t="s">
        <v>654</v>
      </c>
    </row>
    <row r="136" spans="1:39">
      <c r="A136" t="s">
        <v>498</v>
      </c>
      <c r="O136">
        <v>8</v>
      </c>
      <c r="V136" s="2">
        <v>0.02</v>
      </c>
      <c r="AE136">
        <v>3</v>
      </c>
    </row>
    <row r="137" spans="1:39">
      <c r="A137" t="s">
        <v>104</v>
      </c>
      <c r="O137">
        <v>8</v>
      </c>
      <c r="AA137" s="2"/>
    </row>
    <row r="138" spans="1:39" s="170" customFormat="1">
      <c r="A138" s="170" t="s">
        <v>724</v>
      </c>
      <c r="G138" s="170">
        <v>6</v>
      </c>
      <c r="H138" s="170">
        <v>6</v>
      </c>
      <c r="O138" s="170">
        <v>10</v>
      </c>
      <c r="AA138" s="171"/>
      <c r="AI138" s="174"/>
      <c r="AJ138" s="174"/>
      <c r="AK138" s="174"/>
      <c r="AM138" s="174"/>
    </row>
    <row r="139" spans="1:39" s="170" customFormat="1">
      <c r="A139" s="170" t="s">
        <v>725</v>
      </c>
      <c r="N139" s="170">
        <v>8</v>
      </c>
      <c r="Q139" s="170">
        <v>8</v>
      </c>
      <c r="W139" s="171">
        <v>0.01</v>
      </c>
      <c r="AA139" s="171"/>
      <c r="AI139" s="174"/>
      <c r="AJ139" s="174"/>
      <c r="AK139" s="174"/>
      <c r="AM139" s="174"/>
    </row>
    <row r="140" spans="1:39">
      <c r="A140" s="31" t="s">
        <v>711</v>
      </c>
      <c r="B140">
        <v>15</v>
      </c>
      <c r="V140" s="2"/>
      <c r="W140" s="2"/>
      <c r="X140" s="2"/>
      <c r="Y140" s="2"/>
      <c r="Z140" s="2"/>
      <c r="AA140" s="2"/>
      <c r="AB140" s="35"/>
      <c r="AC140" s="2"/>
      <c r="AD140" s="2"/>
      <c r="AE140">
        <v>4</v>
      </c>
      <c r="AF140" s="35"/>
      <c r="AG140" s="35"/>
      <c r="AH140" s="2"/>
      <c r="AL140" s="35"/>
    </row>
    <row r="141" spans="1:39" s="209" customFormat="1">
      <c r="A141" s="211" t="s">
        <v>767</v>
      </c>
      <c r="N141" s="209">
        <v>10</v>
      </c>
      <c r="V141" s="210"/>
      <c r="W141" s="210"/>
      <c r="X141" s="210"/>
      <c r="Y141" s="210"/>
      <c r="Z141" s="210"/>
      <c r="AA141" s="210"/>
      <c r="AB141" s="212"/>
      <c r="AC141" s="210"/>
      <c r="AD141" s="210"/>
      <c r="AF141" s="212"/>
      <c r="AG141" s="212"/>
      <c r="AH141" s="210"/>
      <c r="AI141" s="212">
        <v>100</v>
      </c>
      <c r="AJ141" s="212"/>
      <c r="AK141" s="212"/>
      <c r="AL141" s="212"/>
      <c r="AM141" s="212"/>
    </row>
    <row r="142" spans="1:39">
      <c r="A142" s="31" t="s">
        <v>669</v>
      </c>
      <c r="Q142">
        <v>10</v>
      </c>
      <c r="R142">
        <v>5</v>
      </c>
      <c r="V142" s="2"/>
      <c r="W142" s="2"/>
      <c r="X142" s="2"/>
      <c r="Y142" s="2"/>
      <c r="Z142" s="2"/>
      <c r="AA142" s="2"/>
      <c r="AB142" s="35"/>
      <c r="AC142" s="2"/>
      <c r="AD142" s="2"/>
      <c r="AE142">
        <v>4</v>
      </c>
      <c r="AF142" s="35"/>
      <c r="AG142" s="35"/>
      <c r="AH142" s="2"/>
      <c r="AL142" s="35"/>
    </row>
    <row r="143" spans="1:39" s="209" customFormat="1">
      <c r="A143" s="209" t="s">
        <v>27</v>
      </c>
      <c r="N143" s="209">
        <v>10</v>
      </c>
      <c r="V143" s="210"/>
      <c r="W143" s="210"/>
      <c r="X143" s="210"/>
      <c r="Y143" s="210"/>
      <c r="Z143" s="210"/>
      <c r="AA143" s="210"/>
      <c r="AB143" s="212"/>
      <c r="AC143" s="210"/>
      <c r="AD143" s="210"/>
      <c r="AF143" s="212"/>
      <c r="AG143" s="212"/>
      <c r="AH143" s="210"/>
      <c r="AI143" s="212">
        <v>100</v>
      </c>
      <c r="AJ143" s="212"/>
      <c r="AK143" s="212"/>
      <c r="AL143" s="212"/>
      <c r="AM143" s="212"/>
    </row>
    <row r="144" spans="1:39">
      <c r="A144" s="209" t="s">
        <v>808</v>
      </c>
      <c r="N144">
        <v>20</v>
      </c>
      <c r="V144" s="2"/>
      <c r="W144" s="2"/>
      <c r="X144" s="2"/>
      <c r="Y144" s="2"/>
      <c r="Z144" s="2">
        <v>0.08</v>
      </c>
      <c r="AA144" s="2"/>
      <c r="AB144" s="35"/>
      <c r="AC144" s="2"/>
      <c r="AD144" s="2"/>
      <c r="AE144">
        <v>8</v>
      </c>
      <c r="AF144" s="35"/>
      <c r="AG144" s="35"/>
      <c r="AH144" s="2"/>
      <c r="AL144" s="35"/>
    </row>
    <row r="147" spans="1:39">
      <c r="A147" t="s">
        <v>65</v>
      </c>
      <c r="B147" t="s">
        <v>30</v>
      </c>
      <c r="C147" t="s">
        <v>529</v>
      </c>
      <c r="D147" t="s">
        <v>657</v>
      </c>
      <c r="E147" t="s">
        <v>499</v>
      </c>
      <c r="F147" s="31" t="s">
        <v>524</v>
      </c>
      <c r="G147" t="s">
        <v>3</v>
      </c>
      <c r="H147" t="s">
        <v>4</v>
      </c>
      <c r="I147" t="s">
        <v>5</v>
      </c>
      <c r="J147" t="s">
        <v>42</v>
      </c>
      <c r="K147" t="s">
        <v>221</v>
      </c>
      <c r="L147" t="s">
        <v>222</v>
      </c>
      <c r="M147" t="s">
        <v>223</v>
      </c>
      <c r="N147" t="s">
        <v>10</v>
      </c>
      <c r="O147" t="s">
        <v>9</v>
      </c>
      <c r="P147" t="s">
        <v>494</v>
      </c>
      <c r="Q147" t="s">
        <v>643</v>
      </c>
      <c r="R147" t="s">
        <v>644</v>
      </c>
      <c r="S147" t="s">
        <v>645</v>
      </c>
      <c r="T147" s="35" t="s">
        <v>646</v>
      </c>
      <c r="U147" s="148" t="s">
        <v>647</v>
      </c>
      <c r="V147" t="s">
        <v>12</v>
      </c>
      <c r="W147" t="s">
        <v>164</v>
      </c>
      <c r="X147" t="s">
        <v>360</v>
      </c>
      <c r="Y147" t="s">
        <v>495</v>
      </c>
      <c r="Z147" t="s">
        <v>496</v>
      </c>
      <c r="AA147" t="s">
        <v>131</v>
      </c>
      <c r="AB147" t="s">
        <v>11</v>
      </c>
      <c r="AC147" t="s">
        <v>127</v>
      </c>
      <c r="AD147" t="s">
        <v>126</v>
      </c>
      <c r="AE147" t="s">
        <v>13</v>
      </c>
      <c r="AF147" t="s">
        <v>124</v>
      </c>
      <c r="AG147" t="s">
        <v>302</v>
      </c>
      <c r="AH147" t="s">
        <v>175</v>
      </c>
      <c r="AI147" s="35" t="s">
        <v>473</v>
      </c>
      <c r="AJ147" s="35" t="s">
        <v>474</v>
      </c>
      <c r="AK147" s="148" t="s">
        <v>449</v>
      </c>
      <c r="AL147" t="s">
        <v>354</v>
      </c>
      <c r="AM147" s="148" t="s">
        <v>654</v>
      </c>
    </row>
    <row r="148" spans="1:39">
      <c r="A148" t="s">
        <v>55</v>
      </c>
      <c r="O148">
        <v>7</v>
      </c>
      <c r="V148" s="2"/>
      <c r="W148" s="2"/>
      <c r="X148" s="2"/>
      <c r="Y148" s="2"/>
      <c r="Z148" s="2"/>
      <c r="AA148" s="2"/>
      <c r="AB148" s="35"/>
      <c r="AC148" s="2"/>
      <c r="AD148" s="2"/>
      <c r="AF148" s="35"/>
      <c r="AG148" s="35"/>
      <c r="AH148" s="2"/>
      <c r="AL148" s="2">
        <v>0.03</v>
      </c>
    </row>
    <row r="149" spans="1:39" s="170" customFormat="1">
      <c r="A149" s="170" t="s">
        <v>726</v>
      </c>
      <c r="N149" s="170">
        <v>7</v>
      </c>
      <c r="O149" s="170">
        <v>7</v>
      </c>
      <c r="V149" s="171"/>
      <c r="W149" s="171"/>
      <c r="X149" s="171"/>
      <c r="Y149" s="171"/>
      <c r="Z149" s="171"/>
      <c r="AA149" s="171"/>
      <c r="AB149" s="174"/>
      <c r="AC149" s="171"/>
      <c r="AD149" s="171"/>
      <c r="AF149" s="174"/>
      <c r="AG149" s="174"/>
      <c r="AH149" s="171"/>
      <c r="AI149" s="174"/>
      <c r="AJ149" s="174"/>
      <c r="AK149" s="174"/>
      <c r="AL149" s="174"/>
      <c r="AM149" s="174"/>
    </row>
    <row r="150" spans="1:39">
      <c r="A150" t="s">
        <v>505</v>
      </c>
      <c r="O150">
        <v>8</v>
      </c>
      <c r="V150" s="2"/>
      <c r="W150" s="2"/>
      <c r="X150" s="2"/>
      <c r="Y150" s="2"/>
      <c r="Z150" s="2"/>
      <c r="AA150" s="2"/>
      <c r="AB150" s="35"/>
      <c r="AC150" s="2"/>
      <c r="AD150" s="2"/>
      <c r="AE150">
        <v>1</v>
      </c>
      <c r="AF150" s="35"/>
      <c r="AG150" s="35"/>
      <c r="AH150" s="2"/>
      <c r="AI150" s="2"/>
      <c r="AJ150" s="2"/>
      <c r="AK150" s="2"/>
      <c r="AL150" s="2"/>
      <c r="AM150" s="2"/>
    </row>
    <row r="151" spans="1:39">
      <c r="A151" t="s">
        <v>25</v>
      </c>
      <c r="V151" s="2">
        <v>0.05</v>
      </c>
      <c r="W151" s="2"/>
      <c r="X151" s="2"/>
      <c r="Y151" s="2"/>
      <c r="Z151" s="2"/>
      <c r="AA151" s="2"/>
      <c r="AB151" s="35"/>
      <c r="AC151" s="2"/>
      <c r="AD151" s="2"/>
      <c r="AE151">
        <v>1</v>
      </c>
      <c r="AF151" s="35"/>
      <c r="AG151" s="35"/>
      <c r="AH151" s="2"/>
      <c r="AL151" s="35"/>
    </row>
    <row r="152" spans="1:39">
      <c r="A152" t="s">
        <v>178</v>
      </c>
      <c r="O152">
        <v>10</v>
      </c>
      <c r="V152" s="2"/>
      <c r="W152" s="2"/>
      <c r="X152" s="2"/>
      <c r="Y152" s="2"/>
      <c r="Z152" s="2"/>
      <c r="AA152" s="2"/>
      <c r="AB152" s="35"/>
      <c r="AC152" s="2"/>
      <c r="AD152" s="2"/>
      <c r="AF152" s="35"/>
      <c r="AG152" s="35"/>
      <c r="AH152" s="2"/>
      <c r="AL152" s="35"/>
    </row>
    <row r="153" spans="1:39" s="170" customFormat="1">
      <c r="A153" s="170" t="s">
        <v>727</v>
      </c>
      <c r="N153" s="170">
        <v>6</v>
      </c>
      <c r="V153" s="171">
        <v>0.03</v>
      </c>
      <c r="W153" s="171"/>
      <c r="X153" s="171"/>
      <c r="Y153" s="171"/>
      <c r="Z153" s="171"/>
      <c r="AA153" s="171"/>
      <c r="AB153" s="174"/>
      <c r="AC153" s="171"/>
      <c r="AD153" s="171"/>
      <c r="AE153" s="170">
        <v>3</v>
      </c>
      <c r="AF153" s="174"/>
      <c r="AG153" s="174"/>
      <c r="AH153" s="171"/>
      <c r="AI153" s="174"/>
      <c r="AJ153" s="174"/>
      <c r="AK153" s="174"/>
      <c r="AL153" s="174"/>
      <c r="AM153" s="174"/>
    </row>
    <row r="154" spans="1:39">
      <c r="A154" t="s">
        <v>76</v>
      </c>
      <c r="O154">
        <v>5</v>
      </c>
      <c r="V154" s="2"/>
      <c r="W154" s="2"/>
      <c r="X154" s="2"/>
      <c r="Y154" s="2"/>
      <c r="Z154" s="2"/>
      <c r="AA154" s="2"/>
      <c r="AB154" s="35"/>
      <c r="AC154" s="2"/>
      <c r="AD154" s="2"/>
      <c r="AF154" s="35"/>
      <c r="AG154" s="35"/>
      <c r="AH154" s="2"/>
      <c r="AL154" s="35"/>
    </row>
    <row r="155" spans="1:39">
      <c r="A155" s="31" t="s">
        <v>708</v>
      </c>
      <c r="N155">
        <v>-10</v>
      </c>
      <c r="O155">
        <v>-10</v>
      </c>
      <c r="Q155">
        <v>-10</v>
      </c>
      <c r="R155">
        <v>-10</v>
      </c>
      <c r="V155" s="2"/>
      <c r="W155" s="2"/>
      <c r="X155" s="2"/>
      <c r="Y155" s="2"/>
      <c r="Z155" s="2"/>
      <c r="AA155" s="2"/>
      <c r="AB155" s="35"/>
      <c r="AC155" s="2"/>
      <c r="AD155" s="2"/>
      <c r="AE155">
        <v>8</v>
      </c>
      <c r="AF155" s="35"/>
      <c r="AG155" s="35"/>
      <c r="AH155" s="2"/>
      <c r="AL155" s="35"/>
    </row>
    <row r="156" spans="1:39">
      <c r="A156" t="s">
        <v>503</v>
      </c>
      <c r="O156">
        <v>8</v>
      </c>
      <c r="V156" s="2"/>
      <c r="W156" s="2"/>
      <c r="X156" s="2"/>
      <c r="Y156" s="2"/>
      <c r="Z156" s="2"/>
      <c r="AA156" s="2"/>
      <c r="AB156" s="35"/>
      <c r="AC156" s="2"/>
      <c r="AD156" s="2"/>
      <c r="AF156" s="35"/>
      <c r="AG156" s="35"/>
      <c r="AH156" s="2"/>
      <c r="AI156" s="2"/>
      <c r="AJ156" s="2"/>
      <c r="AK156" s="2"/>
      <c r="AL156" s="2"/>
      <c r="AM156" s="2"/>
    </row>
    <row r="157" spans="1:39">
      <c r="A157" t="s">
        <v>691</v>
      </c>
      <c r="Q157">
        <v>7</v>
      </c>
      <c r="R157">
        <v>7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39">
      <c r="A158" t="s">
        <v>475</v>
      </c>
      <c r="N158">
        <v>3</v>
      </c>
      <c r="O158">
        <v>9</v>
      </c>
      <c r="V158" s="2"/>
      <c r="W158" s="2"/>
      <c r="X158" s="2"/>
      <c r="Y158" s="2"/>
      <c r="Z158" s="2"/>
      <c r="AA158" s="2"/>
      <c r="AB158" s="35"/>
      <c r="AC158" s="2"/>
      <c r="AD158" s="2"/>
      <c r="AF158" s="35"/>
      <c r="AG158" s="35"/>
      <c r="AH158" s="2"/>
      <c r="AL158" s="35"/>
    </row>
    <row r="159" spans="1:39">
      <c r="A159" t="s">
        <v>504</v>
      </c>
      <c r="N159">
        <v>8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I159" s="2"/>
      <c r="AJ159" s="2"/>
      <c r="AK159" s="2"/>
      <c r="AL159" s="2"/>
      <c r="AM159" s="2"/>
    </row>
    <row r="160" spans="1:39">
      <c r="A160" t="s">
        <v>79</v>
      </c>
      <c r="H160">
        <v>2</v>
      </c>
      <c r="N160">
        <v>3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L160" s="35"/>
    </row>
    <row r="161" spans="1:41">
      <c r="A161" t="s">
        <v>142</v>
      </c>
      <c r="V161" s="2"/>
      <c r="W161" s="2"/>
      <c r="X161" s="2"/>
      <c r="Y161" s="2"/>
      <c r="Z161" s="2"/>
      <c r="AA161" s="2">
        <v>0.01</v>
      </c>
      <c r="AB161" s="35"/>
      <c r="AC161" s="2"/>
      <c r="AD161" s="2"/>
      <c r="AF161" s="35"/>
      <c r="AG161" s="35"/>
      <c r="AH161" s="2"/>
      <c r="AL161" s="35"/>
    </row>
    <row r="162" spans="1:41">
      <c r="A162" t="s">
        <v>692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>
        <v>0.02</v>
      </c>
      <c r="AL162" s="35"/>
    </row>
    <row r="163" spans="1:41">
      <c r="A163" t="s">
        <v>105</v>
      </c>
      <c r="G163">
        <v>2</v>
      </c>
      <c r="N163">
        <v>4</v>
      </c>
      <c r="V163" s="2"/>
      <c r="W163" s="2"/>
      <c r="X163" s="2"/>
      <c r="Y163" s="2"/>
      <c r="Z163" s="2"/>
      <c r="AA163" s="2"/>
      <c r="AB163" s="35"/>
      <c r="AC163" s="2"/>
      <c r="AD163" s="2"/>
      <c r="AF163" s="35"/>
      <c r="AG163" s="35"/>
      <c r="AH163" s="2"/>
      <c r="AL163" s="35"/>
    </row>
    <row r="164" spans="1:41">
      <c r="A164" t="s">
        <v>590</v>
      </c>
      <c r="G164">
        <v>2</v>
      </c>
      <c r="H164">
        <v>2</v>
      </c>
      <c r="O164">
        <v>17</v>
      </c>
      <c r="V164" s="2"/>
      <c r="W164" s="2"/>
      <c r="X164" s="2"/>
      <c r="Y164" s="2"/>
      <c r="Z164" s="2"/>
      <c r="AA164" s="2"/>
      <c r="AB164" s="35"/>
      <c r="AC164" s="2"/>
      <c r="AD164" s="2"/>
      <c r="AF164" s="2"/>
      <c r="AG164" s="35"/>
      <c r="AH164" s="2"/>
      <c r="AL164" s="2"/>
    </row>
    <row r="165" spans="1:41">
      <c r="A165" s="31" t="s">
        <v>693</v>
      </c>
      <c r="G165">
        <v>7</v>
      </c>
      <c r="H165">
        <v>7</v>
      </c>
      <c r="I165">
        <v>7</v>
      </c>
      <c r="K165">
        <v>7</v>
      </c>
      <c r="V165" s="2">
        <v>0.03</v>
      </c>
      <c r="W165" s="2"/>
      <c r="X165" s="2"/>
      <c r="Y165" s="2"/>
      <c r="Z165" s="2"/>
      <c r="AA165" s="2"/>
      <c r="AB165" s="35"/>
      <c r="AC165" s="2"/>
      <c r="AD165" s="2"/>
      <c r="AF165" s="2"/>
      <c r="AG165" s="35"/>
      <c r="AH165" s="2"/>
      <c r="AL165" s="2"/>
    </row>
    <row r="166" spans="1:41">
      <c r="A166" t="s">
        <v>694</v>
      </c>
      <c r="G166">
        <v>8</v>
      </c>
      <c r="H166">
        <v>8</v>
      </c>
      <c r="I166">
        <v>8</v>
      </c>
      <c r="K166">
        <v>8</v>
      </c>
      <c r="V166" s="2">
        <v>0.03</v>
      </c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41">
      <c r="A167" t="s">
        <v>695</v>
      </c>
      <c r="J167">
        <v>2</v>
      </c>
      <c r="R167">
        <v>4</v>
      </c>
      <c r="V167" s="2"/>
      <c r="W167" s="2"/>
      <c r="X167" s="2"/>
      <c r="Y167" s="2"/>
      <c r="Z167" s="2"/>
      <c r="AA167" s="2"/>
      <c r="AB167" s="35"/>
      <c r="AC167" s="2"/>
      <c r="AD167" s="2"/>
      <c r="AE167">
        <v>4</v>
      </c>
      <c r="AF167" s="35"/>
      <c r="AG167" s="35"/>
      <c r="AH167" s="2"/>
      <c r="AL167" s="35"/>
    </row>
    <row r="168" spans="1:41" s="209" customFormat="1">
      <c r="A168" s="209" t="s">
        <v>804</v>
      </c>
      <c r="H168" s="209">
        <v>5</v>
      </c>
      <c r="N168" s="209">
        <v>7</v>
      </c>
      <c r="V168" s="210">
        <v>0.01</v>
      </c>
      <c r="W168" s="210"/>
      <c r="X168" s="210"/>
      <c r="Y168" s="210"/>
      <c r="Z168" s="210"/>
      <c r="AA168" s="210"/>
      <c r="AB168" s="212"/>
      <c r="AC168" s="210"/>
      <c r="AD168" s="210"/>
      <c r="AF168" s="212"/>
      <c r="AG168" s="212"/>
      <c r="AH168" s="210"/>
      <c r="AI168" s="212"/>
      <c r="AJ168" s="212"/>
      <c r="AK168" s="212"/>
      <c r="AL168" s="212"/>
      <c r="AM168" s="212"/>
    </row>
    <row r="169" spans="1:41">
      <c r="A169" t="s">
        <v>508</v>
      </c>
      <c r="N169">
        <v>4</v>
      </c>
      <c r="V169" s="2"/>
      <c r="W169" s="2"/>
      <c r="X169" s="2"/>
      <c r="Y169" s="2"/>
      <c r="Z169" s="2"/>
      <c r="AA169" s="2"/>
      <c r="AB169" s="35"/>
      <c r="AC169" s="2"/>
      <c r="AD169" s="2"/>
      <c r="AF169" s="35"/>
      <c r="AG169" s="35">
        <v>250</v>
      </c>
      <c r="AH169" s="2"/>
      <c r="AL169" s="35"/>
    </row>
    <row r="170" spans="1:41">
      <c r="A170" t="s">
        <v>509</v>
      </c>
      <c r="O170">
        <v>4</v>
      </c>
      <c r="V170" s="2"/>
      <c r="W170" s="2"/>
      <c r="X170" s="2"/>
      <c r="Y170" s="2"/>
      <c r="Z170" s="2"/>
      <c r="AA170" s="2"/>
      <c r="AB170" s="35"/>
      <c r="AC170" s="2"/>
      <c r="AD170" s="2"/>
      <c r="AF170" s="35"/>
      <c r="AG170" s="35">
        <v>250</v>
      </c>
      <c r="AH170" s="2"/>
      <c r="AL170" s="35"/>
    </row>
    <row r="171" spans="1:41">
      <c r="A171" t="s">
        <v>506</v>
      </c>
      <c r="N171">
        <v>8</v>
      </c>
      <c r="V171" s="2"/>
      <c r="W171" s="2"/>
      <c r="X171" s="2"/>
      <c r="Y171" s="2"/>
      <c r="Z171" s="2"/>
      <c r="AA171" s="2"/>
      <c r="AB171" s="35"/>
      <c r="AC171" s="2"/>
      <c r="AD171" s="2"/>
      <c r="AE171">
        <v>1</v>
      </c>
      <c r="AF171" s="35"/>
      <c r="AG171" s="35"/>
      <c r="AH171" s="2"/>
      <c r="AI171" s="2"/>
      <c r="AJ171" s="2"/>
      <c r="AK171" s="2"/>
      <c r="AL171" s="2"/>
      <c r="AM171" s="2"/>
    </row>
    <row r="172" spans="1:41">
      <c r="A172" t="s">
        <v>143</v>
      </c>
      <c r="J172">
        <v>2</v>
      </c>
      <c r="V172" s="2"/>
      <c r="W172" s="2"/>
      <c r="X172" s="2"/>
      <c r="Y172" s="2"/>
      <c r="Z172" s="2"/>
      <c r="AA172" s="2">
        <v>0.05</v>
      </c>
      <c r="AB172" s="35"/>
      <c r="AC172" s="2"/>
      <c r="AD172" s="2"/>
      <c r="AF172" s="35"/>
      <c r="AG172" s="35"/>
      <c r="AH172" s="2"/>
      <c r="AL172" s="35"/>
    </row>
    <row r="173" spans="1:41">
      <c r="A173" t="s">
        <v>501</v>
      </c>
      <c r="N173">
        <v>5</v>
      </c>
      <c r="O173">
        <v>15</v>
      </c>
      <c r="V173" s="2"/>
      <c r="W173" s="2"/>
      <c r="X173" s="2"/>
      <c r="Y173" s="2"/>
      <c r="Z173" s="35"/>
      <c r="AA173" s="2"/>
      <c r="AB173" s="35"/>
      <c r="AC173" s="2"/>
      <c r="AD173" s="2"/>
      <c r="AF173" s="35"/>
      <c r="AG173" s="35"/>
      <c r="AH173" s="2"/>
      <c r="AL173" s="35"/>
    </row>
    <row r="174" spans="1:41">
      <c r="A174" t="s">
        <v>502</v>
      </c>
      <c r="N174">
        <v>6</v>
      </c>
      <c r="O174">
        <v>16</v>
      </c>
      <c r="V174" s="2"/>
      <c r="W174" s="2"/>
      <c r="X174" s="2"/>
      <c r="Y174" s="2"/>
      <c r="Z174" s="35"/>
      <c r="AA174" s="2"/>
      <c r="AB174" s="35"/>
      <c r="AC174" s="2"/>
      <c r="AD174" s="2"/>
      <c r="AF174" s="35"/>
      <c r="AG174" s="35"/>
      <c r="AH174" s="2"/>
      <c r="AL174" s="35"/>
    </row>
    <row r="175" spans="1:41" s="170" customFormat="1">
      <c r="A175" s="170" t="s">
        <v>707</v>
      </c>
      <c r="N175" s="170">
        <v>10</v>
      </c>
      <c r="O175" s="170">
        <v>10</v>
      </c>
      <c r="Q175" s="170">
        <v>10</v>
      </c>
      <c r="R175" s="170">
        <v>10</v>
      </c>
      <c r="V175" s="171">
        <v>0.01</v>
      </c>
      <c r="W175" s="171"/>
      <c r="X175" s="171"/>
      <c r="Y175" s="171"/>
      <c r="Z175" s="174"/>
      <c r="AA175" s="171"/>
      <c r="AB175" s="174"/>
      <c r="AC175" s="171"/>
      <c r="AD175" s="171"/>
      <c r="AE175" s="170">
        <v>5</v>
      </c>
      <c r="AF175" s="174"/>
      <c r="AG175" s="174"/>
      <c r="AH175" s="171"/>
      <c r="AI175" s="174"/>
      <c r="AJ175" s="174"/>
      <c r="AK175" s="174"/>
      <c r="AL175" s="174"/>
      <c r="AM175" s="174"/>
    </row>
    <row r="176" spans="1:41">
      <c r="A176" t="s">
        <v>587</v>
      </c>
      <c r="O176">
        <v>6</v>
      </c>
      <c r="V176" s="2"/>
      <c r="W176" s="2"/>
      <c r="X176" s="2"/>
      <c r="Y176" s="2"/>
      <c r="Z176" s="35"/>
      <c r="AA176" s="2"/>
      <c r="AB176" s="35"/>
      <c r="AC176" s="2"/>
      <c r="AD176" s="2"/>
      <c r="AE176" s="35">
        <v>5</v>
      </c>
      <c r="AF176" s="35"/>
      <c r="AG176" s="35"/>
      <c r="AH176" s="2"/>
      <c r="AL176" s="35"/>
      <c r="AN176" s="35"/>
      <c r="AO176" s="35"/>
    </row>
    <row r="177" spans="1:41">
      <c r="A177" t="s">
        <v>81</v>
      </c>
      <c r="G177">
        <v>2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L177" s="35"/>
    </row>
    <row r="178" spans="1:41">
      <c r="A178" s="31" t="s">
        <v>588</v>
      </c>
      <c r="B178">
        <v>5</v>
      </c>
      <c r="V178" s="2">
        <v>0.03</v>
      </c>
      <c r="W178" s="2"/>
      <c r="X178" s="2"/>
      <c r="Y178" s="2"/>
      <c r="Z178" s="2"/>
      <c r="AA178" s="2"/>
      <c r="AB178" s="35"/>
      <c r="AC178" s="2"/>
      <c r="AD178" s="2"/>
      <c r="AF178" s="35"/>
      <c r="AG178" s="35"/>
      <c r="AH178" s="2"/>
      <c r="AL178" s="35"/>
    </row>
    <row r="179" spans="1:41">
      <c r="A179" s="31" t="s">
        <v>707</v>
      </c>
      <c r="N179">
        <v>10</v>
      </c>
      <c r="O179">
        <v>10</v>
      </c>
      <c r="Q179">
        <v>10</v>
      </c>
      <c r="R179">
        <v>10</v>
      </c>
      <c r="V179" s="2">
        <v>0.01</v>
      </c>
      <c r="W179" s="2"/>
      <c r="X179" s="2"/>
      <c r="Y179" s="2"/>
      <c r="Z179" s="2"/>
      <c r="AA179" s="2"/>
      <c r="AB179" s="35"/>
      <c r="AC179" s="2"/>
      <c r="AD179" s="2"/>
      <c r="AE179">
        <v>5</v>
      </c>
      <c r="AF179" s="35"/>
      <c r="AG179" s="35"/>
      <c r="AH179" s="2"/>
      <c r="AL179" s="35"/>
    </row>
    <row r="180" spans="1:41">
      <c r="A180" s="31" t="s">
        <v>651</v>
      </c>
      <c r="N180">
        <v>12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3" spans="1:41">
      <c r="A183" t="s">
        <v>18</v>
      </c>
      <c r="B183" t="s">
        <v>30</v>
      </c>
      <c r="C183" t="s">
        <v>529</v>
      </c>
      <c r="D183" t="s">
        <v>657</v>
      </c>
      <c r="E183" t="s">
        <v>499</v>
      </c>
      <c r="F183" s="31" t="s">
        <v>524</v>
      </c>
      <c r="G183" t="s">
        <v>3</v>
      </c>
      <c r="H183" t="s">
        <v>4</v>
      </c>
      <c r="I183" t="s">
        <v>5</v>
      </c>
      <c r="J183" t="s">
        <v>42</v>
      </c>
      <c r="K183" t="s">
        <v>221</v>
      </c>
      <c r="L183" t="s">
        <v>222</v>
      </c>
      <c r="M183" t="s">
        <v>223</v>
      </c>
      <c r="N183" t="s">
        <v>10</v>
      </c>
      <c r="O183" t="s">
        <v>9</v>
      </c>
      <c r="P183" t="s">
        <v>494</v>
      </c>
      <c r="Q183" t="s">
        <v>643</v>
      </c>
      <c r="R183" t="s">
        <v>644</v>
      </c>
      <c r="S183" t="s">
        <v>645</v>
      </c>
      <c r="T183" s="35" t="s">
        <v>646</v>
      </c>
      <c r="U183" s="148" t="s">
        <v>647</v>
      </c>
      <c r="V183" t="s">
        <v>12</v>
      </c>
      <c r="W183" t="s">
        <v>164</v>
      </c>
      <c r="X183" t="s">
        <v>360</v>
      </c>
      <c r="Y183" t="s">
        <v>495</v>
      </c>
      <c r="Z183" t="s">
        <v>496</v>
      </c>
      <c r="AA183" t="s">
        <v>131</v>
      </c>
      <c r="AB183" t="s">
        <v>11</v>
      </c>
      <c r="AC183" t="s">
        <v>127</v>
      </c>
      <c r="AD183" t="s">
        <v>126</v>
      </c>
      <c r="AE183" t="s">
        <v>13</v>
      </c>
      <c r="AF183" t="s">
        <v>124</v>
      </c>
      <c r="AG183" t="s">
        <v>302</v>
      </c>
      <c r="AH183" t="s">
        <v>175</v>
      </c>
      <c r="AI183" s="35" t="s">
        <v>473</v>
      </c>
      <c r="AJ183" s="35" t="s">
        <v>474</v>
      </c>
      <c r="AK183" s="148" t="s">
        <v>449</v>
      </c>
      <c r="AL183" t="s">
        <v>354</v>
      </c>
      <c r="AM183" s="148" t="s">
        <v>654</v>
      </c>
    </row>
    <row r="184" spans="1:41">
      <c r="A184" t="s">
        <v>696</v>
      </c>
      <c r="G184">
        <v>25</v>
      </c>
      <c r="H184">
        <v>38</v>
      </c>
      <c r="I184">
        <v>24</v>
      </c>
      <c r="J184">
        <v>28</v>
      </c>
      <c r="K184">
        <v>21</v>
      </c>
      <c r="L184">
        <v>21</v>
      </c>
      <c r="M184">
        <v>21</v>
      </c>
      <c r="N184">
        <v>22</v>
      </c>
      <c r="O184">
        <v>22</v>
      </c>
      <c r="V184" s="2"/>
      <c r="W184" s="2"/>
      <c r="X184" s="2"/>
      <c r="Y184" s="2"/>
      <c r="Z184" s="2"/>
      <c r="AA184" s="2"/>
      <c r="AB184" s="35">
        <v>40</v>
      </c>
      <c r="AC184" s="2">
        <v>0.05</v>
      </c>
      <c r="AD184" s="2">
        <v>0.05</v>
      </c>
      <c r="AF184" s="35"/>
      <c r="AG184" s="35"/>
      <c r="AH184" s="2"/>
      <c r="AL184" s="35"/>
    </row>
    <row r="185" spans="1:41">
      <c r="A185" s="177" t="s">
        <v>715</v>
      </c>
      <c r="B185" s="177"/>
      <c r="C185" s="177"/>
      <c r="D185" s="177"/>
      <c r="E185" s="177"/>
      <c r="F185" s="177"/>
      <c r="G185" s="177">
        <v>26</v>
      </c>
      <c r="H185" s="177">
        <v>45</v>
      </c>
      <c r="I185" s="177">
        <v>23</v>
      </c>
      <c r="J185" s="177">
        <v>41</v>
      </c>
      <c r="K185" s="177">
        <v>20</v>
      </c>
      <c r="L185" s="177">
        <v>20</v>
      </c>
      <c r="M185" s="177">
        <v>20</v>
      </c>
      <c r="N185" s="177">
        <v>55</v>
      </c>
      <c r="O185" s="177">
        <v>35</v>
      </c>
      <c r="P185" s="177"/>
      <c r="Q185" s="177">
        <v>35</v>
      </c>
      <c r="R185" s="177">
        <v>35</v>
      </c>
      <c r="S185" s="177"/>
      <c r="T185" s="179"/>
      <c r="U185" s="179"/>
      <c r="V185" s="178"/>
      <c r="W185" s="178">
        <v>0.04</v>
      </c>
      <c r="X185" s="178"/>
      <c r="Y185" s="178"/>
      <c r="Z185" s="178"/>
      <c r="AA185" s="178">
        <v>0.06</v>
      </c>
      <c r="AB185" s="179">
        <v>40</v>
      </c>
      <c r="AC185" s="178"/>
      <c r="AD185" s="2"/>
      <c r="AF185" s="35"/>
      <c r="AG185" s="35"/>
      <c r="AH185" s="2"/>
      <c r="AL185" s="35"/>
    </row>
    <row r="186" spans="1:41" s="170" customFormat="1">
      <c r="A186" s="177" t="s">
        <v>716</v>
      </c>
      <c r="B186" s="177"/>
      <c r="C186" s="177"/>
      <c r="D186" s="177"/>
      <c r="E186" s="177"/>
      <c r="F186" s="177"/>
      <c r="G186" s="177">
        <v>38</v>
      </c>
      <c r="H186" s="177">
        <v>45</v>
      </c>
      <c r="I186" s="177">
        <v>23</v>
      </c>
      <c r="J186" s="177">
        <v>29</v>
      </c>
      <c r="K186" s="177">
        <v>20</v>
      </c>
      <c r="L186" s="177">
        <v>20</v>
      </c>
      <c r="M186" s="177">
        <v>20</v>
      </c>
      <c r="N186" s="177">
        <v>35</v>
      </c>
      <c r="O186" s="177">
        <v>55</v>
      </c>
      <c r="P186" s="177"/>
      <c r="Q186" s="177">
        <v>35</v>
      </c>
      <c r="R186" s="177">
        <v>35</v>
      </c>
      <c r="S186" s="177"/>
      <c r="T186" s="179"/>
      <c r="U186" s="179"/>
      <c r="V186" s="178"/>
      <c r="W186" s="178">
        <v>0.04</v>
      </c>
      <c r="X186" s="178"/>
      <c r="Y186" s="178"/>
      <c r="Z186" s="178"/>
      <c r="AA186" s="178">
        <v>0.06</v>
      </c>
      <c r="AB186" s="179">
        <v>40</v>
      </c>
      <c r="AC186" s="178"/>
      <c r="AD186" s="171"/>
      <c r="AF186" s="174"/>
      <c r="AG186" s="174"/>
      <c r="AH186" s="171"/>
      <c r="AI186" s="174"/>
      <c r="AJ186" s="174"/>
      <c r="AK186" s="174"/>
      <c r="AL186" s="174"/>
      <c r="AM186" s="174"/>
    </row>
    <row r="187" spans="1:41" s="170" customFormat="1">
      <c r="A187" s="177" t="s">
        <v>717</v>
      </c>
      <c r="B187" s="177"/>
      <c r="C187" s="177"/>
      <c r="D187" s="177"/>
      <c r="E187" s="177"/>
      <c r="F187" s="177"/>
      <c r="G187" s="177">
        <v>25</v>
      </c>
      <c r="H187" s="177">
        <v>43</v>
      </c>
      <c r="I187" s="177">
        <v>23</v>
      </c>
      <c r="J187" s="177">
        <v>39</v>
      </c>
      <c r="K187" s="177">
        <v>20</v>
      </c>
      <c r="L187" s="177">
        <v>20</v>
      </c>
      <c r="M187" s="177">
        <v>20</v>
      </c>
      <c r="N187" s="177">
        <v>40</v>
      </c>
      <c r="O187" s="177">
        <v>25</v>
      </c>
      <c r="P187" s="177"/>
      <c r="Q187" s="177">
        <v>25</v>
      </c>
      <c r="R187" s="177">
        <v>20</v>
      </c>
      <c r="S187" s="177"/>
      <c r="T187" s="179"/>
      <c r="U187" s="179"/>
      <c r="V187" s="178"/>
      <c r="W187" s="178">
        <v>0.03</v>
      </c>
      <c r="X187" s="178"/>
      <c r="Y187" s="178"/>
      <c r="Z187" s="178"/>
      <c r="AA187" s="178">
        <v>0.05</v>
      </c>
      <c r="AB187" s="179">
        <v>40</v>
      </c>
      <c r="AC187" s="178"/>
      <c r="AD187" s="171"/>
      <c r="AF187" s="174"/>
      <c r="AG187" s="174"/>
      <c r="AH187" s="171"/>
      <c r="AI187" s="174"/>
      <c r="AJ187" s="174"/>
      <c r="AK187" s="174"/>
      <c r="AL187" s="174"/>
      <c r="AM187" s="174"/>
    </row>
    <row r="188" spans="1:41">
      <c r="A188" s="177" t="s">
        <v>718</v>
      </c>
      <c r="B188" s="177"/>
      <c r="C188" s="177"/>
      <c r="D188" s="177"/>
      <c r="E188" s="177"/>
      <c r="F188" s="177"/>
      <c r="G188" s="177">
        <v>35</v>
      </c>
      <c r="H188" s="177">
        <v>43</v>
      </c>
      <c r="I188" s="177">
        <v>23</v>
      </c>
      <c r="J188" s="177">
        <v>29</v>
      </c>
      <c r="K188" s="177">
        <v>20</v>
      </c>
      <c r="L188" s="177">
        <v>20</v>
      </c>
      <c r="M188" s="177">
        <v>20</v>
      </c>
      <c r="N188" s="177">
        <v>25</v>
      </c>
      <c r="O188" s="177">
        <v>40</v>
      </c>
      <c r="P188" s="177"/>
      <c r="Q188" s="177">
        <v>25</v>
      </c>
      <c r="R188" s="177">
        <v>20</v>
      </c>
      <c r="S188" s="177"/>
      <c r="T188" s="179"/>
      <c r="U188" s="179"/>
      <c r="V188" s="178"/>
      <c r="W188" s="178">
        <v>0.03</v>
      </c>
      <c r="X188" s="178"/>
      <c r="Y188" s="178"/>
      <c r="Z188" s="178"/>
      <c r="AA188" s="178">
        <v>0.05</v>
      </c>
      <c r="AB188" s="179">
        <v>40</v>
      </c>
      <c r="AC188" s="178"/>
    </row>
    <row r="189" spans="1:41" s="209" customFormat="1">
      <c r="A189" s="209" t="s">
        <v>696</v>
      </c>
      <c r="G189" s="209">
        <v>25</v>
      </c>
      <c r="H189" s="209">
        <v>38</v>
      </c>
      <c r="I189" s="209">
        <v>24</v>
      </c>
      <c r="J189" s="209">
        <v>28</v>
      </c>
      <c r="K189" s="209">
        <v>21</v>
      </c>
      <c r="L189" s="209">
        <v>21</v>
      </c>
      <c r="M189" s="209">
        <v>21</v>
      </c>
      <c r="N189" s="209">
        <v>22</v>
      </c>
      <c r="O189" s="209">
        <v>22</v>
      </c>
      <c r="V189" s="210"/>
      <c r="W189" s="210"/>
      <c r="X189" s="210"/>
      <c r="Y189" s="210"/>
      <c r="Z189" s="210"/>
      <c r="AA189" s="210"/>
      <c r="AB189" s="212">
        <v>40</v>
      </c>
      <c r="AC189" s="210">
        <v>0.05</v>
      </c>
      <c r="AD189" s="210">
        <v>0.05</v>
      </c>
      <c r="AI189" s="212"/>
      <c r="AJ189" s="212"/>
      <c r="AK189" s="212"/>
      <c r="AM189" s="212"/>
    </row>
    <row r="190" spans="1:41">
      <c r="A190" s="31" t="s">
        <v>609</v>
      </c>
      <c r="G190">
        <v>20</v>
      </c>
      <c r="H190">
        <v>31</v>
      </c>
      <c r="I190">
        <v>20</v>
      </c>
      <c r="J190">
        <v>30</v>
      </c>
      <c r="K190">
        <v>18</v>
      </c>
      <c r="L190">
        <v>18</v>
      </c>
      <c r="M190">
        <v>18</v>
      </c>
      <c r="N190">
        <v>15</v>
      </c>
      <c r="Q190">
        <v>15</v>
      </c>
      <c r="V190" s="2"/>
      <c r="W190" s="2"/>
      <c r="X190" s="2"/>
      <c r="Y190" s="2"/>
      <c r="Z190" s="2"/>
      <c r="AA190" s="2"/>
      <c r="AB190" s="35">
        <v>40</v>
      </c>
      <c r="AC190" s="2"/>
      <c r="AD190" s="2"/>
      <c r="AE190" s="35"/>
      <c r="AF190" s="2"/>
      <c r="AG190" s="2"/>
      <c r="AH190" s="2"/>
      <c r="AL190" s="35"/>
      <c r="AN190" s="2"/>
      <c r="AO190" s="35"/>
    </row>
    <row r="191" spans="1:41">
      <c r="A191" t="s">
        <v>697</v>
      </c>
      <c r="G191">
        <v>25</v>
      </c>
      <c r="H191">
        <v>42</v>
      </c>
      <c r="I191">
        <v>24</v>
      </c>
      <c r="J191">
        <v>28</v>
      </c>
      <c r="K191">
        <v>21</v>
      </c>
      <c r="L191">
        <v>21</v>
      </c>
      <c r="M191">
        <v>21</v>
      </c>
      <c r="V191" s="2"/>
      <c r="W191" s="2"/>
      <c r="X191" s="2"/>
      <c r="Y191" s="2"/>
      <c r="Z191" s="2"/>
      <c r="AA191" s="2"/>
      <c r="AB191" s="35"/>
      <c r="AC191" s="2">
        <v>0.04</v>
      </c>
      <c r="AD191" s="2">
        <v>0.05</v>
      </c>
      <c r="AF191" s="35"/>
      <c r="AG191" s="35"/>
      <c r="AH191" s="2"/>
      <c r="AL191" s="35"/>
    </row>
    <row r="192" spans="1:41">
      <c r="A192" s="31" t="s">
        <v>555</v>
      </c>
      <c r="G192">
        <v>15</v>
      </c>
      <c r="H192">
        <v>21</v>
      </c>
      <c r="I192">
        <v>18</v>
      </c>
      <c r="J192">
        <v>16</v>
      </c>
      <c r="K192">
        <v>15</v>
      </c>
      <c r="L192">
        <v>15</v>
      </c>
      <c r="M192">
        <v>15</v>
      </c>
      <c r="V192" s="2"/>
      <c r="W192" s="2"/>
      <c r="X192" s="2"/>
      <c r="Y192" s="2"/>
      <c r="Z192" s="2"/>
      <c r="AA192" s="2">
        <v>7.0000000000000007E-2</v>
      </c>
      <c r="AB192" s="35">
        <v>40</v>
      </c>
      <c r="AC192" s="2"/>
      <c r="AD192" s="2"/>
      <c r="AE192" s="35"/>
      <c r="AF192" s="35"/>
      <c r="AG192" s="35"/>
      <c r="AH192" s="2"/>
      <c r="AL192" s="2"/>
    </row>
    <row r="193" spans="1:41">
      <c r="A193" s="31" t="s">
        <v>586</v>
      </c>
      <c r="G193">
        <v>29</v>
      </c>
      <c r="H193">
        <v>25</v>
      </c>
      <c r="I193">
        <v>26</v>
      </c>
      <c r="J193">
        <v>25</v>
      </c>
      <c r="K193">
        <v>24</v>
      </c>
      <c r="L193">
        <v>24</v>
      </c>
      <c r="M193">
        <v>24</v>
      </c>
      <c r="V193" s="2"/>
      <c r="W193" s="2"/>
      <c r="X193" s="2"/>
      <c r="Y193" s="2"/>
      <c r="Z193" s="2"/>
      <c r="AA193" s="2">
        <v>0.08</v>
      </c>
      <c r="AB193" s="35">
        <v>40</v>
      </c>
      <c r="AC193" s="2"/>
      <c r="AD193" s="2"/>
      <c r="AE193" s="35"/>
      <c r="AF193" s="35"/>
      <c r="AG193" s="35"/>
      <c r="AH193" s="2"/>
      <c r="AL193" s="2"/>
    </row>
    <row r="194" spans="1:41" s="209" customFormat="1">
      <c r="A194" s="209" t="s">
        <v>736</v>
      </c>
      <c r="G194" s="209">
        <v>28</v>
      </c>
      <c r="H194" s="209">
        <v>44</v>
      </c>
      <c r="I194" s="209">
        <v>24</v>
      </c>
      <c r="J194" s="209">
        <v>30</v>
      </c>
      <c r="K194" s="209">
        <v>21</v>
      </c>
      <c r="L194" s="209">
        <v>20</v>
      </c>
      <c r="M194" s="209">
        <v>21</v>
      </c>
      <c r="N194" s="209">
        <v>40</v>
      </c>
      <c r="O194" s="209">
        <v>25</v>
      </c>
      <c r="Q194" s="209">
        <v>15</v>
      </c>
      <c r="V194" s="210"/>
      <c r="W194" s="210">
        <v>0.04</v>
      </c>
      <c r="X194" s="210"/>
      <c r="Y194" s="210"/>
      <c r="Z194" s="210"/>
      <c r="AA194" s="210"/>
      <c r="AB194" s="212">
        <v>40</v>
      </c>
      <c r="AC194" s="210">
        <v>0.03</v>
      </c>
      <c r="AD194" s="210"/>
      <c r="AE194" s="209">
        <v>3</v>
      </c>
      <c r="AF194" s="212"/>
      <c r="AG194" s="212"/>
      <c r="AH194" s="210"/>
      <c r="AI194" s="212"/>
      <c r="AJ194" s="212"/>
      <c r="AK194" s="212"/>
      <c r="AL194" s="212"/>
      <c r="AM194" s="212"/>
    </row>
    <row r="195" spans="1:41" s="209" customFormat="1">
      <c r="A195" s="209" t="s">
        <v>798</v>
      </c>
      <c r="G195" s="209">
        <v>28</v>
      </c>
      <c r="H195" s="209">
        <v>44</v>
      </c>
      <c r="I195" s="209">
        <v>24</v>
      </c>
      <c r="J195" s="209">
        <v>30</v>
      </c>
      <c r="K195" s="209">
        <v>21</v>
      </c>
      <c r="L195" s="209">
        <v>20</v>
      </c>
      <c r="M195" s="209">
        <v>21</v>
      </c>
      <c r="N195" s="209">
        <v>40</v>
      </c>
      <c r="O195" s="209">
        <v>25</v>
      </c>
      <c r="Q195" s="209">
        <v>15</v>
      </c>
      <c r="V195" s="210"/>
      <c r="W195" s="210"/>
      <c r="X195" s="210"/>
      <c r="Y195" s="210"/>
      <c r="Z195" s="210"/>
      <c r="AA195" s="210"/>
      <c r="AB195" s="212">
        <v>40</v>
      </c>
      <c r="AC195" s="210">
        <v>0.03</v>
      </c>
      <c r="AD195" s="210"/>
      <c r="AE195" s="209">
        <v>3</v>
      </c>
      <c r="AF195" s="212"/>
      <c r="AG195" s="212"/>
      <c r="AH195" s="210">
        <v>0.05</v>
      </c>
      <c r="AI195" s="212"/>
      <c r="AJ195" s="212"/>
      <c r="AK195" s="212"/>
      <c r="AL195" s="212"/>
      <c r="AM195" s="212"/>
    </row>
    <row r="196" spans="1:41" s="209" customFormat="1">
      <c r="A196" s="209" t="s">
        <v>737</v>
      </c>
      <c r="G196" s="209">
        <v>28</v>
      </c>
      <c r="H196" s="209">
        <v>44</v>
      </c>
      <c r="I196" s="209">
        <v>24</v>
      </c>
      <c r="J196" s="209">
        <v>30</v>
      </c>
      <c r="K196" s="209">
        <v>21</v>
      </c>
      <c r="L196" s="209">
        <v>20</v>
      </c>
      <c r="M196" s="209">
        <v>21</v>
      </c>
      <c r="N196" s="209">
        <v>40</v>
      </c>
      <c r="O196" s="209">
        <v>25</v>
      </c>
      <c r="Q196" s="209">
        <v>15</v>
      </c>
      <c r="V196" s="210"/>
      <c r="W196" s="210"/>
      <c r="X196" s="210"/>
      <c r="Y196" s="210"/>
      <c r="Z196" s="210"/>
      <c r="AA196" s="210"/>
      <c r="AB196" s="212">
        <v>40</v>
      </c>
      <c r="AC196" s="210">
        <v>0.03</v>
      </c>
      <c r="AD196" s="210"/>
      <c r="AE196" s="209">
        <v>10</v>
      </c>
      <c r="AF196" s="212"/>
      <c r="AG196" s="212"/>
      <c r="AH196" s="210"/>
      <c r="AI196" s="212"/>
      <c r="AJ196" s="212"/>
      <c r="AK196" s="212"/>
      <c r="AL196" s="212"/>
      <c r="AM196" s="212"/>
    </row>
    <row r="197" spans="1:41" s="209" customFormat="1">
      <c r="A197" s="209" t="s">
        <v>738</v>
      </c>
      <c r="G197" s="209">
        <v>28</v>
      </c>
      <c r="H197" s="209">
        <v>44</v>
      </c>
      <c r="I197" s="209">
        <v>24</v>
      </c>
      <c r="J197" s="209">
        <v>30</v>
      </c>
      <c r="K197" s="209">
        <v>21</v>
      </c>
      <c r="L197" s="209">
        <v>20</v>
      </c>
      <c r="M197" s="209">
        <v>21</v>
      </c>
      <c r="N197" s="209">
        <v>40</v>
      </c>
      <c r="O197" s="209">
        <v>25</v>
      </c>
      <c r="Q197" s="209">
        <v>15</v>
      </c>
      <c r="V197" s="210"/>
      <c r="W197" s="210"/>
      <c r="X197" s="210"/>
      <c r="Y197" s="210"/>
      <c r="Z197" s="210"/>
      <c r="AA197" s="210"/>
      <c r="AB197" s="212">
        <v>40</v>
      </c>
      <c r="AC197" s="210">
        <v>0.08</v>
      </c>
      <c r="AD197" s="210"/>
      <c r="AE197" s="209">
        <v>3</v>
      </c>
      <c r="AF197" s="212"/>
      <c r="AG197" s="212"/>
      <c r="AH197" s="210"/>
      <c r="AI197" s="212"/>
      <c r="AJ197" s="212"/>
      <c r="AK197" s="212"/>
      <c r="AL197" s="212"/>
      <c r="AM197" s="212"/>
    </row>
    <row r="198" spans="1:41" s="209" customFormat="1">
      <c r="A198" s="209" t="s">
        <v>739</v>
      </c>
      <c r="G198" s="209">
        <v>28</v>
      </c>
      <c r="H198" s="209">
        <v>44</v>
      </c>
      <c r="I198" s="209">
        <v>24</v>
      </c>
      <c r="J198" s="209">
        <v>30</v>
      </c>
      <c r="K198" s="209">
        <v>21</v>
      </c>
      <c r="L198" s="209">
        <v>20</v>
      </c>
      <c r="M198" s="209">
        <v>21</v>
      </c>
      <c r="N198" s="209">
        <v>40</v>
      </c>
      <c r="O198" s="209">
        <v>25</v>
      </c>
      <c r="Q198" s="209">
        <v>15</v>
      </c>
      <c r="V198" s="210"/>
      <c r="W198" s="210"/>
      <c r="X198" s="210"/>
      <c r="Y198" s="210"/>
      <c r="Z198" s="210"/>
      <c r="AA198" s="210"/>
      <c r="AB198" s="212">
        <v>40</v>
      </c>
      <c r="AC198" s="210">
        <v>0.03</v>
      </c>
      <c r="AD198" s="210">
        <v>0.05</v>
      </c>
      <c r="AE198" s="209">
        <v>3</v>
      </c>
      <c r="AF198" s="212"/>
      <c r="AG198" s="212"/>
      <c r="AH198" s="210"/>
      <c r="AI198" s="212"/>
      <c r="AJ198" s="212"/>
      <c r="AK198" s="212"/>
      <c r="AL198" s="212"/>
      <c r="AM198" s="212"/>
    </row>
    <row r="199" spans="1:41" s="209" customFormat="1">
      <c r="A199" s="209" t="s">
        <v>742</v>
      </c>
      <c r="G199" s="209">
        <v>28</v>
      </c>
      <c r="H199" s="209">
        <v>34</v>
      </c>
      <c r="I199" s="209">
        <v>24</v>
      </c>
      <c r="J199" s="209">
        <v>40</v>
      </c>
      <c r="K199" s="209">
        <v>21</v>
      </c>
      <c r="L199" s="209">
        <v>20</v>
      </c>
      <c r="M199" s="209">
        <v>21</v>
      </c>
      <c r="N199" s="209">
        <v>40</v>
      </c>
      <c r="O199" s="209">
        <v>25</v>
      </c>
      <c r="Q199" s="209">
        <v>15</v>
      </c>
      <c r="V199" s="210"/>
      <c r="W199" s="210">
        <v>0.04</v>
      </c>
      <c r="X199" s="210"/>
      <c r="Y199" s="210"/>
      <c r="Z199" s="210"/>
      <c r="AA199" s="210"/>
      <c r="AB199" s="212">
        <v>40</v>
      </c>
      <c r="AC199" s="210">
        <v>0.03</v>
      </c>
      <c r="AD199" s="210"/>
      <c r="AE199" s="209">
        <v>3</v>
      </c>
      <c r="AF199" s="212"/>
      <c r="AG199" s="212"/>
      <c r="AH199" s="210"/>
      <c r="AI199" s="212"/>
      <c r="AJ199" s="212"/>
      <c r="AK199" s="212"/>
      <c r="AL199" s="212"/>
      <c r="AM199" s="212"/>
    </row>
    <row r="200" spans="1:41" s="209" customFormat="1">
      <c r="A200" s="209" t="s">
        <v>740</v>
      </c>
      <c r="G200" s="209">
        <v>28</v>
      </c>
      <c r="H200" s="209">
        <v>34</v>
      </c>
      <c r="I200" s="209">
        <v>24</v>
      </c>
      <c r="J200" s="209">
        <v>40</v>
      </c>
      <c r="K200" s="209">
        <v>21</v>
      </c>
      <c r="L200" s="209">
        <v>20</v>
      </c>
      <c r="M200" s="209">
        <v>21</v>
      </c>
      <c r="N200" s="209">
        <v>40</v>
      </c>
      <c r="O200" s="209">
        <v>25</v>
      </c>
      <c r="Q200" s="209">
        <v>15</v>
      </c>
      <c r="V200" s="210"/>
      <c r="W200" s="210"/>
      <c r="X200" s="210"/>
      <c r="Y200" s="210"/>
      <c r="Z200" s="210"/>
      <c r="AA200" s="210"/>
      <c r="AB200" s="212">
        <v>40</v>
      </c>
      <c r="AC200" s="210">
        <v>0.08</v>
      </c>
      <c r="AD200" s="210"/>
      <c r="AE200" s="209">
        <v>3</v>
      </c>
      <c r="AF200" s="212"/>
      <c r="AG200" s="212"/>
      <c r="AH200" s="210"/>
      <c r="AI200" s="212"/>
      <c r="AJ200" s="212"/>
      <c r="AK200" s="212"/>
      <c r="AL200" s="212"/>
      <c r="AM200" s="212"/>
    </row>
    <row r="201" spans="1:41" s="209" customFormat="1">
      <c r="A201" s="209" t="s">
        <v>741</v>
      </c>
      <c r="G201" s="209">
        <v>28</v>
      </c>
      <c r="H201" s="209">
        <v>34</v>
      </c>
      <c r="I201" s="209">
        <v>24</v>
      </c>
      <c r="J201" s="209">
        <v>40</v>
      </c>
      <c r="K201" s="209">
        <v>21</v>
      </c>
      <c r="L201" s="209">
        <v>20</v>
      </c>
      <c r="M201" s="209">
        <v>21</v>
      </c>
      <c r="N201" s="209">
        <v>40</v>
      </c>
      <c r="O201" s="209">
        <v>25</v>
      </c>
      <c r="Q201" s="209">
        <v>15</v>
      </c>
      <c r="V201" s="210"/>
      <c r="W201" s="210"/>
      <c r="X201" s="210"/>
      <c r="Y201" s="210"/>
      <c r="Z201" s="210"/>
      <c r="AA201" s="210"/>
      <c r="AB201" s="212">
        <v>40</v>
      </c>
      <c r="AC201" s="210">
        <v>0.03</v>
      </c>
      <c r="AD201" s="210">
        <v>0.05</v>
      </c>
      <c r="AE201" s="209">
        <v>3</v>
      </c>
      <c r="AF201" s="212"/>
      <c r="AG201" s="212"/>
      <c r="AH201" s="210"/>
      <c r="AI201" s="212"/>
      <c r="AJ201" s="212"/>
      <c r="AK201" s="212"/>
      <c r="AL201" s="212"/>
      <c r="AM201" s="212"/>
    </row>
    <row r="202" spans="1:41" s="209" customFormat="1">
      <c r="A202" s="209" t="s">
        <v>787</v>
      </c>
      <c r="G202" s="209">
        <v>37</v>
      </c>
      <c r="H202" s="209">
        <v>33</v>
      </c>
      <c r="I202" s="209">
        <v>31</v>
      </c>
      <c r="J202" s="209">
        <v>25</v>
      </c>
      <c r="K202" s="209">
        <v>20</v>
      </c>
      <c r="L202" s="209">
        <v>17</v>
      </c>
      <c r="M202" s="209">
        <v>25</v>
      </c>
      <c r="N202" s="209">
        <v>40</v>
      </c>
      <c r="O202" s="209">
        <v>28</v>
      </c>
      <c r="V202" s="210"/>
      <c r="W202" s="210"/>
      <c r="X202" s="210"/>
      <c r="Y202" s="210"/>
      <c r="Z202" s="210"/>
      <c r="AA202" s="210"/>
      <c r="AB202" s="212">
        <v>41</v>
      </c>
      <c r="AC202" s="210"/>
      <c r="AD202" s="210"/>
      <c r="AF202" s="212"/>
      <c r="AG202" s="212"/>
      <c r="AH202" s="210"/>
      <c r="AI202" s="212"/>
      <c r="AJ202" s="212"/>
      <c r="AK202" s="212"/>
      <c r="AL202" s="212"/>
      <c r="AM202" s="212"/>
    </row>
    <row r="203" spans="1:41" s="209" customFormat="1">
      <c r="A203" s="209" t="s">
        <v>785</v>
      </c>
      <c r="G203" s="209">
        <v>33</v>
      </c>
      <c r="H203" s="209">
        <v>34</v>
      </c>
      <c r="I203" s="209">
        <v>21</v>
      </c>
      <c r="J203" s="209">
        <v>32</v>
      </c>
      <c r="K203" s="209">
        <v>24</v>
      </c>
      <c r="L203" s="209">
        <v>23</v>
      </c>
      <c r="M203" s="209">
        <v>21</v>
      </c>
      <c r="N203" s="209">
        <v>42</v>
      </c>
      <c r="Q203" s="209">
        <v>37</v>
      </c>
      <c r="V203" s="210"/>
      <c r="W203" s="210">
        <v>0.05</v>
      </c>
      <c r="X203" s="210"/>
      <c r="Y203" s="210"/>
      <c r="Z203" s="210"/>
      <c r="AA203" s="210"/>
      <c r="AB203" s="212">
        <v>41</v>
      </c>
      <c r="AC203" s="210">
        <v>7.0000000000000007E-2</v>
      </c>
      <c r="AD203" s="210"/>
      <c r="AF203" s="212"/>
      <c r="AG203" s="212"/>
      <c r="AH203" s="210"/>
      <c r="AI203" s="212"/>
      <c r="AJ203" s="212"/>
      <c r="AK203" s="212"/>
      <c r="AL203" s="212"/>
      <c r="AM203" s="212"/>
    </row>
    <row r="204" spans="1:41" s="209" customFormat="1">
      <c r="A204" s="209" t="s">
        <v>786</v>
      </c>
      <c r="G204" s="209">
        <v>33</v>
      </c>
      <c r="H204" s="209">
        <v>39</v>
      </c>
      <c r="I204" s="209">
        <v>21</v>
      </c>
      <c r="J204" s="209">
        <v>37</v>
      </c>
      <c r="K204" s="209">
        <v>24</v>
      </c>
      <c r="L204" s="209">
        <v>23</v>
      </c>
      <c r="M204" s="209">
        <v>21</v>
      </c>
      <c r="N204" s="209">
        <v>52</v>
      </c>
      <c r="Q204" s="209">
        <v>47</v>
      </c>
      <c r="V204" s="210"/>
      <c r="W204" s="210">
        <v>0.06</v>
      </c>
      <c r="X204" s="210"/>
      <c r="Y204" s="210"/>
      <c r="Z204" s="210"/>
      <c r="AA204" s="210"/>
      <c r="AB204" s="212">
        <v>41</v>
      </c>
      <c r="AC204" s="210">
        <v>0.09</v>
      </c>
      <c r="AD204" s="210"/>
      <c r="AF204" s="212"/>
      <c r="AG204" s="212"/>
      <c r="AH204" s="210"/>
      <c r="AI204" s="212"/>
      <c r="AJ204" s="212"/>
      <c r="AK204" s="212"/>
      <c r="AL204" s="212"/>
      <c r="AM204" s="212"/>
    </row>
    <row r="205" spans="1:41">
      <c r="A205" t="s">
        <v>637</v>
      </c>
      <c r="G205">
        <v>29</v>
      </c>
      <c r="H205">
        <v>29</v>
      </c>
      <c r="I205">
        <v>29</v>
      </c>
      <c r="J205">
        <v>6</v>
      </c>
      <c r="K205">
        <v>6</v>
      </c>
      <c r="L205">
        <v>6</v>
      </c>
      <c r="M205">
        <v>6</v>
      </c>
      <c r="N205">
        <v>30</v>
      </c>
      <c r="O205">
        <v>30</v>
      </c>
      <c r="V205" s="2">
        <v>0.02</v>
      </c>
      <c r="W205" s="2"/>
      <c r="X205" s="2"/>
      <c r="Y205" s="2"/>
      <c r="Z205" s="2"/>
      <c r="AA205" s="2"/>
      <c r="AB205" s="35">
        <v>30</v>
      </c>
      <c r="AC205" s="2"/>
      <c r="AD205" s="2"/>
      <c r="AF205" s="2"/>
      <c r="AG205" s="2"/>
      <c r="AH205" s="2"/>
      <c r="AL205" s="35"/>
      <c r="AN205" s="2"/>
      <c r="AO205" s="35"/>
    </row>
    <row r="206" spans="1:41">
      <c r="A206" s="31" t="s">
        <v>600</v>
      </c>
      <c r="G206" s="35">
        <v>15</v>
      </c>
      <c r="H206">
        <v>16</v>
      </c>
      <c r="I206">
        <v>13</v>
      </c>
      <c r="J206">
        <v>16</v>
      </c>
      <c r="K206">
        <v>15</v>
      </c>
      <c r="L206">
        <v>15</v>
      </c>
      <c r="M206">
        <v>15</v>
      </c>
      <c r="N206">
        <v>20</v>
      </c>
      <c r="O206">
        <v>20</v>
      </c>
      <c r="Q206">
        <v>12</v>
      </c>
      <c r="R206">
        <v>12</v>
      </c>
      <c r="V206" s="2"/>
      <c r="W206" s="2"/>
      <c r="X206" s="2"/>
      <c r="Y206" s="2"/>
      <c r="Z206" s="2"/>
      <c r="AA206" s="2">
        <v>0.06</v>
      </c>
      <c r="AB206" s="35">
        <v>40</v>
      </c>
      <c r="AC206" s="2"/>
      <c r="AD206" s="2"/>
      <c r="AE206" s="35"/>
      <c r="AF206" s="2"/>
      <c r="AG206" s="2"/>
      <c r="AH206" s="2"/>
      <c r="AL206" s="2"/>
    </row>
    <row r="207" spans="1:41">
      <c r="A207" s="31" t="s">
        <v>601</v>
      </c>
      <c r="G207" s="35">
        <v>24</v>
      </c>
      <c r="H207">
        <v>25</v>
      </c>
      <c r="I207">
        <v>21</v>
      </c>
      <c r="J207">
        <v>25</v>
      </c>
      <c r="K207">
        <v>24</v>
      </c>
      <c r="L207">
        <v>24</v>
      </c>
      <c r="M207">
        <v>24</v>
      </c>
      <c r="N207">
        <v>22</v>
      </c>
      <c r="O207">
        <v>22</v>
      </c>
      <c r="Q207">
        <v>14</v>
      </c>
      <c r="R207">
        <v>14</v>
      </c>
      <c r="V207" s="2"/>
      <c r="W207" s="2"/>
      <c r="X207" s="2"/>
      <c r="Y207" s="2"/>
      <c r="Z207" s="2"/>
      <c r="AA207" s="2">
        <v>7.0000000000000007E-2</v>
      </c>
      <c r="AB207" s="35">
        <v>40</v>
      </c>
      <c r="AC207" s="2"/>
      <c r="AD207" s="2"/>
      <c r="AE207" s="35"/>
      <c r="AF207" s="2"/>
      <c r="AG207" s="2"/>
      <c r="AH207" s="2"/>
      <c r="AL207" s="2"/>
    </row>
    <row r="208" spans="1:41" s="209" customFormat="1">
      <c r="A208" s="211" t="s">
        <v>788</v>
      </c>
      <c r="G208" s="212">
        <v>28</v>
      </c>
      <c r="H208" s="209">
        <v>44</v>
      </c>
      <c r="I208" s="209">
        <v>24</v>
      </c>
      <c r="J208" s="209">
        <v>40</v>
      </c>
      <c r="K208" s="209">
        <v>21</v>
      </c>
      <c r="L208" s="209">
        <v>20</v>
      </c>
      <c r="M208" s="209">
        <v>24</v>
      </c>
      <c r="N208" s="209">
        <v>40</v>
      </c>
      <c r="Q208" s="209">
        <v>40</v>
      </c>
      <c r="S208" s="209">
        <v>40</v>
      </c>
      <c r="V208" s="210"/>
      <c r="W208" s="210"/>
      <c r="X208" s="210"/>
      <c r="Y208" s="210"/>
      <c r="Z208" s="210"/>
      <c r="AA208" s="210"/>
      <c r="AB208" s="212">
        <v>41</v>
      </c>
      <c r="AC208" s="210">
        <v>0.08</v>
      </c>
      <c r="AD208" s="210"/>
      <c r="AE208" s="212">
        <v>5</v>
      </c>
      <c r="AF208" s="210"/>
      <c r="AG208" s="210"/>
      <c r="AH208" s="210"/>
      <c r="AI208" s="212"/>
      <c r="AJ208" s="212"/>
      <c r="AK208" s="212"/>
      <c r="AL208" s="210"/>
      <c r="AM208" s="212"/>
    </row>
    <row r="209" spans="1:41" s="209" customFormat="1">
      <c r="A209" s="211" t="s">
        <v>807</v>
      </c>
      <c r="G209" s="212">
        <v>28</v>
      </c>
      <c r="H209" s="209">
        <v>48</v>
      </c>
      <c r="I209" s="209">
        <v>24</v>
      </c>
      <c r="J209" s="209">
        <v>44</v>
      </c>
      <c r="K209" s="209">
        <v>21</v>
      </c>
      <c r="L209" s="209">
        <v>20</v>
      </c>
      <c r="M209" s="209">
        <v>24</v>
      </c>
      <c r="N209" s="209">
        <v>46</v>
      </c>
      <c r="Q209" s="209">
        <v>46</v>
      </c>
      <c r="S209" s="209">
        <v>46</v>
      </c>
      <c r="V209" s="210"/>
      <c r="W209" s="210"/>
      <c r="X209" s="210"/>
      <c r="Y209" s="210"/>
      <c r="Z209" s="210"/>
      <c r="AA209" s="210"/>
      <c r="AB209" s="212">
        <v>41</v>
      </c>
      <c r="AC209" s="210">
        <v>0.09</v>
      </c>
      <c r="AD209" s="210"/>
      <c r="AE209" s="212">
        <v>6</v>
      </c>
      <c r="AF209" s="210"/>
      <c r="AG209" s="210"/>
      <c r="AH209" s="210"/>
      <c r="AI209" s="212"/>
      <c r="AJ209" s="212"/>
      <c r="AK209" s="212"/>
      <c r="AL209" s="210"/>
      <c r="AM209" s="212"/>
    </row>
    <row r="210" spans="1:41" s="181" customFormat="1" ht="13.5" customHeight="1">
      <c r="A210" s="189" t="s">
        <v>728</v>
      </c>
      <c r="B210" s="187"/>
      <c r="C210" s="187"/>
      <c r="D210" s="187"/>
      <c r="E210" s="187"/>
      <c r="F210" s="187"/>
      <c r="G210" s="187">
        <v>21</v>
      </c>
      <c r="H210" s="187">
        <v>21</v>
      </c>
      <c r="I210" s="187">
        <v>21</v>
      </c>
      <c r="J210" s="187">
        <v>21</v>
      </c>
      <c r="K210" s="187">
        <v>29</v>
      </c>
      <c r="L210" s="187">
        <v>29</v>
      </c>
      <c r="M210" s="187">
        <v>29</v>
      </c>
      <c r="N210" s="187">
        <v>24</v>
      </c>
      <c r="O210" s="187"/>
      <c r="P210" s="187"/>
      <c r="Q210" s="187"/>
      <c r="R210" s="187"/>
      <c r="S210" s="187"/>
      <c r="T210" s="187"/>
      <c r="U210" s="187"/>
      <c r="V210" s="188"/>
      <c r="W210" s="188"/>
      <c r="X210" s="188"/>
      <c r="Y210" s="188"/>
      <c r="Z210" s="188"/>
      <c r="AA210" s="188"/>
      <c r="AB210" s="190">
        <v>30</v>
      </c>
      <c r="AC210" s="188"/>
      <c r="AD210" s="188"/>
      <c r="AE210" s="187"/>
      <c r="AF210" s="190"/>
      <c r="AG210" s="190"/>
      <c r="AH210" s="188"/>
      <c r="AI210" s="188"/>
      <c r="AJ210" s="188"/>
      <c r="AK210" s="188"/>
      <c r="AL210" s="188"/>
      <c r="AM210" s="187"/>
      <c r="AN210" s="187"/>
      <c r="AO210" s="185"/>
    </row>
    <row r="211" spans="1:41" s="180" customFormat="1">
      <c r="A211" s="184" t="s">
        <v>689</v>
      </c>
      <c r="B211" s="181"/>
      <c r="C211" s="181"/>
      <c r="D211" s="181"/>
      <c r="E211" s="181"/>
      <c r="F211" s="181"/>
      <c r="G211" s="184">
        <v>37</v>
      </c>
      <c r="H211" s="184">
        <v>45</v>
      </c>
      <c r="I211" s="181">
        <v>26</v>
      </c>
      <c r="J211" s="184">
        <v>30</v>
      </c>
      <c r="K211" s="184">
        <v>32</v>
      </c>
      <c r="L211" s="184">
        <v>25</v>
      </c>
      <c r="M211" s="184">
        <v>25</v>
      </c>
      <c r="N211" s="184">
        <v>15</v>
      </c>
      <c r="O211" s="184">
        <v>15</v>
      </c>
      <c r="P211" s="181"/>
      <c r="Q211" s="181"/>
      <c r="R211" s="181"/>
      <c r="S211" s="181"/>
      <c r="T211" s="181"/>
      <c r="U211" s="181"/>
      <c r="V211" s="182"/>
      <c r="W211" s="182">
        <v>0.02</v>
      </c>
      <c r="X211" s="182"/>
      <c r="Y211" s="182"/>
      <c r="Z211" s="182"/>
      <c r="AA211" s="182"/>
      <c r="AB211" s="186">
        <v>40</v>
      </c>
      <c r="AC211" s="182"/>
      <c r="AD211" s="182"/>
      <c r="AE211" s="185"/>
      <c r="AF211" s="182"/>
      <c r="AG211" s="185"/>
      <c r="AH211" s="182"/>
      <c r="AI211" s="181"/>
      <c r="AJ211" s="181"/>
      <c r="AK211" s="181"/>
      <c r="AL211" s="182"/>
      <c r="AM211" s="181"/>
      <c r="AN211" s="181"/>
    </row>
    <row r="212" spans="1:41">
      <c r="A212" t="s">
        <v>698</v>
      </c>
      <c r="G212">
        <v>30</v>
      </c>
      <c r="H212">
        <v>35</v>
      </c>
      <c r="I212">
        <v>26</v>
      </c>
      <c r="J212">
        <v>30</v>
      </c>
      <c r="K212">
        <v>25</v>
      </c>
      <c r="L212">
        <v>25</v>
      </c>
      <c r="M212">
        <v>25</v>
      </c>
      <c r="N212">
        <v>15</v>
      </c>
      <c r="O212">
        <v>15</v>
      </c>
      <c r="V212" s="2"/>
      <c r="W212" s="2">
        <v>0.04</v>
      </c>
      <c r="X212" s="2"/>
      <c r="Y212" s="2"/>
      <c r="Z212" s="2"/>
      <c r="AA212" s="2"/>
      <c r="AB212" s="35">
        <v>40</v>
      </c>
      <c r="AC212" s="2"/>
      <c r="AD212" s="2"/>
      <c r="AF212" s="35"/>
      <c r="AG212" s="35"/>
      <c r="AH212" s="2"/>
      <c r="AL212" s="35"/>
    </row>
    <row r="213" spans="1:41" s="31" customFormat="1">
      <c r="A213" s="31" t="s">
        <v>690</v>
      </c>
      <c r="G213" s="31">
        <v>38</v>
      </c>
      <c r="H213" s="31">
        <v>35</v>
      </c>
      <c r="I213" s="31">
        <v>28</v>
      </c>
      <c r="J213" s="31">
        <v>25</v>
      </c>
      <c r="K213" s="31">
        <v>23</v>
      </c>
      <c r="L213" s="31">
        <v>26</v>
      </c>
      <c r="M213" s="31">
        <v>23</v>
      </c>
      <c r="N213" s="31">
        <v>22</v>
      </c>
      <c r="O213" s="31">
        <v>37</v>
      </c>
      <c r="V213" s="12">
        <v>0.04</v>
      </c>
      <c r="W213" s="12"/>
      <c r="X213" s="12"/>
      <c r="Y213" s="12"/>
      <c r="Z213" s="12"/>
      <c r="AA213" s="12"/>
      <c r="AB213" s="50">
        <v>41</v>
      </c>
      <c r="AC213" s="12"/>
      <c r="AD213" s="12"/>
      <c r="AF213" s="50"/>
      <c r="AG213" s="12"/>
      <c r="AH213" s="12"/>
      <c r="AI213" s="50"/>
      <c r="AJ213" s="50"/>
      <c r="AK213" s="50"/>
      <c r="AL213" s="50"/>
      <c r="AM213" s="50"/>
    </row>
    <row r="214" spans="1:41" s="31" customFormat="1">
      <c r="A214" s="31" t="s">
        <v>770</v>
      </c>
      <c r="G214" s="31">
        <v>38</v>
      </c>
      <c r="H214" s="31">
        <v>34</v>
      </c>
      <c r="I214" s="31">
        <v>23</v>
      </c>
      <c r="J214" s="31">
        <v>29</v>
      </c>
      <c r="K214" s="31">
        <v>19</v>
      </c>
      <c r="L214" s="31">
        <v>19</v>
      </c>
      <c r="M214" s="31">
        <v>19</v>
      </c>
      <c r="N214" s="31">
        <v>42</v>
      </c>
      <c r="O214" s="31">
        <v>27</v>
      </c>
      <c r="V214" s="12"/>
      <c r="W214" s="12"/>
      <c r="X214" s="12"/>
      <c r="Y214" s="12"/>
      <c r="Z214" s="12"/>
      <c r="AA214" s="12"/>
      <c r="AB214" s="50">
        <v>30</v>
      </c>
      <c r="AC214" s="12">
        <v>0.03</v>
      </c>
      <c r="AD214" s="12"/>
      <c r="AF214" s="50"/>
      <c r="AG214" s="12"/>
      <c r="AH214" s="12"/>
      <c r="AI214" s="50"/>
      <c r="AJ214" s="50"/>
      <c r="AK214" s="50"/>
      <c r="AL214" s="50"/>
      <c r="AM214" s="50"/>
    </row>
    <row r="215" spans="1:41" s="184" customFormat="1">
      <c r="A215" s="184" t="s">
        <v>721</v>
      </c>
      <c r="G215" s="184">
        <v>40</v>
      </c>
      <c r="H215" s="184">
        <v>36</v>
      </c>
      <c r="I215" s="184">
        <v>23</v>
      </c>
      <c r="J215" s="184">
        <v>29</v>
      </c>
      <c r="K215" s="184">
        <v>19</v>
      </c>
      <c r="L215" s="184">
        <v>19</v>
      </c>
      <c r="M215" s="184">
        <v>19</v>
      </c>
      <c r="N215" s="184">
        <v>57</v>
      </c>
      <c r="O215" s="184">
        <v>37</v>
      </c>
      <c r="V215" s="183"/>
      <c r="W215" s="183"/>
      <c r="X215" s="183"/>
      <c r="Y215" s="183"/>
      <c r="Z215" s="183"/>
      <c r="AA215" s="183"/>
      <c r="AB215" s="186">
        <v>30</v>
      </c>
      <c r="AC215" s="183">
        <v>0.04</v>
      </c>
      <c r="AD215" s="183"/>
      <c r="AF215" s="186"/>
      <c r="AG215" s="183"/>
      <c r="AH215" s="183"/>
      <c r="AI215" s="186"/>
      <c r="AJ215" s="186"/>
      <c r="AK215" s="186"/>
      <c r="AL215" s="186"/>
      <c r="AM215" s="186"/>
    </row>
    <row r="216" spans="1:41" s="184" customFormat="1">
      <c r="A216" s="184" t="s">
        <v>771</v>
      </c>
      <c r="G216" s="184">
        <v>28</v>
      </c>
      <c r="H216" s="184">
        <v>24</v>
      </c>
      <c r="I216" s="184">
        <v>23</v>
      </c>
      <c r="J216" s="184">
        <v>29</v>
      </c>
      <c r="K216" s="184">
        <v>19</v>
      </c>
      <c r="L216" s="184">
        <v>19</v>
      </c>
      <c r="M216" s="184">
        <v>19</v>
      </c>
      <c r="N216" s="184">
        <v>27</v>
      </c>
      <c r="O216" s="184">
        <v>27</v>
      </c>
      <c r="V216" s="183">
        <v>0.02</v>
      </c>
      <c r="W216" s="183"/>
      <c r="X216" s="183"/>
      <c r="Y216" s="183"/>
      <c r="Z216" s="183"/>
      <c r="AA216" s="183"/>
      <c r="AB216" s="186">
        <v>30</v>
      </c>
      <c r="AC216" s="183">
        <v>0.03</v>
      </c>
      <c r="AD216" s="183"/>
      <c r="AE216" s="184">
        <v>5</v>
      </c>
      <c r="AF216" s="186"/>
      <c r="AG216" s="183"/>
      <c r="AH216" s="183"/>
      <c r="AI216" s="186"/>
      <c r="AJ216" s="186"/>
      <c r="AK216" s="186"/>
      <c r="AL216" s="186"/>
      <c r="AM216" s="186"/>
    </row>
    <row r="217" spans="1:41" s="184" customFormat="1">
      <c r="A217" s="184" t="s">
        <v>723</v>
      </c>
      <c r="G217" s="184">
        <v>28</v>
      </c>
      <c r="H217" s="184">
        <v>24</v>
      </c>
      <c r="I217" s="184">
        <v>23</v>
      </c>
      <c r="J217" s="184">
        <v>29</v>
      </c>
      <c r="K217" s="184">
        <v>19</v>
      </c>
      <c r="L217" s="184">
        <v>19</v>
      </c>
      <c r="M217" s="184">
        <v>19</v>
      </c>
      <c r="N217" s="184">
        <v>37</v>
      </c>
      <c r="O217" s="184">
        <v>37</v>
      </c>
      <c r="V217" s="183">
        <v>0.03</v>
      </c>
      <c r="W217" s="183"/>
      <c r="X217" s="183"/>
      <c r="Y217" s="183"/>
      <c r="Z217" s="183"/>
      <c r="AA217" s="183"/>
      <c r="AB217" s="186">
        <v>30</v>
      </c>
      <c r="AC217" s="183">
        <v>0.04</v>
      </c>
      <c r="AD217" s="183"/>
      <c r="AE217" s="184">
        <v>6</v>
      </c>
      <c r="AF217" s="186"/>
      <c r="AG217" s="183"/>
      <c r="AH217" s="183"/>
      <c r="AI217" s="186"/>
      <c r="AJ217" s="186"/>
      <c r="AK217" s="186"/>
      <c r="AL217" s="186"/>
      <c r="AM217" s="186"/>
    </row>
    <row r="218" spans="1:41">
      <c r="A218" t="s">
        <v>687</v>
      </c>
      <c r="G218">
        <v>22</v>
      </c>
      <c r="H218">
        <v>29</v>
      </c>
      <c r="I218">
        <v>22</v>
      </c>
      <c r="J218">
        <v>28</v>
      </c>
      <c r="K218">
        <v>21</v>
      </c>
      <c r="L218">
        <v>21</v>
      </c>
      <c r="M218">
        <v>21</v>
      </c>
      <c r="N218">
        <v>20</v>
      </c>
      <c r="O218">
        <v>30</v>
      </c>
      <c r="R218">
        <v>10</v>
      </c>
      <c r="V218" s="2"/>
      <c r="W218" s="2"/>
      <c r="X218" s="2"/>
      <c r="Y218" s="2"/>
      <c r="Z218" s="2"/>
      <c r="AA218" s="2"/>
      <c r="AB218" s="35">
        <v>40</v>
      </c>
      <c r="AC218" s="2">
        <v>0.03</v>
      </c>
      <c r="AD218" s="2">
        <v>0.03</v>
      </c>
      <c r="AF218" s="35"/>
      <c r="AG218" s="35"/>
      <c r="AH218" s="2"/>
      <c r="AL218" s="35"/>
    </row>
    <row r="219" spans="1:41">
      <c r="A219" t="s">
        <v>688</v>
      </c>
      <c r="G219">
        <v>29</v>
      </c>
      <c r="H219">
        <v>36</v>
      </c>
      <c r="I219">
        <v>22</v>
      </c>
      <c r="J219">
        <v>28</v>
      </c>
      <c r="K219">
        <v>21</v>
      </c>
      <c r="L219">
        <v>21</v>
      </c>
      <c r="M219">
        <v>21</v>
      </c>
      <c r="N219">
        <v>20</v>
      </c>
      <c r="O219">
        <v>30</v>
      </c>
      <c r="R219">
        <v>10</v>
      </c>
      <c r="V219" s="2"/>
      <c r="W219" s="2">
        <v>0.02</v>
      </c>
      <c r="X219" s="2"/>
      <c r="Y219" s="2"/>
      <c r="Z219" s="2"/>
      <c r="AA219" s="2"/>
      <c r="AB219" s="35">
        <v>40</v>
      </c>
      <c r="AC219" s="2"/>
      <c r="AD219" s="2"/>
      <c r="AF219" s="35"/>
      <c r="AG219" s="35"/>
      <c r="AH219" s="2"/>
      <c r="AL219" s="35"/>
    </row>
    <row r="222" spans="1:41">
      <c r="A222" t="s">
        <v>19</v>
      </c>
      <c r="B222" t="s">
        <v>30</v>
      </c>
      <c r="C222" t="s">
        <v>529</v>
      </c>
      <c r="D222" t="s">
        <v>657</v>
      </c>
      <c r="E222" t="s">
        <v>499</v>
      </c>
      <c r="F222" s="31" t="s">
        <v>524</v>
      </c>
      <c r="G222" t="s">
        <v>3</v>
      </c>
      <c r="H222" t="s">
        <v>4</v>
      </c>
      <c r="I222" t="s">
        <v>5</v>
      </c>
      <c r="J222" t="s">
        <v>42</v>
      </c>
      <c r="K222" t="s">
        <v>221</v>
      </c>
      <c r="L222" t="s">
        <v>222</v>
      </c>
      <c r="M222" t="s">
        <v>223</v>
      </c>
      <c r="N222" t="s">
        <v>10</v>
      </c>
      <c r="O222" t="s">
        <v>9</v>
      </c>
      <c r="P222" t="s">
        <v>494</v>
      </c>
      <c r="Q222" t="s">
        <v>643</v>
      </c>
      <c r="R222" t="s">
        <v>644</v>
      </c>
      <c r="S222" t="s">
        <v>645</v>
      </c>
      <c r="T222" s="35" t="s">
        <v>646</v>
      </c>
      <c r="U222" s="148" t="s">
        <v>647</v>
      </c>
      <c r="V222" t="s">
        <v>12</v>
      </c>
      <c r="W222" t="s">
        <v>164</v>
      </c>
      <c r="X222" t="s">
        <v>360</v>
      </c>
      <c r="Y222" t="s">
        <v>495</v>
      </c>
      <c r="Z222" t="s">
        <v>496</v>
      </c>
      <c r="AA222" t="s">
        <v>131</v>
      </c>
      <c r="AB222" t="s">
        <v>11</v>
      </c>
      <c r="AC222" t="s">
        <v>127</v>
      </c>
      <c r="AD222" t="s">
        <v>126</v>
      </c>
      <c r="AE222" t="s">
        <v>13</v>
      </c>
      <c r="AF222" t="s">
        <v>124</v>
      </c>
      <c r="AG222" t="s">
        <v>302</v>
      </c>
      <c r="AH222" t="s">
        <v>175</v>
      </c>
      <c r="AI222" s="35" t="s">
        <v>473</v>
      </c>
      <c r="AJ222" s="35" t="s">
        <v>474</v>
      </c>
      <c r="AK222" s="148" t="s">
        <v>449</v>
      </c>
      <c r="AL222" t="s">
        <v>354</v>
      </c>
      <c r="AM222" s="148" t="s">
        <v>654</v>
      </c>
    </row>
    <row r="223" spans="1:41">
      <c r="A223" s="211" t="s">
        <v>772</v>
      </c>
      <c r="B223" s="191"/>
      <c r="C223" s="191"/>
      <c r="D223" s="191"/>
      <c r="E223" s="191"/>
      <c r="F223" s="191"/>
      <c r="G223" s="191">
        <v>15</v>
      </c>
      <c r="H223" s="191">
        <v>56</v>
      </c>
      <c r="I223" s="191">
        <v>29</v>
      </c>
      <c r="J223" s="191">
        <v>19</v>
      </c>
      <c r="K223" s="191">
        <v>12</v>
      </c>
      <c r="L223" s="191">
        <v>30</v>
      </c>
      <c r="M223" s="191">
        <v>17</v>
      </c>
      <c r="N223" s="191">
        <v>52</v>
      </c>
      <c r="O223" s="191"/>
      <c r="P223" s="191"/>
      <c r="Q223" s="191">
        <v>32</v>
      </c>
      <c r="R223" s="191"/>
      <c r="S223" s="191"/>
      <c r="T223" s="191"/>
      <c r="U223" s="191"/>
      <c r="V223" s="192"/>
      <c r="W223" s="192">
        <v>0.04</v>
      </c>
      <c r="X223" s="192"/>
      <c r="Y223" s="192"/>
      <c r="Z223" s="192"/>
      <c r="AA223" s="192"/>
      <c r="AB223" s="194">
        <v>51</v>
      </c>
      <c r="AC223" s="192"/>
      <c r="AD223" s="192"/>
      <c r="AE223" s="191">
        <v>7</v>
      </c>
      <c r="AF223" s="194"/>
      <c r="AG223" s="194"/>
      <c r="AH223" s="192"/>
      <c r="AI223" s="191"/>
      <c r="AJ223" s="191"/>
      <c r="AK223" s="191"/>
      <c r="AL223" s="192"/>
      <c r="AM223" s="191"/>
      <c r="AN223" s="192"/>
      <c r="AO223" s="35"/>
    </row>
    <row r="224" spans="1:41" s="187" customFormat="1">
      <c r="A224" s="211" t="s">
        <v>773</v>
      </c>
      <c r="B224" s="191"/>
      <c r="C224" s="191"/>
      <c r="D224" s="191"/>
      <c r="E224" s="191"/>
      <c r="F224" s="191"/>
      <c r="G224" s="191">
        <v>27</v>
      </c>
      <c r="H224" s="191">
        <v>56</v>
      </c>
      <c r="I224" s="191">
        <v>29</v>
      </c>
      <c r="J224" s="191">
        <v>7</v>
      </c>
      <c r="K224" s="191">
        <v>12</v>
      </c>
      <c r="L224" s="191">
        <v>30</v>
      </c>
      <c r="M224" s="191">
        <v>17</v>
      </c>
      <c r="N224" s="191">
        <v>32</v>
      </c>
      <c r="O224" s="191">
        <v>20</v>
      </c>
      <c r="P224" s="191"/>
      <c r="Q224" s="191">
        <v>32</v>
      </c>
      <c r="R224" s="191"/>
      <c r="S224" s="191"/>
      <c r="T224" s="191"/>
      <c r="U224" s="191"/>
      <c r="V224" s="192"/>
      <c r="W224" s="192">
        <v>0.04</v>
      </c>
      <c r="X224" s="192"/>
      <c r="Y224" s="192"/>
      <c r="Z224" s="192"/>
      <c r="AA224" s="192"/>
      <c r="AB224" s="194">
        <v>51</v>
      </c>
      <c r="AC224" s="192"/>
      <c r="AD224" s="192"/>
      <c r="AE224" s="191">
        <v>7</v>
      </c>
      <c r="AF224" s="194"/>
      <c r="AG224" s="194"/>
      <c r="AH224" s="192"/>
      <c r="AI224" s="191"/>
      <c r="AJ224" s="191"/>
      <c r="AK224" s="191"/>
      <c r="AL224" s="192"/>
      <c r="AM224" s="191"/>
      <c r="AN224" s="192"/>
      <c r="AO224" s="190"/>
    </row>
    <row r="225" spans="1:41" s="187" customFormat="1">
      <c r="A225" s="211" t="s">
        <v>774</v>
      </c>
      <c r="B225" s="191"/>
      <c r="C225" s="191"/>
      <c r="D225" s="191"/>
      <c r="E225" s="191"/>
      <c r="F225" s="191"/>
      <c r="G225" s="191">
        <v>15</v>
      </c>
      <c r="H225" s="191">
        <v>54</v>
      </c>
      <c r="I225" s="191">
        <v>29</v>
      </c>
      <c r="J225" s="191">
        <v>17</v>
      </c>
      <c r="K225" s="191">
        <v>12</v>
      </c>
      <c r="L225" s="191">
        <v>30</v>
      </c>
      <c r="M225" s="191">
        <v>17</v>
      </c>
      <c r="N225" s="191">
        <v>37</v>
      </c>
      <c r="O225" s="191"/>
      <c r="P225" s="191"/>
      <c r="Q225" s="191">
        <v>22</v>
      </c>
      <c r="R225" s="191"/>
      <c r="S225" s="191"/>
      <c r="T225" s="191"/>
      <c r="U225" s="191"/>
      <c r="V225" s="192"/>
      <c r="W225" s="192">
        <v>0.03</v>
      </c>
      <c r="X225" s="192"/>
      <c r="Y225" s="192"/>
      <c r="Z225" s="192"/>
      <c r="AA225" s="192"/>
      <c r="AB225" s="194">
        <v>51</v>
      </c>
      <c r="AC225" s="192"/>
      <c r="AD225" s="192"/>
      <c r="AE225" s="191">
        <v>6</v>
      </c>
      <c r="AF225" s="194"/>
      <c r="AG225" s="194"/>
      <c r="AH225" s="192"/>
      <c r="AI225" s="191"/>
      <c r="AJ225" s="191"/>
      <c r="AK225" s="191"/>
      <c r="AL225" s="192"/>
      <c r="AM225" s="191"/>
      <c r="AN225" s="192"/>
      <c r="AO225" s="190"/>
    </row>
    <row r="226" spans="1:41">
      <c r="A226" s="211" t="s">
        <v>775</v>
      </c>
      <c r="B226" s="191"/>
      <c r="C226" s="191"/>
      <c r="D226" s="191"/>
      <c r="E226" s="191"/>
      <c r="F226" s="191"/>
      <c r="G226" s="191">
        <v>25</v>
      </c>
      <c r="H226" s="191">
        <v>54</v>
      </c>
      <c r="I226" s="191">
        <v>29</v>
      </c>
      <c r="J226" s="191">
        <v>17</v>
      </c>
      <c r="K226" s="191">
        <v>12</v>
      </c>
      <c r="L226" s="191">
        <v>30</v>
      </c>
      <c r="M226" s="191">
        <v>17</v>
      </c>
      <c r="N226" s="191">
        <v>22</v>
      </c>
      <c r="O226" s="191">
        <v>15</v>
      </c>
      <c r="P226" s="191"/>
      <c r="Q226" s="191">
        <v>22</v>
      </c>
      <c r="R226" s="191"/>
      <c r="S226" s="191"/>
      <c r="T226" s="191"/>
      <c r="U226" s="191"/>
      <c r="V226" s="192"/>
      <c r="W226" s="192">
        <v>0.03</v>
      </c>
      <c r="X226" s="192"/>
      <c r="Y226" s="192"/>
      <c r="Z226" s="192"/>
      <c r="AA226" s="192"/>
      <c r="AB226" s="194">
        <v>51</v>
      </c>
      <c r="AC226" s="192"/>
      <c r="AD226" s="192"/>
      <c r="AE226" s="191">
        <v>6</v>
      </c>
      <c r="AF226" s="194"/>
      <c r="AG226" s="194"/>
      <c r="AH226" s="192"/>
      <c r="AI226" s="191"/>
      <c r="AJ226" s="191"/>
      <c r="AK226" s="191"/>
      <c r="AL226" s="192"/>
      <c r="AM226" s="191"/>
      <c r="AN226" s="192"/>
      <c r="AO226" s="35"/>
    </row>
    <row r="227" spans="1:41">
      <c r="A227" t="s">
        <v>699</v>
      </c>
      <c r="G227">
        <v>16</v>
      </c>
      <c r="H227">
        <v>35</v>
      </c>
      <c r="I227">
        <v>29</v>
      </c>
      <c r="J227">
        <v>12</v>
      </c>
      <c r="K227">
        <v>12</v>
      </c>
      <c r="L227">
        <v>30</v>
      </c>
      <c r="M227">
        <v>17</v>
      </c>
      <c r="N227">
        <v>36</v>
      </c>
      <c r="Q227">
        <v>36</v>
      </c>
      <c r="V227" s="2"/>
      <c r="W227" s="2">
        <v>0.03</v>
      </c>
      <c r="X227" s="2"/>
      <c r="Y227" s="2"/>
      <c r="Z227" s="2"/>
      <c r="AA227" s="2">
        <v>0.05</v>
      </c>
      <c r="AB227" s="35">
        <v>51</v>
      </c>
      <c r="AC227" s="2"/>
      <c r="AD227" s="2"/>
      <c r="AF227" s="35"/>
      <c r="AG227" s="35"/>
      <c r="AH227" s="2"/>
      <c r="AL227" s="35"/>
    </row>
    <row r="228" spans="1:41">
      <c r="A228" s="31" t="s">
        <v>555</v>
      </c>
      <c r="D228">
        <v>10</v>
      </c>
      <c r="G228">
        <v>6</v>
      </c>
      <c r="H228">
        <v>21</v>
      </c>
      <c r="I228">
        <v>17</v>
      </c>
      <c r="J228">
        <v>14</v>
      </c>
      <c r="K228">
        <v>6</v>
      </c>
      <c r="L228">
        <v>17</v>
      </c>
      <c r="M228">
        <v>10</v>
      </c>
      <c r="Q228">
        <v>25</v>
      </c>
      <c r="R228">
        <v>25</v>
      </c>
      <c r="V228" s="2"/>
      <c r="W228" s="2"/>
      <c r="X228" s="2"/>
      <c r="Y228" s="2"/>
      <c r="Z228" s="2"/>
      <c r="AA228" s="2"/>
      <c r="AB228" s="35">
        <v>40</v>
      </c>
      <c r="AC228" s="2"/>
      <c r="AD228" s="2"/>
      <c r="AE228" s="35"/>
      <c r="AF228" s="35"/>
      <c r="AG228" s="35"/>
      <c r="AH228" s="2"/>
      <c r="AL228" s="2"/>
    </row>
    <row r="229" spans="1:41">
      <c r="A229" s="31" t="s">
        <v>586</v>
      </c>
      <c r="D229">
        <v>10</v>
      </c>
      <c r="G229">
        <v>10</v>
      </c>
      <c r="H229">
        <v>34</v>
      </c>
      <c r="I229">
        <v>28</v>
      </c>
      <c r="J229">
        <v>16</v>
      </c>
      <c r="K229">
        <v>10</v>
      </c>
      <c r="L229">
        <v>28</v>
      </c>
      <c r="M229">
        <v>16</v>
      </c>
      <c r="Q229">
        <v>28</v>
      </c>
      <c r="R229">
        <v>28</v>
      </c>
      <c r="V229" s="2"/>
      <c r="W229" s="2"/>
      <c r="X229" s="2"/>
      <c r="Y229" s="2"/>
      <c r="Z229" s="2"/>
      <c r="AA229" s="2"/>
      <c r="AB229" s="35">
        <v>51</v>
      </c>
      <c r="AC229" s="2"/>
      <c r="AD229" s="2"/>
      <c r="AE229" s="35"/>
      <c r="AF229" s="35"/>
      <c r="AG229" s="35"/>
      <c r="AH229" s="2"/>
      <c r="AL229" s="2"/>
    </row>
    <row r="230" spans="1:41" s="209" customFormat="1">
      <c r="A230" s="211" t="s">
        <v>736</v>
      </c>
      <c r="G230" s="209">
        <v>16</v>
      </c>
      <c r="H230" s="209">
        <v>49</v>
      </c>
      <c r="I230" s="209">
        <v>30</v>
      </c>
      <c r="J230" s="209">
        <v>8</v>
      </c>
      <c r="K230" s="209">
        <v>14</v>
      </c>
      <c r="L230" s="209">
        <v>26</v>
      </c>
      <c r="M230" s="209">
        <v>19</v>
      </c>
      <c r="N230" s="209">
        <v>37</v>
      </c>
      <c r="O230" s="209">
        <v>25</v>
      </c>
      <c r="Q230" s="209">
        <v>12</v>
      </c>
      <c r="V230" s="210"/>
      <c r="W230" s="210">
        <v>0.06</v>
      </c>
      <c r="X230" s="210"/>
      <c r="Y230" s="210"/>
      <c r="Z230" s="210"/>
      <c r="AA230" s="210"/>
      <c r="AB230" s="212">
        <v>51</v>
      </c>
      <c r="AC230" s="210"/>
      <c r="AD230" s="210"/>
      <c r="AF230" s="210"/>
      <c r="AG230" s="212"/>
      <c r="AH230" s="210"/>
      <c r="AI230" s="212"/>
      <c r="AJ230" s="212"/>
      <c r="AK230" s="212"/>
      <c r="AL230" s="210"/>
      <c r="AM230" s="212"/>
    </row>
    <row r="231" spans="1:41" s="209" customFormat="1">
      <c r="A231" s="211" t="s">
        <v>798</v>
      </c>
      <c r="G231" s="209">
        <v>16</v>
      </c>
      <c r="H231" s="209">
        <v>49</v>
      </c>
      <c r="I231" s="209">
        <v>30</v>
      </c>
      <c r="J231" s="209">
        <v>8</v>
      </c>
      <c r="K231" s="209">
        <v>14</v>
      </c>
      <c r="L231" s="209">
        <v>26</v>
      </c>
      <c r="M231" s="209">
        <v>19</v>
      </c>
      <c r="N231" s="209">
        <v>37</v>
      </c>
      <c r="O231" s="209">
        <v>25</v>
      </c>
      <c r="Q231" s="209">
        <v>12</v>
      </c>
      <c r="V231" s="210"/>
      <c r="W231" s="210">
        <v>0.02</v>
      </c>
      <c r="X231" s="210"/>
      <c r="Y231" s="210"/>
      <c r="Z231" s="210"/>
      <c r="AA231" s="210"/>
      <c r="AB231" s="212">
        <v>51</v>
      </c>
      <c r="AC231" s="210"/>
      <c r="AD231" s="210"/>
      <c r="AF231" s="210"/>
      <c r="AG231" s="212"/>
      <c r="AH231" s="210">
        <v>0.05</v>
      </c>
      <c r="AI231" s="212"/>
      <c r="AJ231" s="212"/>
      <c r="AK231" s="212"/>
      <c r="AL231" s="210"/>
      <c r="AM231" s="212"/>
    </row>
    <row r="232" spans="1:41" s="209" customFormat="1">
      <c r="A232" s="211" t="s">
        <v>737</v>
      </c>
      <c r="G232" s="209">
        <v>16</v>
      </c>
      <c r="H232" s="209">
        <v>49</v>
      </c>
      <c r="I232" s="209">
        <v>30</v>
      </c>
      <c r="J232" s="209">
        <v>8</v>
      </c>
      <c r="K232" s="209">
        <v>14</v>
      </c>
      <c r="L232" s="209">
        <v>26</v>
      </c>
      <c r="M232" s="209">
        <v>19</v>
      </c>
      <c r="N232" s="209">
        <v>37</v>
      </c>
      <c r="O232" s="209">
        <v>25</v>
      </c>
      <c r="Q232" s="209">
        <v>12</v>
      </c>
      <c r="V232" s="210"/>
      <c r="W232" s="210">
        <v>0.02</v>
      </c>
      <c r="X232" s="210"/>
      <c r="Y232" s="210"/>
      <c r="Z232" s="210"/>
      <c r="AA232" s="210"/>
      <c r="AB232" s="212">
        <v>51</v>
      </c>
      <c r="AC232" s="210"/>
      <c r="AD232" s="210"/>
      <c r="AE232" s="209">
        <v>7</v>
      </c>
      <c r="AF232" s="210"/>
      <c r="AG232" s="212"/>
      <c r="AH232" s="210"/>
      <c r="AI232" s="212"/>
      <c r="AJ232" s="212"/>
      <c r="AK232" s="212"/>
      <c r="AL232" s="210"/>
      <c r="AM232" s="212"/>
    </row>
    <row r="233" spans="1:41" s="209" customFormat="1">
      <c r="A233" s="211" t="s">
        <v>738</v>
      </c>
      <c r="G233" s="209">
        <v>16</v>
      </c>
      <c r="H233" s="209">
        <v>49</v>
      </c>
      <c r="I233" s="209">
        <v>30</v>
      </c>
      <c r="J233" s="209">
        <v>8</v>
      </c>
      <c r="K233" s="209">
        <v>14</v>
      </c>
      <c r="L233" s="209">
        <v>26</v>
      </c>
      <c r="M233" s="209">
        <v>19</v>
      </c>
      <c r="N233" s="209">
        <v>37</v>
      </c>
      <c r="O233" s="209">
        <v>25</v>
      </c>
      <c r="Q233" s="209">
        <v>12</v>
      </c>
      <c r="V233" s="210"/>
      <c r="W233" s="210">
        <v>0.02</v>
      </c>
      <c r="X233" s="210"/>
      <c r="Y233" s="210"/>
      <c r="Z233" s="210"/>
      <c r="AA233" s="210"/>
      <c r="AB233" s="212">
        <v>51</v>
      </c>
      <c r="AC233" s="210">
        <v>0.05</v>
      </c>
      <c r="AD233" s="210"/>
      <c r="AF233" s="210"/>
      <c r="AG233" s="212"/>
      <c r="AH233" s="210"/>
      <c r="AI233" s="212"/>
      <c r="AJ233" s="212"/>
      <c r="AK233" s="212"/>
      <c r="AL233" s="210"/>
      <c r="AM233" s="212"/>
    </row>
    <row r="234" spans="1:41" s="209" customFormat="1">
      <c r="A234" s="211" t="s">
        <v>739</v>
      </c>
      <c r="G234" s="209">
        <v>16</v>
      </c>
      <c r="H234" s="209">
        <v>49</v>
      </c>
      <c r="I234" s="209">
        <v>30</v>
      </c>
      <c r="J234" s="209">
        <v>8</v>
      </c>
      <c r="K234" s="209">
        <v>14</v>
      </c>
      <c r="L234" s="209">
        <v>26</v>
      </c>
      <c r="M234" s="209">
        <v>19</v>
      </c>
      <c r="N234" s="209">
        <v>37</v>
      </c>
      <c r="O234" s="209">
        <v>25</v>
      </c>
      <c r="Q234" s="209">
        <v>12</v>
      </c>
      <c r="V234" s="210"/>
      <c r="W234" s="210">
        <v>0.02</v>
      </c>
      <c r="X234" s="210"/>
      <c r="Y234" s="210"/>
      <c r="Z234" s="210"/>
      <c r="AA234" s="210"/>
      <c r="AB234" s="212">
        <v>51</v>
      </c>
      <c r="AC234" s="210"/>
      <c r="AD234" s="210">
        <v>0.05</v>
      </c>
      <c r="AF234" s="210"/>
      <c r="AG234" s="212"/>
      <c r="AH234" s="210"/>
      <c r="AI234" s="212"/>
      <c r="AJ234" s="212"/>
      <c r="AK234" s="212"/>
      <c r="AL234" s="210"/>
      <c r="AM234" s="212"/>
    </row>
    <row r="235" spans="1:41" s="209" customFormat="1">
      <c r="A235" s="211" t="s">
        <v>742</v>
      </c>
      <c r="G235" s="209">
        <v>16</v>
      </c>
      <c r="H235" s="209">
        <v>39</v>
      </c>
      <c r="I235" s="209">
        <v>30</v>
      </c>
      <c r="J235" s="209">
        <v>18</v>
      </c>
      <c r="K235" s="209">
        <v>14</v>
      </c>
      <c r="L235" s="209">
        <v>26</v>
      </c>
      <c r="M235" s="209">
        <v>19</v>
      </c>
      <c r="N235" s="209">
        <v>37</v>
      </c>
      <c r="O235" s="209">
        <v>25</v>
      </c>
      <c r="Q235" s="209">
        <v>12</v>
      </c>
      <c r="V235" s="210"/>
      <c r="W235" s="210">
        <v>0.06</v>
      </c>
      <c r="X235" s="210"/>
      <c r="Y235" s="210"/>
      <c r="Z235" s="210"/>
      <c r="AA235" s="210"/>
      <c r="AB235" s="212">
        <v>51</v>
      </c>
      <c r="AC235" s="210"/>
      <c r="AD235" s="210"/>
      <c r="AF235" s="210"/>
      <c r="AG235" s="212"/>
      <c r="AH235" s="210"/>
      <c r="AI235" s="212"/>
      <c r="AJ235" s="212"/>
      <c r="AK235" s="212"/>
      <c r="AL235" s="210"/>
      <c r="AM235" s="212"/>
    </row>
    <row r="236" spans="1:41" s="209" customFormat="1">
      <c r="A236" s="211" t="s">
        <v>740</v>
      </c>
      <c r="G236" s="209">
        <v>16</v>
      </c>
      <c r="H236" s="209">
        <v>39</v>
      </c>
      <c r="I236" s="209">
        <v>30</v>
      </c>
      <c r="J236" s="209">
        <v>18</v>
      </c>
      <c r="K236" s="209">
        <v>14</v>
      </c>
      <c r="L236" s="209">
        <v>26</v>
      </c>
      <c r="M236" s="209">
        <v>19</v>
      </c>
      <c r="N236" s="209">
        <v>37</v>
      </c>
      <c r="O236" s="209">
        <v>25</v>
      </c>
      <c r="Q236" s="209">
        <v>12</v>
      </c>
      <c r="V236" s="210"/>
      <c r="W236" s="210">
        <v>0.02</v>
      </c>
      <c r="X236" s="210"/>
      <c r="Y236" s="210"/>
      <c r="Z236" s="210"/>
      <c r="AA236" s="210"/>
      <c r="AB236" s="212">
        <v>51</v>
      </c>
      <c r="AC236" s="210">
        <v>0.05</v>
      </c>
      <c r="AD236" s="210"/>
      <c r="AF236" s="210"/>
      <c r="AG236" s="212"/>
      <c r="AH236" s="210"/>
      <c r="AI236" s="212"/>
      <c r="AJ236" s="212"/>
      <c r="AK236" s="212"/>
      <c r="AL236" s="210"/>
      <c r="AM236" s="212"/>
    </row>
    <row r="237" spans="1:41" s="209" customFormat="1">
      <c r="A237" s="211" t="s">
        <v>741</v>
      </c>
      <c r="G237" s="209">
        <v>16</v>
      </c>
      <c r="H237" s="209">
        <v>39</v>
      </c>
      <c r="I237" s="209">
        <v>30</v>
      </c>
      <c r="J237" s="209">
        <v>18</v>
      </c>
      <c r="K237" s="209">
        <v>14</v>
      </c>
      <c r="L237" s="209">
        <v>26</v>
      </c>
      <c r="M237" s="209">
        <v>19</v>
      </c>
      <c r="N237" s="209">
        <v>37</v>
      </c>
      <c r="O237" s="209">
        <v>25</v>
      </c>
      <c r="Q237" s="209">
        <v>12</v>
      </c>
      <c r="V237" s="210"/>
      <c r="W237" s="210">
        <v>0.02</v>
      </c>
      <c r="X237" s="210"/>
      <c r="Y237" s="210"/>
      <c r="Z237" s="210"/>
      <c r="AA237" s="210"/>
      <c r="AB237" s="212">
        <v>51</v>
      </c>
      <c r="AC237" s="210"/>
      <c r="AD237" s="210">
        <v>0.05</v>
      </c>
      <c r="AF237" s="210"/>
      <c r="AG237" s="212"/>
      <c r="AH237" s="210"/>
      <c r="AI237" s="212"/>
      <c r="AJ237" s="212"/>
      <c r="AK237" s="212"/>
      <c r="AL237" s="210"/>
      <c r="AM237" s="212"/>
    </row>
    <row r="238" spans="1:41" s="209" customFormat="1">
      <c r="A238" s="211" t="s">
        <v>787</v>
      </c>
      <c r="G238" s="209">
        <v>17</v>
      </c>
      <c r="H238" s="209">
        <v>40</v>
      </c>
      <c r="I238" s="209">
        <v>35</v>
      </c>
      <c r="J238" s="209">
        <v>13</v>
      </c>
      <c r="K238" s="209">
        <v>7</v>
      </c>
      <c r="L238" s="209">
        <v>21</v>
      </c>
      <c r="M238" s="209">
        <v>22</v>
      </c>
      <c r="N238" s="209">
        <v>37</v>
      </c>
      <c r="O238" s="209">
        <v>25</v>
      </c>
      <c r="V238" s="210"/>
      <c r="W238" s="210"/>
      <c r="X238" s="210"/>
      <c r="Y238" s="210"/>
      <c r="Z238" s="210"/>
      <c r="AA238" s="210"/>
      <c r="AB238" s="212">
        <v>41</v>
      </c>
      <c r="AC238" s="210"/>
      <c r="AD238" s="210"/>
      <c r="AF238" s="210"/>
      <c r="AG238" s="212"/>
      <c r="AH238" s="210"/>
      <c r="AI238" s="212"/>
      <c r="AJ238" s="212"/>
      <c r="AK238" s="212"/>
      <c r="AL238" s="210"/>
      <c r="AM238" s="212"/>
    </row>
    <row r="239" spans="1:41" s="209" customFormat="1">
      <c r="A239" s="211" t="s">
        <v>785</v>
      </c>
      <c r="G239" s="209">
        <v>14</v>
      </c>
      <c r="H239" s="209">
        <v>57</v>
      </c>
      <c r="I239" s="209">
        <v>37</v>
      </c>
      <c r="K239" s="209">
        <v>14</v>
      </c>
      <c r="L239" s="209">
        <v>28</v>
      </c>
      <c r="M239" s="209">
        <v>21</v>
      </c>
      <c r="N239" s="209">
        <v>39</v>
      </c>
      <c r="Q239" s="209">
        <v>34</v>
      </c>
      <c r="V239" s="210"/>
      <c r="W239" s="210">
        <v>0.03</v>
      </c>
      <c r="X239" s="210"/>
      <c r="Y239" s="210"/>
      <c r="Z239" s="210"/>
      <c r="AA239" s="210"/>
      <c r="AB239" s="212">
        <v>41</v>
      </c>
      <c r="AC239" s="210">
        <v>0.03</v>
      </c>
      <c r="AD239" s="210"/>
      <c r="AF239" s="210"/>
      <c r="AG239" s="212"/>
      <c r="AH239" s="210"/>
      <c r="AI239" s="212"/>
      <c r="AJ239" s="212"/>
      <c r="AK239" s="212"/>
      <c r="AL239" s="210"/>
      <c r="AM239" s="212"/>
    </row>
    <row r="240" spans="1:41" s="209" customFormat="1">
      <c r="A240" s="211" t="s">
        <v>786</v>
      </c>
      <c r="G240" s="209">
        <v>14</v>
      </c>
      <c r="H240" s="209">
        <v>62</v>
      </c>
      <c r="I240" s="209">
        <v>37</v>
      </c>
      <c r="J240" s="209">
        <v>5</v>
      </c>
      <c r="K240" s="209">
        <v>14</v>
      </c>
      <c r="L240" s="209">
        <v>28</v>
      </c>
      <c r="M240" s="209">
        <v>21</v>
      </c>
      <c r="N240" s="209">
        <v>49</v>
      </c>
      <c r="Q240" s="209">
        <v>44</v>
      </c>
      <c r="V240" s="210"/>
      <c r="W240" s="210">
        <v>0.04</v>
      </c>
      <c r="X240" s="210"/>
      <c r="Y240" s="210"/>
      <c r="Z240" s="210"/>
      <c r="AA240" s="210"/>
      <c r="AB240" s="212">
        <v>41</v>
      </c>
      <c r="AC240" s="210">
        <v>0.05</v>
      </c>
      <c r="AD240" s="210"/>
      <c r="AF240" s="210"/>
      <c r="AG240" s="212"/>
      <c r="AH240" s="210"/>
      <c r="AI240" s="212"/>
      <c r="AJ240" s="212"/>
      <c r="AK240" s="212"/>
      <c r="AL240" s="210"/>
      <c r="AM240" s="212"/>
    </row>
    <row r="241" spans="1:61">
      <c r="A241" s="31" t="s">
        <v>600</v>
      </c>
      <c r="G241" s="50">
        <v>16</v>
      </c>
      <c r="H241" s="31">
        <v>21</v>
      </c>
      <c r="I241" s="31">
        <v>17</v>
      </c>
      <c r="J241" s="31">
        <v>4</v>
      </c>
      <c r="K241" s="31">
        <v>6</v>
      </c>
      <c r="L241" s="31">
        <v>17</v>
      </c>
      <c r="M241" s="31">
        <v>10</v>
      </c>
      <c r="O241">
        <v>13</v>
      </c>
      <c r="V241" s="2"/>
      <c r="W241" s="2"/>
      <c r="X241" s="2"/>
      <c r="Y241" s="2"/>
      <c r="Z241" s="2"/>
      <c r="AA241" s="2"/>
      <c r="AB241" s="50">
        <v>40</v>
      </c>
      <c r="AC241" s="2"/>
      <c r="AD241" s="2"/>
      <c r="AE241" s="35"/>
      <c r="AF241" s="2"/>
      <c r="AG241" s="2"/>
      <c r="AH241" s="2"/>
      <c r="AL241" s="2"/>
    </row>
    <row r="242" spans="1:61">
      <c r="A242" s="31" t="s">
        <v>601</v>
      </c>
      <c r="G242" s="50">
        <v>20</v>
      </c>
      <c r="H242" s="31">
        <v>34</v>
      </c>
      <c r="I242" s="31">
        <v>28</v>
      </c>
      <c r="J242" s="31">
        <v>6</v>
      </c>
      <c r="K242" s="31">
        <v>10</v>
      </c>
      <c r="L242" s="31">
        <v>28</v>
      </c>
      <c r="M242" s="31">
        <v>16</v>
      </c>
      <c r="O242">
        <v>16</v>
      </c>
      <c r="V242" s="2"/>
      <c r="W242" s="2"/>
      <c r="X242" s="2"/>
      <c r="Y242" s="2"/>
      <c r="Z242" s="2"/>
      <c r="AA242" s="2"/>
      <c r="AB242" s="50">
        <v>51</v>
      </c>
      <c r="AC242" s="2"/>
      <c r="AD242" s="2"/>
      <c r="AE242" s="35"/>
      <c r="AF242" s="2"/>
      <c r="AG242" s="2"/>
      <c r="AH242" s="2"/>
      <c r="AL242" s="2"/>
    </row>
    <row r="243" spans="1:61" s="209" customFormat="1">
      <c r="A243" s="211" t="s">
        <v>788</v>
      </c>
      <c r="G243" s="200">
        <v>16</v>
      </c>
      <c r="H243" s="211">
        <v>49</v>
      </c>
      <c r="I243" s="211">
        <v>30</v>
      </c>
      <c r="J243" s="211">
        <v>18</v>
      </c>
      <c r="K243" s="211">
        <v>14</v>
      </c>
      <c r="L243" s="211">
        <v>26</v>
      </c>
      <c r="M243" s="211">
        <v>21</v>
      </c>
      <c r="N243" s="211">
        <v>37</v>
      </c>
      <c r="Q243" s="209">
        <v>37</v>
      </c>
      <c r="S243" s="209">
        <v>37</v>
      </c>
      <c r="V243" s="210">
        <v>0.05</v>
      </c>
      <c r="W243" s="210"/>
      <c r="X243" s="210"/>
      <c r="Y243" s="210"/>
      <c r="Z243" s="210"/>
      <c r="AA243" s="210"/>
      <c r="AB243" s="200">
        <v>51</v>
      </c>
      <c r="AC243" s="210">
        <v>0.05</v>
      </c>
      <c r="AD243" s="210"/>
      <c r="AE243" s="212"/>
      <c r="AF243" s="210"/>
      <c r="AG243" s="210"/>
      <c r="AH243" s="210"/>
      <c r="AI243" s="212"/>
      <c r="AJ243" s="212"/>
      <c r="AK243" s="212"/>
      <c r="AL243" s="210"/>
      <c r="AM243" s="212"/>
    </row>
    <row r="244" spans="1:61" s="209" customFormat="1">
      <c r="A244" s="211" t="s">
        <v>807</v>
      </c>
      <c r="G244" s="200">
        <v>16</v>
      </c>
      <c r="H244" s="211">
        <v>53</v>
      </c>
      <c r="I244" s="211">
        <v>30</v>
      </c>
      <c r="J244" s="211">
        <v>22</v>
      </c>
      <c r="K244" s="211">
        <v>14</v>
      </c>
      <c r="L244" s="211">
        <v>26</v>
      </c>
      <c r="M244" s="211">
        <v>21</v>
      </c>
      <c r="N244" s="211">
        <v>43</v>
      </c>
      <c r="Q244" s="209">
        <v>43</v>
      </c>
      <c r="S244" s="209">
        <v>43</v>
      </c>
      <c r="V244" s="210">
        <v>0.06</v>
      </c>
      <c r="W244" s="210"/>
      <c r="X244" s="210"/>
      <c r="Y244" s="210"/>
      <c r="Z244" s="210"/>
      <c r="AA244" s="210"/>
      <c r="AB244" s="200">
        <v>51</v>
      </c>
      <c r="AC244" s="210">
        <v>0.06</v>
      </c>
      <c r="AD244" s="210"/>
      <c r="AE244" s="212"/>
      <c r="AF244" s="210"/>
      <c r="AG244" s="210"/>
      <c r="AH244" s="210"/>
      <c r="AI244" s="212"/>
      <c r="AJ244" s="212"/>
      <c r="AK244" s="212"/>
      <c r="AL244" s="210"/>
      <c r="AM244" s="212"/>
    </row>
    <row r="245" spans="1:61">
      <c r="A245" t="s">
        <v>720</v>
      </c>
      <c r="G245">
        <v>22</v>
      </c>
      <c r="H245">
        <v>48</v>
      </c>
      <c r="I245">
        <v>30</v>
      </c>
      <c r="J245">
        <v>12</v>
      </c>
      <c r="K245">
        <v>12</v>
      </c>
      <c r="L245">
        <v>30</v>
      </c>
      <c r="M245">
        <v>17</v>
      </c>
      <c r="N245">
        <v>38</v>
      </c>
      <c r="Q245">
        <v>23</v>
      </c>
      <c r="V245" s="2"/>
      <c r="W245" s="2"/>
      <c r="X245" s="2"/>
      <c r="Y245" s="2"/>
      <c r="Z245" s="2"/>
      <c r="AA245" s="2"/>
      <c r="AB245" s="35">
        <v>41</v>
      </c>
      <c r="AC245" s="2">
        <v>0.04</v>
      </c>
      <c r="AD245" s="2">
        <v>0.04</v>
      </c>
      <c r="AF245" s="35"/>
      <c r="AG245" s="35"/>
      <c r="AH245" s="2"/>
      <c r="AL245" s="35"/>
    </row>
    <row r="246" spans="1:61" s="31" customFormat="1">
      <c r="A246" s="31" t="s">
        <v>721</v>
      </c>
      <c r="G246" s="31">
        <v>24</v>
      </c>
      <c r="H246" s="31">
        <v>50</v>
      </c>
      <c r="I246" s="31">
        <v>30</v>
      </c>
      <c r="J246" s="31">
        <v>13</v>
      </c>
      <c r="K246" s="31">
        <v>12</v>
      </c>
      <c r="L246" s="31">
        <v>30</v>
      </c>
      <c r="M246" s="31">
        <v>17</v>
      </c>
      <c r="N246" s="31">
        <v>53</v>
      </c>
      <c r="Q246" s="31">
        <v>33</v>
      </c>
      <c r="V246" s="12"/>
      <c r="W246" s="12"/>
      <c r="X246" s="12"/>
      <c r="Y246" s="12"/>
      <c r="Z246" s="12"/>
      <c r="AA246" s="12"/>
      <c r="AB246" s="50">
        <v>41</v>
      </c>
      <c r="AC246" s="12">
        <v>0.05</v>
      </c>
      <c r="AD246" s="12">
        <v>0.05</v>
      </c>
      <c r="AF246" s="50"/>
      <c r="AG246" s="12"/>
      <c r="AH246" s="12"/>
      <c r="AI246" s="50"/>
      <c r="AJ246" s="50"/>
      <c r="AK246" s="50"/>
      <c r="AL246" s="50"/>
      <c r="AM246" s="50"/>
    </row>
    <row r="247" spans="1:61" s="198" customFormat="1">
      <c r="A247" s="198" t="s">
        <v>730</v>
      </c>
      <c r="G247" s="198">
        <v>12</v>
      </c>
      <c r="H247" s="198">
        <v>48</v>
      </c>
      <c r="I247" s="198">
        <v>30</v>
      </c>
      <c r="J247" s="198">
        <v>12</v>
      </c>
      <c r="K247" s="198">
        <v>12</v>
      </c>
      <c r="L247" s="198">
        <v>30</v>
      </c>
      <c r="M247" s="198">
        <v>17</v>
      </c>
      <c r="N247" s="198">
        <v>43</v>
      </c>
      <c r="Q247" s="198">
        <v>23</v>
      </c>
      <c r="V247" s="197">
        <v>0.03</v>
      </c>
      <c r="W247" s="197"/>
      <c r="X247" s="197"/>
      <c r="Y247" s="197"/>
      <c r="Z247" s="197"/>
      <c r="AA247" s="197"/>
      <c r="AB247" s="200">
        <v>41</v>
      </c>
      <c r="AC247" s="197">
        <v>0.04</v>
      </c>
      <c r="AD247" s="197">
        <v>0.04</v>
      </c>
      <c r="AF247" s="200"/>
      <c r="AG247" s="197"/>
      <c r="AH247" s="197"/>
      <c r="AI247" s="200"/>
      <c r="AJ247" s="200"/>
      <c r="AK247" s="200"/>
      <c r="AL247" s="200"/>
      <c r="AM247" s="200"/>
    </row>
    <row r="248" spans="1:61" s="198" customFormat="1">
      <c r="A248" s="198" t="s">
        <v>731</v>
      </c>
      <c r="G248" s="198">
        <v>12</v>
      </c>
      <c r="H248" s="198">
        <v>50</v>
      </c>
      <c r="I248" s="198">
        <v>30</v>
      </c>
      <c r="J248" s="198">
        <v>13</v>
      </c>
      <c r="K248" s="198">
        <v>12</v>
      </c>
      <c r="L248" s="198">
        <v>30</v>
      </c>
      <c r="M248" s="198">
        <v>17</v>
      </c>
      <c r="N248" s="198">
        <v>58</v>
      </c>
      <c r="Q248" s="198">
        <v>33</v>
      </c>
      <c r="V248" s="197">
        <v>0.04</v>
      </c>
      <c r="W248" s="197"/>
      <c r="X248" s="197"/>
      <c r="Y248" s="197"/>
      <c r="Z248" s="197"/>
      <c r="AA248" s="197"/>
      <c r="AB248" s="200">
        <v>41</v>
      </c>
      <c r="AC248" s="197">
        <v>0.05</v>
      </c>
      <c r="AD248" s="197">
        <v>0.05</v>
      </c>
      <c r="AF248" s="200"/>
      <c r="AG248" s="197"/>
      <c r="AH248" s="197"/>
      <c r="AI248" s="200"/>
      <c r="AJ248" s="200"/>
      <c r="AK248" s="200"/>
      <c r="AL248" s="200"/>
      <c r="AM248" s="200"/>
    </row>
    <row r="249" spans="1:61" s="31" customFormat="1">
      <c r="A249" s="31" t="s">
        <v>689</v>
      </c>
      <c r="G249" s="31">
        <v>20</v>
      </c>
      <c r="H249" s="31">
        <v>51</v>
      </c>
      <c r="I249" s="31">
        <v>34</v>
      </c>
      <c r="J249" s="31">
        <v>7</v>
      </c>
      <c r="K249" s="31">
        <v>21</v>
      </c>
      <c r="L249" s="31">
        <v>32</v>
      </c>
      <c r="M249" s="31">
        <v>19</v>
      </c>
      <c r="N249" s="31">
        <v>20</v>
      </c>
      <c r="V249" s="12"/>
      <c r="W249" s="12"/>
      <c r="X249" s="12"/>
      <c r="Y249" s="12"/>
      <c r="Z249" s="12"/>
      <c r="AA249" s="12"/>
      <c r="AB249" s="50">
        <v>50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61" s="193" customFormat="1">
      <c r="A250" s="198" t="s">
        <v>729</v>
      </c>
      <c r="B250" s="195"/>
      <c r="C250" s="195"/>
      <c r="D250" s="195"/>
      <c r="E250" s="195"/>
      <c r="F250" s="195"/>
      <c r="G250" s="195">
        <v>13</v>
      </c>
      <c r="H250" s="195">
        <v>41</v>
      </c>
      <c r="I250" s="195">
        <v>34</v>
      </c>
      <c r="J250" s="195">
        <v>7</v>
      </c>
      <c r="K250" s="195">
        <v>14</v>
      </c>
      <c r="L250" s="195">
        <v>32</v>
      </c>
      <c r="M250" s="195">
        <v>19</v>
      </c>
      <c r="N250" s="195">
        <v>35</v>
      </c>
      <c r="O250" s="195"/>
      <c r="P250" s="195"/>
      <c r="Q250" s="195"/>
      <c r="R250" s="195"/>
      <c r="S250" s="195"/>
      <c r="T250" s="195"/>
      <c r="U250" s="195"/>
      <c r="V250" s="196"/>
      <c r="W250" s="196"/>
      <c r="X250" s="196"/>
      <c r="Y250" s="196"/>
      <c r="Z250" s="196"/>
      <c r="AA250" s="196"/>
      <c r="AB250" s="199">
        <v>51</v>
      </c>
      <c r="AC250" s="196"/>
      <c r="AD250" s="196"/>
      <c r="AE250" s="199"/>
      <c r="AF250" s="196"/>
      <c r="AG250" s="199"/>
      <c r="AH250" s="196"/>
      <c r="AI250" s="195"/>
      <c r="AJ250" s="195"/>
      <c r="AK250" s="195"/>
      <c r="AL250" s="196"/>
      <c r="AM250" s="195"/>
      <c r="AN250" s="195"/>
      <c r="AO250" s="195"/>
      <c r="AP250" s="195"/>
      <c r="AQ250" s="195"/>
      <c r="AR250" s="195"/>
      <c r="AS250" s="195"/>
      <c r="AT250" s="195"/>
      <c r="AU250" s="195"/>
      <c r="AV250" s="195"/>
      <c r="AW250" s="195"/>
      <c r="AX250" s="195"/>
      <c r="AY250" s="195"/>
      <c r="AZ250" s="195"/>
      <c r="BA250" s="195"/>
      <c r="BB250" s="195"/>
      <c r="BC250" s="195"/>
      <c r="BD250" s="195"/>
      <c r="BE250" s="195"/>
      <c r="BF250" s="195"/>
      <c r="BG250" s="195"/>
      <c r="BH250" s="195"/>
      <c r="BI250" s="195"/>
    </row>
    <row r="251" spans="1:61">
      <c r="A251" s="31" t="s">
        <v>687</v>
      </c>
      <c r="G251">
        <v>9</v>
      </c>
      <c r="H251">
        <v>35</v>
      </c>
      <c r="I251">
        <v>30</v>
      </c>
      <c r="J251">
        <v>3</v>
      </c>
      <c r="K251">
        <v>10</v>
      </c>
      <c r="L251">
        <v>28</v>
      </c>
      <c r="M251">
        <v>15</v>
      </c>
      <c r="N251">
        <v>20</v>
      </c>
      <c r="O251">
        <v>20</v>
      </c>
      <c r="S251">
        <v>7</v>
      </c>
      <c r="T251">
        <v>7</v>
      </c>
      <c r="V251" s="2"/>
      <c r="W251" s="2"/>
      <c r="X251" s="2"/>
      <c r="Y251" s="2"/>
      <c r="Z251" s="2"/>
      <c r="AA251" s="2"/>
      <c r="AB251" s="35">
        <v>50</v>
      </c>
      <c r="AC251" s="2">
        <v>0.03</v>
      </c>
      <c r="AD251" s="2">
        <v>0.03</v>
      </c>
      <c r="AF251" s="2"/>
      <c r="AG251" s="35"/>
      <c r="AH251" s="2"/>
      <c r="AL251" s="2"/>
    </row>
    <row r="252" spans="1:61">
      <c r="A252" t="s">
        <v>688</v>
      </c>
      <c r="G252">
        <v>16</v>
      </c>
      <c r="H252">
        <v>42</v>
      </c>
      <c r="I252">
        <v>30</v>
      </c>
      <c r="J252">
        <v>3</v>
      </c>
      <c r="K252">
        <v>10</v>
      </c>
      <c r="L252">
        <v>28</v>
      </c>
      <c r="M252">
        <v>15</v>
      </c>
      <c r="N252">
        <v>20</v>
      </c>
      <c r="O252">
        <v>20</v>
      </c>
      <c r="S252">
        <v>7</v>
      </c>
      <c r="T252">
        <v>7</v>
      </c>
      <c r="V252" s="2"/>
      <c r="W252" s="2">
        <v>0.02</v>
      </c>
      <c r="X252" s="2"/>
      <c r="Y252" s="2"/>
      <c r="Z252" s="2"/>
      <c r="AA252" s="2"/>
      <c r="AB252" s="35">
        <v>50</v>
      </c>
      <c r="AC252" s="2"/>
      <c r="AD252" s="2"/>
      <c r="AF252" s="35"/>
      <c r="AG252" s="35"/>
      <c r="AH252" s="2"/>
      <c r="AL252" s="35"/>
    </row>
    <row r="255" spans="1:61">
      <c r="A255" t="s">
        <v>66</v>
      </c>
      <c r="B255" t="s">
        <v>30</v>
      </c>
      <c r="C255" t="s">
        <v>529</v>
      </c>
      <c r="D255" t="s">
        <v>657</v>
      </c>
      <c r="E255" t="s">
        <v>499</v>
      </c>
      <c r="F255" s="31" t="s">
        <v>524</v>
      </c>
      <c r="G255" t="s">
        <v>3</v>
      </c>
      <c r="H255" t="s">
        <v>4</v>
      </c>
      <c r="I255" t="s">
        <v>5</v>
      </c>
      <c r="J255" t="s">
        <v>42</v>
      </c>
      <c r="K255" t="s">
        <v>221</v>
      </c>
      <c r="L255" t="s">
        <v>222</v>
      </c>
      <c r="M255" t="s">
        <v>223</v>
      </c>
      <c r="N255" t="s">
        <v>10</v>
      </c>
      <c r="O255" t="s">
        <v>9</v>
      </c>
      <c r="P255" t="s">
        <v>494</v>
      </c>
      <c r="Q255" t="s">
        <v>643</v>
      </c>
      <c r="R255" t="s">
        <v>644</v>
      </c>
      <c r="S255" t="s">
        <v>645</v>
      </c>
      <c r="T255" s="35" t="s">
        <v>646</v>
      </c>
      <c r="U255" s="148" t="s">
        <v>647</v>
      </c>
      <c r="V255" t="s">
        <v>12</v>
      </c>
      <c r="W255" t="s">
        <v>164</v>
      </c>
      <c r="X255" t="s">
        <v>360</v>
      </c>
      <c r="Y255" t="s">
        <v>495</v>
      </c>
      <c r="Z255" t="s">
        <v>496</v>
      </c>
      <c r="AA255" t="s">
        <v>131</v>
      </c>
      <c r="AB255" t="s">
        <v>11</v>
      </c>
      <c r="AC255" t="s">
        <v>127</v>
      </c>
      <c r="AD255" t="s">
        <v>126</v>
      </c>
      <c r="AE255" t="s">
        <v>13</v>
      </c>
      <c r="AF255" t="s">
        <v>124</v>
      </c>
      <c r="AG255" t="s">
        <v>302</v>
      </c>
      <c r="AH255" t="s">
        <v>175</v>
      </c>
      <c r="AI255" s="35" t="s">
        <v>473</v>
      </c>
      <c r="AJ255" s="35" t="s">
        <v>474</v>
      </c>
      <c r="AK255" s="148" t="s">
        <v>449</v>
      </c>
      <c r="AL255" t="s">
        <v>354</v>
      </c>
      <c r="AM255" s="148" t="s">
        <v>654</v>
      </c>
    </row>
    <row r="256" spans="1:61" s="195" customFormat="1">
      <c r="A256" s="198" t="s">
        <v>732</v>
      </c>
      <c r="G256" s="195">
        <v>6</v>
      </c>
      <c r="H256" s="195">
        <v>6</v>
      </c>
      <c r="J256" s="195">
        <v>6</v>
      </c>
      <c r="V256" s="196"/>
      <c r="W256" s="196"/>
      <c r="X256" s="196"/>
      <c r="Y256" s="196"/>
      <c r="Z256" s="196"/>
      <c r="AA256" s="196"/>
      <c r="AB256" s="199"/>
      <c r="AC256" s="196"/>
      <c r="AD256" s="196"/>
      <c r="AE256" s="195">
        <v>3</v>
      </c>
      <c r="AF256" s="199"/>
      <c r="AG256" s="199"/>
      <c r="AH256" s="196"/>
      <c r="AI256" s="196"/>
      <c r="AJ256" s="196"/>
      <c r="AK256" s="196"/>
      <c r="AL256" s="196"/>
      <c r="AM256" s="196"/>
    </row>
    <row r="257" spans="1:43">
      <c r="A257" s="31" t="s">
        <v>713</v>
      </c>
      <c r="N257">
        <v>10</v>
      </c>
      <c r="Q257">
        <v>15</v>
      </c>
      <c r="V257" s="2"/>
      <c r="W257" s="2"/>
      <c r="X257" s="2"/>
      <c r="Y257" s="2"/>
      <c r="Z257" s="2"/>
      <c r="AA257" s="2"/>
      <c r="AB257" s="35"/>
      <c r="AC257" s="2"/>
      <c r="AD257" s="2"/>
      <c r="AF257" s="35"/>
      <c r="AG257" s="35"/>
      <c r="AH257" s="2"/>
      <c r="AL257" s="2"/>
      <c r="AQ257" s="2"/>
    </row>
    <row r="258" spans="1:43">
      <c r="A258" s="31" t="s">
        <v>714</v>
      </c>
      <c r="N258">
        <v>11</v>
      </c>
      <c r="Q258">
        <v>16</v>
      </c>
      <c r="V258" s="2"/>
      <c r="W258" s="2"/>
      <c r="X258" s="2"/>
      <c r="Y258" s="2"/>
      <c r="Z258" s="2"/>
      <c r="AA258" s="2"/>
      <c r="AB258" s="35"/>
      <c r="AC258" s="2"/>
      <c r="AD258" s="2"/>
      <c r="AF258" s="35"/>
      <c r="AG258" s="35"/>
      <c r="AH258" s="2"/>
      <c r="AL258" s="2"/>
      <c r="AQ258" s="2"/>
    </row>
    <row r="259" spans="1:43" s="209" customFormat="1">
      <c r="A259" s="211" t="s">
        <v>792</v>
      </c>
      <c r="J259" s="209">
        <v>10</v>
      </c>
      <c r="O259" s="209">
        <v>25</v>
      </c>
      <c r="T259" s="209">
        <v>10</v>
      </c>
      <c r="V259" s="210"/>
      <c r="W259" s="210"/>
      <c r="X259" s="210"/>
      <c r="Y259" s="210"/>
      <c r="Z259" s="210"/>
      <c r="AA259" s="210"/>
      <c r="AB259" s="212"/>
      <c r="AC259" s="210"/>
      <c r="AD259" s="210"/>
      <c r="AF259" s="212"/>
      <c r="AG259" s="212"/>
      <c r="AH259" s="210"/>
      <c r="AI259" s="212"/>
      <c r="AJ259" s="212"/>
      <c r="AK259" s="212"/>
      <c r="AL259" s="210"/>
      <c r="AM259" s="212"/>
      <c r="AQ259" s="210"/>
    </row>
    <row r="260" spans="1:43">
      <c r="A260" t="s">
        <v>165</v>
      </c>
      <c r="V260" s="2">
        <v>0.03</v>
      </c>
      <c r="W260" s="2">
        <v>0.03</v>
      </c>
      <c r="X260" s="2"/>
      <c r="Y260" s="2"/>
      <c r="Z260" s="2"/>
      <c r="AA260" s="2"/>
      <c r="AB260" s="35"/>
      <c r="AC260" s="2"/>
      <c r="AD260" s="2"/>
      <c r="AF260" s="35"/>
      <c r="AG260" s="35"/>
      <c r="AH260" s="2"/>
      <c r="AL260" s="35"/>
    </row>
    <row r="261" spans="1:43">
      <c r="A261" s="31" t="s">
        <v>631</v>
      </c>
      <c r="J261">
        <v>8</v>
      </c>
      <c r="V261" s="2"/>
      <c r="W261" s="2"/>
      <c r="X261" s="2"/>
      <c r="Y261" s="2"/>
      <c r="Z261" s="2"/>
      <c r="AA261" s="2"/>
      <c r="AB261" s="35"/>
      <c r="AC261" s="2"/>
      <c r="AD261" s="2"/>
      <c r="AF261" s="35"/>
      <c r="AG261" s="35"/>
      <c r="AH261" s="2"/>
      <c r="AL261" s="2"/>
      <c r="AQ261" s="2"/>
    </row>
    <row r="262" spans="1:43">
      <c r="A262" s="31" t="s">
        <v>632</v>
      </c>
      <c r="J262">
        <v>9</v>
      </c>
      <c r="Q262">
        <v>5</v>
      </c>
      <c r="V262" s="2"/>
      <c r="W262" s="2"/>
      <c r="X262" s="2"/>
      <c r="Y262" s="2"/>
      <c r="Z262" s="2"/>
      <c r="AA262" s="2"/>
      <c r="AB262" s="35"/>
      <c r="AC262" s="2"/>
      <c r="AD262" s="2"/>
      <c r="AF262" s="35"/>
      <c r="AG262" s="35"/>
      <c r="AH262" s="2"/>
      <c r="AL262" s="2"/>
      <c r="AQ262" s="2"/>
    </row>
    <row r="263" spans="1:43" s="195" customFormat="1">
      <c r="A263" s="211" t="s">
        <v>797</v>
      </c>
      <c r="V263" s="196"/>
      <c r="W263" s="196">
        <v>0.02</v>
      </c>
      <c r="X263" s="196"/>
      <c r="Y263" s="196"/>
      <c r="Z263" s="196"/>
      <c r="AA263" s="196"/>
      <c r="AB263" s="199"/>
      <c r="AC263" s="196">
        <v>0.01</v>
      </c>
      <c r="AD263" s="196"/>
      <c r="AF263" s="199"/>
      <c r="AG263" s="199"/>
      <c r="AH263" s="196"/>
      <c r="AI263" s="199"/>
      <c r="AJ263" s="199"/>
      <c r="AK263" s="199"/>
      <c r="AL263" s="196"/>
      <c r="AM263" s="199"/>
      <c r="AQ263" s="196"/>
    </row>
    <row r="264" spans="1:43" s="209" customFormat="1">
      <c r="A264" s="211" t="s">
        <v>789</v>
      </c>
      <c r="H264" s="209">
        <v>10</v>
      </c>
      <c r="J264" s="209">
        <v>10</v>
      </c>
      <c r="O264" s="209">
        <v>25</v>
      </c>
      <c r="V264" s="210"/>
      <c r="W264" s="210"/>
      <c r="X264" s="210"/>
      <c r="Y264" s="210"/>
      <c r="Z264" s="210"/>
      <c r="AA264" s="210"/>
      <c r="AB264" s="212"/>
      <c r="AC264" s="210"/>
      <c r="AD264" s="210"/>
      <c r="AF264" s="212"/>
      <c r="AG264" s="212"/>
      <c r="AH264" s="210"/>
      <c r="AI264" s="212"/>
      <c r="AJ264" s="212"/>
      <c r="AK264" s="212"/>
      <c r="AL264" s="210"/>
      <c r="AM264" s="212"/>
      <c r="AQ264" s="210"/>
    </row>
    <row r="265" spans="1:43" s="209" customFormat="1">
      <c r="A265" s="211" t="s">
        <v>800</v>
      </c>
      <c r="H265" s="209">
        <v>10</v>
      </c>
      <c r="J265" s="209">
        <v>10</v>
      </c>
      <c r="O265" s="209">
        <v>25</v>
      </c>
      <c r="V265" s="210"/>
      <c r="W265" s="210"/>
      <c r="X265" s="210"/>
      <c r="Y265" s="210"/>
      <c r="Z265" s="210"/>
      <c r="AA265" s="210"/>
      <c r="AB265" s="212"/>
      <c r="AC265" s="210"/>
      <c r="AD265" s="210"/>
      <c r="AF265" s="212"/>
      <c r="AG265" s="212"/>
      <c r="AH265" s="210"/>
      <c r="AI265" s="212"/>
      <c r="AJ265" s="212"/>
      <c r="AK265" s="212"/>
      <c r="AL265" s="210"/>
      <c r="AM265" s="212"/>
      <c r="AQ265" s="210"/>
    </row>
    <row r="266" spans="1:43">
      <c r="A266" s="31" t="s">
        <v>627</v>
      </c>
      <c r="V266" s="2"/>
      <c r="W266" s="2"/>
      <c r="X266" s="2"/>
      <c r="Y266" s="2"/>
      <c r="Z266" s="2"/>
      <c r="AA266" s="2"/>
      <c r="AB266" s="35"/>
      <c r="AC266" s="2"/>
      <c r="AD266" s="2"/>
      <c r="AF266" s="35"/>
      <c r="AG266" s="35"/>
      <c r="AH266" s="2"/>
      <c r="AL266" s="2"/>
      <c r="AQ266" s="2"/>
    </row>
    <row r="267" spans="1:43">
      <c r="A267" s="31" t="s">
        <v>628</v>
      </c>
      <c r="G267">
        <v>9</v>
      </c>
      <c r="O267">
        <v>5</v>
      </c>
      <c r="V267" s="2"/>
      <c r="W267" s="2"/>
      <c r="X267" s="2"/>
      <c r="Y267" s="2"/>
      <c r="Z267" s="2"/>
      <c r="AA267" s="2"/>
      <c r="AB267" s="35"/>
      <c r="AC267" s="2"/>
      <c r="AD267" s="2"/>
      <c r="AF267" s="35"/>
      <c r="AG267" s="35"/>
      <c r="AH267" s="2"/>
      <c r="AL267" s="2"/>
      <c r="AQ267" s="2"/>
    </row>
    <row r="268" spans="1:43" s="209" customFormat="1">
      <c r="A268" s="211" t="s">
        <v>807</v>
      </c>
      <c r="N268" s="209">
        <v>6</v>
      </c>
      <c r="Q268" s="209">
        <v>6</v>
      </c>
      <c r="S268" s="209">
        <v>6</v>
      </c>
      <c r="V268" s="210"/>
      <c r="W268" s="210"/>
      <c r="X268" s="210"/>
      <c r="Y268" s="210"/>
      <c r="Z268" s="210"/>
      <c r="AA268" s="210"/>
      <c r="AB268" s="212"/>
      <c r="AC268" s="210">
        <v>0.03</v>
      </c>
      <c r="AD268" s="210"/>
      <c r="AF268" s="212"/>
      <c r="AG268" s="212"/>
      <c r="AH268" s="210"/>
      <c r="AI268" s="212"/>
      <c r="AJ268" s="212"/>
      <c r="AK268" s="212"/>
      <c r="AL268" s="210"/>
      <c r="AM268" s="212"/>
      <c r="AQ268" s="210"/>
    </row>
    <row r="269" spans="1:43">
      <c r="A269" t="s">
        <v>700</v>
      </c>
      <c r="G269">
        <v>3</v>
      </c>
      <c r="H269">
        <v>3</v>
      </c>
      <c r="I269">
        <v>3</v>
      </c>
      <c r="J269">
        <v>3</v>
      </c>
      <c r="V269" s="2">
        <v>0.01</v>
      </c>
      <c r="W269" s="2"/>
      <c r="X269" s="2"/>
      <c r="Y269" s="2"/>
      <c r="Z269" s="2"/>
      <c r="AA269" s="2"/>
      <c r="AB269" s="35"/>
      <c r="AC269" s="2"/>
      <c r="AD269" s="2"/>
      <c r="AE269">
        <v>5</v>
      </c>
      <c r="AF269" s="35"/>
      <c r="AG269" s="35"/>
      <c r="AH269" s="2"/>
      <c r="AL269" s="35"/>
    </row>
    <row r="270" spans="1:43">
      <c r="A270" t="s">
        <v>26</v>
      </c>
      <c r="G270">
        <v>5</v>
      </c>
      <c r="H270">
        <v>5</v>
      </c>
      <c r="V270" s="2"/>
      <c r="W270" s="2"/>
      <c r="X270" s="2"/>
      <c r="Y270" s="2"/>
      <c r="Z270" s="2"/>
      <c r="AA270" s="2"/>
      <c r="AB270" s="35"/>
      <c r="AC270" s="2"/>
      <c r="AD270" s="2"/>
      <c r="AE270">
        <v>5</v>
      </c>
      <c r="AF270" s="35"/>
      <c r="AG270" s="35"/>
      <c r="AH270" s="2"/>
      <c r="AL270" s="35"/>
    </row>
    <row r="271" spans="1:43">
      <c r="A271" s="31" t="s">
        <v>629</v>
      </c>
      <c r="H271">
        <v>8</v>
      </c>
      <c r="V271" s="2"/>
      <c r="W271" s="2"/>
      <c r="X271" s="2"/>
      <c r="Y271" s="2"/>
      <c r="Z271" s="2"/>
      <c r="AA271" s="2"/>
      <c r="AB271" s="35"/>
      <c r="AC271" s="2"/>
      <c r="AD271" s="2"/>
      <c r="AF271" s="35"/>
      <c r="AG271" s="35"/>
      <c r="AH271" s="2"/>
      <c r="AL271" s="2"/>
      <c r="AQ271" s="2"/>
    </row>
    <row r="272" spans="1:43">
      <c r="A272" s="31" t="s">
        <v>630</v>
      </c>
      <c r="H272">
        <v>9</v>
      </c>
      <c r="N272">
        <v>5</v>
      </c>
      <c r="V272" s="2"/>
      <c r="W272" s="2"/>
      <c r="X272" s="2"/>
      <c r="Y272" s="2"/>
      <c r="Z272" s="2"/>
      <c r="AA272" s="2"/>
      <c r="AB272" s="35"/>
      <c r="AC272" s="2"/>
      <c r="AD272" s="2"/>
      <c r="AF272" s="35"/>
      <c r="AG272" s="35"/>
      <c r="AH272" s="2"/>
      <c r="AL272" s="2"/>
      <c r="AQ272" s="2"/>
    </row>
    <row r="273" spans="1:43" s="209" customFormat="1">
      <c r="A273" s="211" t="s">
        <v>790</v>
      </c>
      <c r="G273" s="209">
        <v>10</v>
      </c>
      <c r="H273" s="209">
        <v>10</v>
      </c>
      <c r="I273" s="209">
        <v>10</v>
      </c>
      <c r="J273" s="209">
        <v>10</v>
      </c>
      <c r="O273" s="209">
        <v>20</v>
      </c>
      <c r="R273" s="209">
        <v>20</v>
      </c>
      <c r="V273" s="210"/>
      <c r="W273" s="210"/>
      <c r="X273" s="210"/>
      <c r="Y273" s="210"/>
      <c r="Z273" s="210"/>
      <c r="AA273" s="210"/>
      <c r="AB273" s="212"/>
      <c r="AC273" s="210"/>
      <c r="AD273" s="210"/>
      <c r="AF273" s="212"/>
      <c r="AG273" s="212"/>
      <c r="AH273" s="210"/>
      <c r="AI273" s="212"/>
      <c r="AJ273" s="212"/>
      <c r="AK273" s="212"/>
      <c r="AL273" s="210"/>
      <c r="AM273" s="212"/>
      <c r="AQ273" s="210"/>
    </row>
    <row r="274" spans="1:43" s="209" customFormat="1">
      <c r="A274" s="211" t="s">
        <v>791</v>
      </c>
      <c r="G274" s="209">
        <v>10</v>
      </c>
      <c r="H274" s="209">
        <v>10</v>
      </c>
      <c r="I274" s="209">
        <v>10</v>
      </c>
      <c r="J274" s="209">
        <v>10</v>
      </c>
      <c r="N274" s="209">
        <v>15</v>
      </c>
      <c r="O274" s="209">
        <v>20</v>
      </c>
      <c r="Q274" s="209">
        <v>15</v>
      </c>
      <c r="R274" s="209">
        <v>20</v>
      </c>
      <c r="S274" s="209">
        <v>15</v>
      </c>
      <c r="V274" s="210"/>
      <c r="W274" s="210"/>
      <c r="X274" s="210"/>
      <c r="Y274" s="210"/>
      <c r="Z274" s="210"/>
      <c r="AA274" s="210"/>
      <c r="AB274" s="212"/>
      <c r="AC274" s="210"/>
      <c r="AD274" s="210"/>
      <c r="AF274" s="212"/>
      <c r="AG274" s="212"/>
      <c r="AH274" s="210"/>
      <c r="AI274" s="212"/>
      <c r="AJ274" s="212"/>
      <c r="AK274" s="212"/>
      <c r="AL274" s="210"/>
      <c r="AM274" s="212"/>
      <c r="AQ274" s="210"/>
    </row>
    <row r="275" spans="1:43">
      <c r="A275" s="31" t="s">
        <v>633</v>
      </c>
      <c r="K275">
        <v>8</v>
      </c>
      <c r="V275" s="2"/>
      <c r="W275" s="2"/>
      <c r="X275" s="2"/>
      <c r="Y275" s="2"/>
      <c r="Z275" s="2"/>
      <c r="AA275" s="2"/>
      <c r="AB275" s="35"/>
      <c r="AC275" s="2"/>
      <c r="AD275" s="2"/>
      <c r="AF275" s="35"/>
      <c r="AG275" s="35"/>
      <c r="AH275" s="2"/>
      <c r="AL275" s="2"/>
      <c r="AQ275" s="2"/>
    </row>
    <row r="276" spans="1:43">
      <c r="A276" s="31" t="s">
        <v>634</v>
      </c>
      <c r="K276">
        <v>9</v>
      </c>
      <c r="V276" s="2"/>
      <c r="W276" s="2"/>
      <c r="X276" s="2"/>
      <c r="Y276" s="2"/>
      <c r="Z276" s="2"/>
      <c r="AA276" s="2"/>
      <c r="AB276" s="35"/>
      <c r="AC276" s="2"/>
      <c r="AD276" s="2"/>
      <c r="AF276" s="35"/>
      <c r="AG276" s="35"/>
      <c r="AH276" s="2"/>
      <c r="AL276" s="2"/>
      <c r="AQ276" s="2"/>
    </row>
    <row r="277" spans="1:43" s="195" customFormat="1">
      <c r="A277" s="198" t="s">
        <v>733</v>
      </c>
      <c r="F277" s="195">
        <v>7</v>
      </c>
      <c r="N277" s="195">
        <v>15</v>
      </c>
      <c r="V277" s="196"/>
      <c r="W277" s="196"/>
      <c r="X277" s="196"/>
      <c r="Y277" s="196"/>
      <c r="Z277" s="196"/>
      <c r="AA277" s="196"/>
      <c r="AB277" s="199"/>
      <c r="AC277" s="196"/>
      <c r="AD277" s="196"/>
      <c r="AF277" s="199"/>
      <c r="AG277" s="199"/>
      <c r="AH277" s="196"/>
      <c r="AI277" s="199"/>
      <c r="AJ277" s="199"/>
      <c r="AK277" s="199"/>
      <c r="AL277" s="196"/>
      <c r="AM277" s="199"/>
      <c r="AQ277" s="196"/>
    </row>
    <row r="278" spans="1:43">
      <c r="A278" t="s">
        <v>179</v>
      </c>
      <c r="G278">
        <v>5</v>
      </c>
      <c r="K278">
        <v>5</v>
      </c>
      <c r="V278" s="2"/>
      <c r="W278" s="2"/>
      <c r="X278" s="2"/>
      <c r="Y278" s="2"/>
      <c r="Z278" s="2"/>
      <c r="AA278" s="2"/>
      <c r="AB278" s="35"/>
      <c r="AC278" s="2"/>
      <c r="AD278" s="2"/>
      <c r="AF278" s="35"/>
      <c r="AG278" s="35"/>
      <c r="AH278" s="2"/>
      <c r="AL278" s="35"/>
    </row>
    <row r="281" spans="1:43">
      <c r="A281" t="s">
        <v>20</v>
      </c>
      <c r="B281" t="s">
        <v>30</v>
      </c>
      <c r="C281" t="s">
        <v>529</v>
      </c>
      <c r="D281" t="s">
        <v>657</v>
      </c>
      <c r="E281" t="s">
        <v>499</v>
      </c>
      <c r="F281" s="31" t="s">
        <v>524</v>
      </c>
      <c r="G281" t="s">
        <v>3</v>
      </c>
      <c r="H281" t="s">
        <v>4</v>
      </c>
      <c r="I281" t="s">
        <v>5</v>
      </c>
      <c r="J281" t="s">
        <v>42</v>
      </c>
      <c r="K281" t="s">
        <v>221</v>
      </c>
      <c r="L281" t="s">
        <v>222</v>
      </c>
      <c r="M281" t="s">
        <v>223</v>
      </c>
      <c r="N281" t="s">
        <v>10</v>
      </c>
      <c r="O281" t="s">
        <v>9</v>
      </c>
      <c r="P281" t="s">
        <v>494</v>
      </c>
      <c r="Q281" t="s">
        <v>643</v>
      </c>
      <c r="R281" t="s">
        <v>644</v>
      </c>
      <c r="S281" t="s">
        <v>645</v>
      </c>
      <c r="T281" s="35" t="s">
        <v>646</v>
      </c>
      <c r="U281" s="148" t="s">
        <v>647</v>
      </c>
      <c r="V281" t="s">
        <v>12</v>
      </c>
      <c r="W281" t="s">
        <v>164</v>
      </c>
      <c r="X281" t="s">
        <v>360</v>
      </c>
      <c r="Y281" t="s">
        <v>495</v>
      </c>
      <c r="Z281" t="s">
        <v>496</v>
      </c>
      <c r="AA281" t="s">
        <v>131</v>
      </c>
      <c r="AB281" t="s">
        <v>11</v>
      </c>
      <c r="AC281" t="s">
        <v>127</v>
      </c>
      <c r="AD281" t="s">
        <v>126</v>
      </c>
      <c r="AE281" t="s">
        <v>13</v>
      </c>
      <c r="AF281" t="s">
        <v>124</v>
      </c>
      <c r="AG281" t="s">
        <v>302</v>
      </c>
      <c r="AH281" t="s">
        <v>175</v>
      </c>
      <c r="AI281" s="35" t="s">
        <v>473</v>
      </c>
      <c r="AJ281" s="35" t="s">
        <v>474</v>
      </c>
      <c r="AK281" s="148" t="s">
        <v>449</v>
      </c>
      <c r="AL281" t="s">
        <v>354</v>
      </c>
      <c r="AM281" s="148" t="s">
        <v>654</v>
      </c>
    </row>
    <row r="282" spans="1:43">
      <c r="A282" t="s">
        <v>55</v>
      </c>
      <c r="O282">
        <v>8</v>
      </c>
      <c r="V282" s="2">
        <v>0.01</v>
      </c>
      <c r="W282" s="2"/>
      <c r="X282" s="2"/>
      <c r="Y282" s="2"/>
      <c r="Z282" s="2"/>
      <c r="AA282" s="2"/>
      <c r="AB282" s="35"/>
      <c r="AC282" s="2"/>
      <c r="AD282" s="2"/>
      <c r="AF282" s="35"/>
      <c r="AG282" s="35"/>
      <c r="AH282" s="2"/>
      <c r="AL282" s="35"/>
    </row>
    <row r="283" spans="1:43" s="209" customFormat="1">
      <c r="A283" s="209" t="s">
        <v>793</v>
      </c>
      <c r="H283" s="209">
        <v>20</v>
      </c>
      <c r="N283" s="209">
        <v>20</v>
      </c>
      <c r="O283" s="209">
        <v>20</v>
      </c>
      <c r="V283" s="210">
        <v>0.1</v>
      </c>
      <c r="W283" s="210"/>
      <c r="X283" s="210"/>
      <c r="Y283" s="210"/>
      <c r="Z283" s="210"/>
      <c r="AA283" s="210"/>
      <c r="AB283" s="212"/>
      <c r="AC283" s="210"/>
      <c r="AD283" s="210"/>
      <c r="AF283" s="212"/>
      <c r="AG283" s="212"/>
      <c r="AH283" s="210"/>
      <c r="AI283" s="212"/>
      <c r="AJ283" s="212"/>
      <c r="AK283" s="212"/>
      <c r="AL283" s="212"/>
      <c r="AM283" s="212"/>
    </row>
    <row r="284" spans="1:43" s="209" customFormat="1">
      <c r="A284" s="209" t="s">
        <v>794</v>
      </c>
      <c r="H284" s="209">
        <v>20</v>
      </c>
      <c r="N284" s="209">
        <v>20</v>
      </c>
      <c r="O284" s="209">
        <v>20</v>
      </c>
      <c r="V284" s="210"/>
      <c r="W284" s="210"/>
      <c r="X284" s="210"/>
      <c r="Y284" s="210"/>
      <c r="Z284" s="210"/>
      <c r="AA284" s="210"/>
      <c r="AB284" s="212"/>
      <c r="AC284" s="210"/>
      <c r="AD284" s="210"/>
      <c r="AF284" s="212"/>
      <c r="AG284" s="212"/>
      <c r="AH284" s="210">
        <v>0.1</v>
      </c>
      <c r="AI284" s="212"/>
      <c r="AJ284" s="212"/>
      <c r="AK284" s="212"/>
      <c r="AL284" s="212"/>
      <c r="AM284" s="212"/>
    </row>
    <row r="285" spans="1:43" s="209" customFormat="1">
      <c r="A285" s="209" t="s">
        <v>806</v>
      </c>
      <c r="H285" s="209">
        <v>20</v>
      </c>
      <c r="N285" s="209">
        <v>20</v>
      </c>
      <c r="O285" s="209">
        <v>20</v>
      </c>
      <c r="V285" s="210"/>
      <c r="W285" s="210"/>
      <c r="X285" s="210"/>
      <c r="Y285" s="210"/>
      <c r="Z285" s="210"/>
      <c r="AA285" s="210"/>
      <c r="AB285" s="212"/>
      <c r="AC285" s="210">
        <v>0.1</v>
      </c>
      <c r="AD285" s="210"/>
      <c r="AF285" s="212"/>
      <c r="AG285" s="212"/>
      <c r="AH285" s="210"/>
      <c r="AI285" s="212"/>
      <c r="AJ285" s="212"/>
      <c r="AK285" s="212"/>
      <c r="AL285" s="212"/>
      <c r="AM285" s="212"/>
    </row>
    <row r="286" spans="1:43">
      <c r="A286" s="31" t="s">
        <v>525</v>
      </c>
      <c r="G286">
        <v>5</v>
      </c>
      <c r="H286">
        <v>5</v>
      </c>
      <c r="N286">
        <v>15</v>
      </c>
      <c r="O286">
        <v>15</v>
      </c>
      <c r="Q286">
        <v>15</v>
      </c>
      <c r="R286">
        <v>15</v>
      </c>
      <c r="V286" s="2">
        <v>0.02</v>
      </c>
      <c r="W286" s="2"/>
      <c r="X286" s="2"/>
      <c r="Y286" s="2"/>
      <c r="Z286" s="2"/>
      <c r="AA286" s="2"/>
      <c r="AB286" s="35"/>
      <c r="AC286" s="2"/>
      <c r="AD286" s="2"/>
      <c r="AF286" s="2"/>
      <c r="AG286" s="2"/>
      <c r="AH286" s="2">
        <v>0.05</v>
      </c>
      <c r="AL286" s="2"/>
    </row>
    <row r="287" spans="1:43">
      <c r="AB287" s="35"/>
      <c r="AC287" s="2"/>
      <c r="AD287" s="2"/>
      <c r="AF287" s="35"/>
      <c r="AG287" s="35"/>
      <c r="AH287" s="2"/>
      <c r="AL287" s="35"/>
    </row>
    <row r="289" spans="1:41">
      <c r="A289" t="s">
        <v>21</v>
      </c>
      <c r="B289" t="s">
        <v>30</v>
      </c>
      <c r="C289" t="s">
        <v>529</v>
      </c>
      <c r="D289" t="s">
        <v>657</v>
      </c>
      <c r="E289" t="s">
        <v>499</v>
      </c>
      <c r="F289" s="31" t="s">
        <v>524</v>
      </c>
      <c r="G289" t="s">
        <v>3</v>
      </c>
      <c r="H289" t="s">
        <v>4</v>
      </c>
      <c r="I289" t="s">
        <v>5</v>
      </c>
      <c r="J289" t="s">
        <v>42</v>
      </c>
      <c r="K289" t="s">
        <v>221</v>
      </c>
      <c r="L289" t="s">
        <v>222</v>
      </c>
      <c r="M289" t="s">
        <v>223</v>
      </c>
      <c r="N289" t="s">
        <v>10</v>
      </c>
      <c r="O289" t="s">
        <v>9</v>
      </c>
      <c r="P289" t="s">
        <v>494</v>
      </c>
      <c r="Q289" t="s">
        <v>643</v>
      </c>
      <c r="R289" t="s">
        <v>644</v>
      </c>
      <c r="S289" t="s">
        <v>645</v>
      </c>
      <c r="T289" s="35" t="s">
        <v>646</v>
      </c>
      <c r="U289" s="148" t="s">
        <v>647</v>
      </c>
      <c r="V289" t="s">
        <v>12</v>
      </c>
      <c r="W289" t="s">
        <v>164</v>
      </c>
      <c r="X289" t="s">
        <v>360</v>
      </c>
      <c r="Y289" t="s">
        <v>495</v>
      </c>
      <c r="Z289" t="s">
        <v>496</v>
      </c>
      <c r="AA289" t="s">
        <v>131</v>
      </c>
      <c r="AB289" t="s">
        <v>11</v>
      </c>
      <c r="AC289" t="s">
        <v>127</v>
      </c>
      <c r="AD289" t="s">
        <v>126</v>
      </c>
      <c r="AE289" t="s">
        <v>13</v>
      </c>
      <c r="AF289" t="s">
        <v>124</v>
      </c>
      <c r="AG289" t="s">
        <v>302</v>
      </c>
      <c r="AH289" t="s">
        <v>175</v>
      </c>
      <c r="AI289" s="35" t="s">
        <v>473</v>
      </c>
      <c r="AJ289" s="35" t="s">
        <v>474</v>
      </c>
      <c r="AK289" s="148" t="s">
        <v>449</v>
      </c>
      <c r="AL289" t="s">
        <v>354</v>
      </c>
      <c r="AM289" s="148" t="s">
        <v>654</v>
      </c>
    </row>
    <row r="290" spans="1:41" s="201" customFormat="1">
      <c r="A290" s="202" t="s">
        <v>734</v>
      </c>
      <c r="B290" s="202"/>
      <c r="C290" s="202"/>
      <c r="D290" s="202"/>
      <c r="E290" s="202"/>
      <c r="F290" s="202"/>
      <c r="G290" s="202"/>
      <c r="H290" s="202">
        <v>10</v>
      </c>
      <c r="I290" s="202"/>
      <c r="J290" s="202"/>
      <c r="K290" s="202"/>
      <c r="L290" s="202"/>
      <c r="M290" s="202"/>
      <c r="N290" s="202"/>
      <c r="O290" s="202"/>
      <c r="P290" s="202"/>
      <c r="Q290" s="202"/>
      <c r="R290" s="202"/>
      <c r="S290" s="202"/>
      <c r="T290" s="202"/>
      <c r="U290" s="202"/>
      <c r="V290" s="203"/>
      <c r="W290" s="203"/>
      <c r="X290" s="203"/>
      <c r="Y290" s="203"/>
      <c r="Z290" s="203"/>
      <c r="AA290" s="203"/>
      <c r="AB290" s="204"/>
      <c r="AC290" s="203"/>
      <c r="AD290" s="203"/>
      <c r="AE290" s="202"/>
      <c r="AF290" s="204"/>
      <c r="AG290" s="204"/>
      <c r="AH290" s="203"/>
      <c r="AI290" s="202"/>
      <c r="AJ290" s="202"/>
      <c r="AK290" s="202"/>
      <c r="AL290" s="203"/>
      <c r="AM290" s="202"/>
      <c r="AN290" s="203"/>
    </row>
    <row r="291" spans="1:41">
      <c r="A291" t="s">
        <v>317</v>
      </c>
      <c r="G291">
        <v>9</v>
      </c>
      <c r="H291">
        <v>-7</v>
      </c>
      <c r="V291" s="2"/>
      <c r="W291" s="2"/>
      <c r="X291" s="2"/>
      <c r="Y291" s="2"/>
      <c r="Z291" s="2"/>
      <c r="AA291" s="2"/>
      <c r="AB291" s="35"/>
      <c r="AC291" s="2"/>
      <c r="AD291" s="2"/>
      <c r="AF291" s="35"/>
      <c r="AG291" s="35"/>
      <c r="AH291" s="2"/>
      <c r="AL291" s="35"/>
    </row>
    <row r="292" spans="1:41">
      <c r="A292" t="s">
        <v>701</v>
      </c>
      <c r="N292">
        <v>15</v>
      </c>
      <c r="O292">
        <v>15</v>
      </c>
      <c r="Q292">
        <v>15</v>
      </c>
      <c r="R292">
        <v>15</v>
      </c>
      <c r="S292">
        <v>7</v>
      </c>
      <c r="T292">
        <v>7</v>
      </c>
      <c r="V292" s="2"/>
      <c r="W292" s="2"/>
      <c r="X292" s="2"/>
      <c r="Y292" s="2"/>
      <c r="Z292" s="2"/>
      <c r="AA292" s="2"/>
      <c r="AB292" s="35"/>
      <c r="AC292" s="2"/>
      <c r="AD292" s="2"/>
      <c r="AF292" s="35"/>
      <c r="AG292" s="35"/>
      <c r="AH292" s="2"/>
      <c r="AL292" s="35"/>
    </row>
    <row r="293" spans="1:41">
      <c r="A293" t="s">
        <v>174</v>
      </c>
      <c r="N293">
        <v>10</v>
      </c>
      <c r="V293" s="2"/>
      <c r="W293" s="2"/>
      <c r="X293" s="2"/>
      <c r="Y293" s="2"/>
      <c r="Z293" s="2"/>
      <c r="AA293" s="2"/>
      <c r="AB293" s="35"/>
      <c r="AC293" s="2"/>
      <c r="AD293" s="2"/>
      <c r="AF293" s="35"/>
      <c r="AG293" s="35"/>
      <c r="AH293" s="2"/>
      <c r="AI293" s="35">
        <v>100</v>
      </c>
      <c r="AL293" s="2">
        <v>7.0000000000000007E-2</v>
      </c>
    </row>
    <row r="294" spans="1:41" s="209" customFormat="1">
      <c r="A294" s="211" t="s">
        <v>767</v>
      </c>
      <c r="N294" s="209">
        <v>10</v>
      </c>
      <c r="V294" s="210"/>
      <c r="W294" s="210"/>
      <c r="X294" s="210"/>
      <c r="Y294" s="210"/>
      <c r="Z294" s="210"/>
      <c r="AA294" s="210"/>
      <c r="AB294" s="212"/>
      <c r="AC294" s="210"/>
      <c r="AD294" s="210"/>
      <c r="AF294" s="212"/>
      <c r="AG294" s="212"/>
      <c r="AH294" s="210"/>
      <c r="AI294" s="212">
        <v>100</v>
      </c>
      <c r="AJ294" s="212"/>
      <c r="AK294" s="212"/>
      <c r="AL294" s="210"/>
      <c r="AM294" s="212"/>
    </row>
    <row r="295" spans="1:41">
      <c r="A295" t="s">
        <v>145</v>
      </c>
      <c r="V295" s="2"/>
      <c r="W295" s="2"/>
      <c r="X295" s="2"/>
      <c r="Y295" s="2"/>
      <c r="Z295" s="2"/>
      <c r="AA295" s="2"/>
      <c r="AB295" s="35">
        <v>50</v>
      </c>
      <c r="AC295" s="2"/>
      <c r="AD295" s="2"/>
      <c r="AE295">
        <v>5</v>
      </c>
      <c r="AF295" s="35"/>
      <c r="AG295" s="35"/>
      <c r="AH295" s="2"/>
      <c r="AL295" s="35"/>
    </row>
    <row r="296" spans="1:41">
      <c r="A296" t="s">
        <v>702</v>
      </c>
      <c r="G296">
        <v>5</v>
      </c>
      <c r="H296">
        <v>5</v>
      </c>
      <c r="N296">
        <v>10</v>
      </c>
      <c r="O296">
        <v>20</v>
      </c>
      <c r="V296" s="2">
        <v>0.02</v>
      </c>
      <c r="W296" s="2"/>
      <c r="X296" s="2"/>
      <c r="Y296" s="2"/>
      <c r="Z296" s="2"/>
      <c r="AA296" s="2"/>
      <c r="AB296" s="35"/>
      <c r="AC296" s="2"/>
      <c r="AD296" s="2"/>
      <c r="AF296" s="35"/>
      <c r="AG296" s="35"/>
      <c r="AH296" s="2"/>
      <c r="AL296" s="35"/>
    </row>
    <row r="297" spans="1:41">
      <c r="A297" t="s">
        <v>497</v>
      </c>
      <c r="N297">
        <v>15</v>
      </c>
      <c r="V297" s="2"/>
      <c r="W297" s="2"/>
      <c r="X297" s="2"/>
      <c r="Y297" s="2"/>
      <c r="Z297" s="2"/>
      <c r="AA297" s="2"/>
      <c r="AB297" s="35">
        <v>71</v>
      </c>
      <c r="AC297" s="2"/>
      <c r="AD297" s="2"/>
      <c r="AF297" s="35"/>
      <c r="AG297" s="35"/>
      <c r="AH297" s="2"/>
      <c r="AL297" s="35"/>
    </row>
    <row r="298" spans="1:41">
      <c r="A298" s="31" t="s">
        <v>599</v>
      </c>
      <c r="G298">
        <v>13</v>
      </c>
      <c r="N298">
        <v>5</v>
      </c>
      <c r="V298" s="2">
        <v>0.01</v>
      </c>
      <c r="W298" s="2"/>
      <c r="X298" s="2"/>
      <c r="Y298" s="2"/>
      <c r="Z298" s="2"/>
      <c r="AA298" s="2"/>
      <c r="AB298" s="35"/>
      <c r="AC298" s="2"/>
      <c r="AD298" s="2"/>
      <c r="AF298" s="2"/>
      <c r="AG298" s="2"/>
      <c r="AH298" s="2"/>
      <c r="AL298" s="35"/>
      <c r="AN298" s="2"/>
      <c r="AO298" s="35"/>
    </row>
    <row r="299" spans="1:41">
      <c r="A299" t="s">
        <v>147</v>
      </c>
      <c r="V299" s="2"/>
      <c r="W299" s="2"/>
      <c r="X299" s="2"/>
      <c r="Y299" s="2"/>
      <c r="Z299" s="2"/>
      <c r="AA299" s="2">
        <v>0.05</v>
      </c>
      <c r="AB299" s="35"/>
      <c r="AC299" s="2"/>
      <c r="AD299" s="2"/>
      <c r="AF299" s="35"/>
      <c r="AG299" s="35"/>
      <c r="AH299" s="2"/>
      <c r="AL299" s="35"/>
    </row>
    <row r="300" spans="1:41">
      <c r="A300" s="31" t="s">
        <v>650</v>
      </c>
      <c r="N300">
        <v>20</v>
      </c>
      <c r="O300">
        <v>-5</v>
      </c>
      <c r="V300" s="2"/>
      <c r="W300" s="2"/>
      <c r="X300" s="2"/>
      <c r="Y300" s="2"/>
      <c r="Z300" s="2"/>
      <c r="AA300" s="2"/>
      <c r="AB300" s="35"/>
      <c r="AC300" s="2"/>
      <c r="AD300" s="2"/>
      <c r="AE300">
        <v>3</v>
      </c>
      <c r="AF300" s="35"/>
      <c r="AG300" s="35"/>
      <c r="AH300" s="2"/>
      <c r="AI300" s="2"/>
      <c r="AJ300" s="2"/>
      <c r="AK300" s="2"/>
      <c r="AL300" s="2"/>
      <c r="AM300" s="2"/>
    </row>
    <row r="301" spans="1:41">
      <c r="A301" t="s">
        <v>408</v>
      </c>
      <c r="O301">
        <v>8</v>
      </c>
      <c r="V301" s="2"/>
      <c r="W301" s="2"/>
      <c r="X301" s="2"/>
      <c r="Y301" s="2"/>
      <c r="Z301" s="2"/>
      <c r="AA301" s="2">
        <v>0.05</v>
      </c>
      <c r="AB301" s="35"/>
      <c r="AC301" s="2"/>
      <c r="AD301" s="2"/>
      <c r="AE301">
        <v>5</v>
      </c>
      <c r="AF301" s="35"/>
      <c r="AG301" s="35"/>
      <c r="AH301" s="2"/>
      <c r="AL301" s="35"/>
    </row>
    <row r="302" spans="1:41">
      <c r="A302" t="s">
        <v>316</v>
      </c>
      <c r="G302">
        <v>6</v>
      </c>
      <c r="H302">
        <v>6</v>
      </c>
      <c r="V302" s="2"/>
      <c r="W302" s="2"/>
      <c r="X302" s="2"/>
      <c r="Y302" s="2"/>
      <c r="Z302" s="2"/>
      <c r="AA302" s="2"/>
      <c r="AB302" s="35"/>
      <c r="AC302" s="2"/>
      <c r="AD302" s="2"/>
      <c r="AF302" s="35"/>
      <c r="AG302" s="35"/>
      <c r="AH302" s="2"/>
      <c r="AL302" s="35"/>
    </row>
    <row r="303" spans="1:41">
      <c r="A303" t="s">
        <v>128</v>
      </c>
      <c r="G303">
        <v>3</v>
      </c>
      <c r="N303">
        <v>8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35"/>
    </row>
    <row r="304" spans="1:41">
      <c r="A304" t="s">
        <v>363</v>
      </c>
      <c r="G304">
        <v>9</v>
      </c>
      <c r="O304">
        <v>25</v>
      </c>
      <c r="V304" s="2">
        <v>-0.05</v>
      </c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35"/>
    </row>
    <row r="305" spans="1:41">
      <c r="A305" s="31" t="s">
        <v>648</v>
      </c>
      <c r="G305">
        <v>10</v>
      </c>
      <c r="N305">
        <v>5</v>
      </c>
      <c r="O305">
        <v>28</v>
      </c>
      <c r="V305" s="2">
        <v>-0.05</v>
      </c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I305" s="2"/>
      <c r="AJ305" s="2"/>
      <c r="AK305" s="2"/>
      <c r="AL305" s="2"/>
      <c r="AM305" s="2"/>
    </row>
    <row r="306" spans="1:41">
      <c r="A306" t="s">
        <v>500</v>
      </c>
      <c r="V306" s="2"/>
      <c r="W306" s="2"/>
      <c r="X306" s="2"/>
      <c r="Y306" s="2"/>
      <c r="Z306" s="2"/>
      <c r="AA306" s="2"/>
      <c r="AB306" s="35">
        <v>91</v>
      </c>
      <c r="AC306" s="2"/>
      <c r="AD306" s="2"/>
      <c r="AF306" s="2"/>
      <c r="AG306" s="2"/>
      <c r="AH306" s="2"/>
      <c r="AL306" s="2"/>
    </row>
    <row r="307" spans="1:41">
      <c r="A307" s="31" t="s">
        <v>710</v>
      </c>
      <c r="N307">
        <v>10</v>
      </c>
      <c r="Q307">
        <v>10</v>
      </c>
      <c r="V307" s="2"/>
      <c r="W307" s="2"/>
      <c r="X307" s="2"/>
      <c r="Y307" s="2"/>
      <c r="Z307" s="2"/>
      <c r="AA307" s="2">
        <v>7.0000000000000007E-2</v>
      </c>
      <c r="AB307" s="35"/>
      <c r="AC307" s="2"/>
      <c r="AD307" s="2"/>
      <c r="AE307">
        <v>4</v>
      </c>
      <c r="AF307" s="2"/>
      <c r="AG307" s="2"/>
      <c r="AH307" s="2"/>
      <c r="AL307" s="2"/>
    </row>
    <row r="308" spans="1:41">
      <c r="A308" t="s">
        <v>652</v>
      </c>
      <c r="J308">
        <v>5</v>
      </c>
      <c r="M308">
        <v>5</v>
      </c>
      <c r="O308">
        <v>0</v>
      </c>
      <c r="V308" s="2"/>
      <c r="W308" s="2"/>
      <c r="X308" s="2"/>
      <c r="Y308" s="2"/>
      <c r="Z308" s="2"/>
      <c r="AA308" s="2">
        <v>0.06</v>
      </c>
      <c r="AB308" s="35"/>
      <c r="AC308" s="2"/>
      <c r="AD308" s="2"/>
      <c r="AF308" s="2"/>
      <c r="AG308" s="2"/>
      <c r="AH308" s="2"/>
      <c r="AL308" s="2"/>
    </row>
    <row r="309" spans="1:41">
      <c r="A309" t="s">
        <v>144</v>
      </c>
      <c r="V309" s="2"/>
      <c r="W309" s="2"/>
      <c r="X309" s="2"/>
      <c r="Y309" s="2"/>
      <c r="Z309" s="2"/>
      <c r="AA309" s="2"/>
      <c r="AB309" s="35">
        <v>61</v>
      </c>
      <c r="AC309" s="2"/>
      <c r="AD309" s="2"/>
      <c r="AF309" s="35"/>
      <c r="AG309" s="35"/>
      <c r="AH309" s="2"/>
      <c r="AL309" s="35"/>
    </row>
    <row r="310" spans="1:41">
      <c r="A310" t="s">
        <v>152</v>
      </c>
      <c r="J310">
        <v>7</v>
      </c>
      <c r="O310">
        <v>-8</v>
      </c>
      <c r="V310" s="2"/>
      <c r="W310" s="2"/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41">
      <c r="A311" s="31" t="s">
        <v>635</v>
      </c>
      <c r="O311">
        <v>15</v>
      </c>
      <c r="V311" s="2"/>
      <c r="W311" s="2"/>
      <c r="X311" s="2"/>
      <c r="Y311" s="2"/>
      <c r="Z311" s="2"/>
      <c r="AA311" s="2"/>
      <c r="AB311" s="35">
        <v>30</v>
      </c>
      <c r="AC311" s="2"/>
      <c r="AD311" s="2"/>
      <c r="AE311">
        <v>4</v>
      </c>
      <c r="AF311" s="2"/>
      <c r="AG311" s="2"/>
      <c r="AH311" s="2"/>
      <c r="AL311" s="35"/>
      <c r="AN311" s="2"/>
      <c r="AO311" s="35"/>
    </row>
    <row r="312" spans="1:41">
      <c r="A312" s="31" t="s">
        <v>636</v>
      </c>
      <c r="O312">
        <v>18</v>
      </c>
      <c r="V312" s="2"/>
      <c r="W312" s="2"/>
      <c r="X312" s="2"/>
      <c r="Y312" s="2"/>
      <c r="Z312" s="2"/>
      <c r="AA312" s="2"/>
      <c r="AB312" s="35">
        <v>40</v>
      </c>
      <c r="AC312" s="2"/>
      <c r="AD312" s="2"/>
      <c r="AE312">
        <v>6</v>
      </c>
      <c r="AF312" s="2"/>
      <c r="AG312" s="2"/>
      <c r="AH312" s="2"/>
      <c r="AL312" s="35"/>
      <c r="AN312" s="2"/>
      <c r="AO312" s="35"/>
    </row>
    <row r="313" spans="1:41">
      <c r="A313" t="s">
        <v>78</v>
      </c>
      <c r="N313">
        <v>3</v>
      </c>
      <c r="O313">
        <v>-5</v>
      </c>
      <c r="V313" s="2"/>
      <c r="W313" s="2"/>
      <c r="X313" s="2"/>
      <c r="Y313" s="2"/>
      <c r="Z313" s="2"/>
      <c r="AA313" s="2"/>
      <c r="AB313" s="35">
        <v>40</v>
      </c>
      <c r="AC313" s="2"/>
      <c r="AD313" s="2"/>
      <c r="AF313" s="35"/>
      <c r="AG313" s="35"/>
      <c r="AH313" s="2"/>
      <c r="AL313" s="35"/>
    </row>
    <row r="314" spans="1:41">
      <c r="A314" t="s">
        <v>315</v>
      </c>
      <c r="G314">
        <v>5</v>
      </c>
      <c r="V314" s="2">
        <v>0.03</v>
      </c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35"/>
    </row>
    <row r="315" spans="1:41">
      <c r="A315" t="s">
        <v>172</v>
      </c>
      <c r="V315" s="2">
        <v>0.02</v>
      </c>
      <c r="W315" s="2"/>
      <c r="X315" s="2"/>
      <c r="Y315" s="2"/>
      <c r="Z315" s="2"/>
      <c r="AA315" s="2"/>
      <c r="AB315" s="35">
        <v>71</v>
      </c>
      <c r="AC315" s="2"/>
      <c r="AD315" s="2"/>
      <c r="AF315" s="35"/>
      <c r="AG315" s="35"/>
      <c r="AH315" s="2"/>
      <c r="AL315" s="35"/>
    </row>
    <row r="316" spans="1:41">
      <c r="A316" t="s">
        <v>74</v>
      </c>
      <c r="N316">
        <v>12</v>
      </c>
      <c r="O316">
        <v>4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35"/>
    </row>
    <row r="317" spans="1:41">
      <c r="A317" t="s">
        <v>471</v>
      </c>
      <c r="G317">
        <v>8</v>
      </c>
      <c r="H317">
        <v>8</v>
      </c>
      <c r="J317">
        <v>-5</v>
      </c>
      <c r="K317">
        <v>8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35"/>
    </row>
    <row r="318" spans="1:41">
      <c r="A318" t="s">
        <v>56</v>
      </c>
      <c r="G318">
        <v>5</v>
      </c>
      <c r="H318">
        <v>5</v>
      </c>
      <c r="V318" s="2"/>
      <c r="W318" s="2"/>
      <c r="X318" s="2"/>
      <c r="Y318" s="2"/>
      <c r="Z318" s="2"/>
      <c r="AA318" s="2"/>
      <c r="AB318" s="35"/>
      <c r="AC318" s="2"/>
      <c r="AD318" s="2"/>
      <c r="AF318" s="35"/>
      <c r="AG318" s="35"/>
      <c r="AH318" s="2"/>
      <c r="AL318" s="35"/>
    </row>
    <row r="319" spans="1:41">
      <c r="A319" t="s">
        <v>364</v>
      </c>
      <c r="V319" s="2"/>
      <c r="W319" s="2">
        <v>0.02</v>
      </c>
      <c r="X319" s="2">
        <v>0.01</v>
      </c>
      <c r="Y319" s="2"/>
      <c r="Z319" s="2"/>
      <c r="AA319" s="2"/>
      <c r="AB319" s="35"/>
      <c r="AC319" s="2"/>
      <c r="AD319" s="2"/>
      <c r="AF319" s="35"/>
      <c r="AG319" s="35"/>
      <c r="AH319" s="2"/>
      <c r="AL319" s="35"/>
    </row>
    <row r="320" spans="1:41">
      <c r="A320" s="31" t="s">
        <v>649</v>
      </c>
      <c r="N320">
        <v>2</v>
      </c>
      <c r="V320" s="2"/>
      <c r="W320" s="2">
        <v>0.02</v>
      </c>
      <c r="X320" s="2">
        <v>0.02</v>
      </c>
      <c r="Y320" s="2"/>
      <c r="Z320" s="2"/>
      <c r="AA320" s="2"/>
      <c r="AB320" s="35"/>
      <c r="AC320" s="2"/>
      <c r="AD320" s="2"/>
      <c r="AF320" s="35"/>
      <c r="AG320" s="35"/>
      <c r="AH320" s="2"/>
      <c r="AI320" s="2"/>
      <c r="AJ320" s="2"/>
      <c r="AK320" s="2"/>
      <c r="AL320" s="2"/>
      <c r="AM320" s="2"/>
    </row>
    <row r="323" spans="1:40">
      <c r="A323" t="s">
        <v>22</v>
      </c>
      <c r="B323" t="s">
        <v>30</v>
      </c>
      <c r="C323" t="s">
        <v>529</v>
      </c>
      <c r="D323" t="s">
        <v>657</v>
      </c>
      <c r="E323" t="s">
        <v>499</v>
      </c>
      <c r="F323" s="31" t="s">
        <v>524</v>
      </c>
      <c r="G323" t="s">
        <v>3</v>
      </c>
      <c r="H323" t="s">
        <v>4</v>
      </c>
      <c r="I323" t="s">
        <v>5</v>
      </c>
      <c r="J323" t="s">
        <v>42</v>
      </c>
      <c r="K323" t="s">
        <v>221</v>
      </c>
      <c r="L323" t="s">
        <v>222</v>
      </c>
      <c r="M323" t="s">
        <v>223</v>
      </c>
      <c r="N323" t="s">
        <v>10</v>
      </c>
      <c r="O323" t="s">
        <v>9</v>
      </c>
      <c r="P323" t="s">
        <v>494</v>
      </c>
      <c r="Q323" t="s">
        <v>643</v>
      </c>
      <c r="R323" t="s">
        <v>644</v>
      </c>
      <c r="S323" t="s">
        <v>645</v>
      </c>
      <c r="T323" s="35" t="s">
        <v>646</v>
      </c>
      <c r="U323" s="148" t="s">
        <v>647</v>
      </c>
      <c r="V323" t="s">
        <v>12</v>
      </c>
      <c r="W323" t="s">
        <v>164</v>
      </c>
      <c r="X323" t="s">
        <v>360</v>
      </c>
      <c r="Y323" t="s">
        <v>495</v>
      </c>
      <c r="Z323" t="s">
        <v>496</v>
      </c>
      <c r="AA323" t="s">
        <v>131</v>
      </c>
      <c r="AB323" t="s">
        <v>11</v>
      </c>
      <c r="AC323" t="s">
        <v>127</v>
      </c>
      <c r="AD323" t="s">
        <v>126</v>
      </c>
      <c r="AE323" t="s">
        <v>13</v>
      </c>
      <c r="AF323" t="s">
        <v>124</v>
      </c>
      <c r="AG323" t="s">
        <v>302</v>
      </c>
      <c r="AH323" t="s">
        <v>175</v>
      </c>
      <c r="AI323" s="35" t="s">
        <v>473</v>
      </c>
      <c r="AJ323" s="35" t="s">
        <v>474</v>
      </c>
      <c r="AK323" s="148" t="s">
        <v>449</v>
      </c>
      <c r="AL323" t="s">
        <v>354</v>
      </c>
      <c r="AM323" s="148" t="s">
        <v>654</v>
      </c>
    </row>
    <row r="324" spans="1:40" s="205" customFormat="1">
      <c r="A324" s="206" t="s">
        <v>715</v>
      </c>
      <c r="B324" s="206"/>
      <c r="C324" s="206"/>
      <c r="D324" s="206"/>
      <c r="E324" s="206"/>
      <c r="F324" s="206"/>
      <c r="G324" s="206">
        <v>32</v>
      </c>
      <c r="H324" s="206">
        <v>12</v>
      </c>
      <c r="I324" s="206">
        <v>15</v>
      </c>
      <c r="J324" s="206">
        <v>42</v>
      </c>
      <c r="K324" s="206">
        <v>28</v>
      </c>
      <c r="L324" s="206">
        <v>16</v>
      </c>
      <c r="M324" s="206">
        <v>16</v>
      </c>
      <c r="N324" s="206">
        <v>54</v>
      </c>
      <c r="O324" s="206"/>
      <c r="P324" s="206"/>
      <c r="Q324" s="206">
        <v>34</v>
      </c>
      <c r="R324" s="206"/>
      <c r="S324" s="206"/>
      <c r="T324" s="206"/>
      <c r="U324" s="206"/>
      <c r="V324" s="207"/>
      <c r="W324" s="207"/>
      <c r="X324" s="207"/>
      <c r="Y324" s="207"/>
      <c r="Z324" s="207"/>
      <c r="AA324" s="207"/>
      <c r="AB324" s="208">
        <v>61</v>
      </c>
      <c r="AC324" s="207"/>
      <c r="AD324" s="207"/>
      <c r="AE324" s="208">
        <v>8</v>
      </c>
      <c r="AF324" s="208"/>
      <c r="AG324" s="208"/>
      <c r="AH324" s="207"/>
      <c r="AI324" s="206"/>
      <c r="AJ324" s="206"/>
      <c r="AK324" s="206"/>
      <c r="AL324" s="207"/>
      <c r="AM324" s="206"/>
      <c r="AN324" s="207"/>
    </row>
    <row r="325" spans="1:40" s="205" customFormat="1">
      <c r="A325" s="206" t="s">
        <v>716</v>
      </c>
      <c r="B325" s="206"/>
      <c r="C325" s="206"/>
      <c r="D325" s="206"/>
      <c r="E325" s="206"/>
      <c r="F325" s="206"/>
      <c r="G325" s="206">
        <v>44</v>
      </c>
      <c r="H325" s="206">
        <v>12</v>
      </c>
      <c r="I325" s="206">
        <v>15</v>
      </c>
      <c r="J325" s="206">
        <v>30</v>
      </c>
      <c r="K325" s="206">
        <v>28</v>
      </c>
      <c r="L325" s="206">
        <v>16</v>
      </c>
      <c r="M325" s="206">
        <v>16</v>
      </c>
      <c r="N325" s="206">
        <v>34</v>
      </c>
      <c r="O325" s="206">
        <v>20</v>
      </c>
      <c r="P325" s="206"/>
      <c r="Q325" s="206">
        <v>34</v>
      </c>
      <c r="R325" s="206"/>
      <c r="S325" s="206"/>
      <c r="T325" s="206"/>
      <c r="U325" s="206"/>
      <c r="V325" s="207"/>
      <c r="W325" s="207"/>
      <c r="X325" s="207"/>
      <c r="Y325" s="207"/>
      <c r="Z325" s="207"/>
      <c r="AA325" s="207"/>
      <c r="AB325" s="208">
        <v>61</v>
      </c>
      <c r="AC325" s="207"/>
      <c r="AD325" s="207"/>
      <c r="AE325" s="208">
        <v>8</v>
      </c>
      <c r="AF325" s="208"/>
      <c r="AG325" s="208"/>
      <c r="AH325" s="207"/>
      <c r="AI325" s="206"/>
      <c r="AJ325" s="206"/>
      <c r="AK325" s="206"/>
      <c r="AL325" s="207"/>
      <c r="AM325" s="206"/>
      <c r="AN325" s="207"/>
    </row>
    <row r="326" spans="1:40" s="205" customFormat="1">
      <c r="A326" s="206" t="s">
        <v>717</v>
      </c>
      <c r="B326" s="206"/>
      <c r="C326" s="206"/>
      <c r="D326" s="206"/>
      <c r="E326" s="206"/>
      <c r="F326" s="206"/>
      <c r="G326" s="206">
        <v>32</v>
      </c>
      <c r="H326" s="206">
        <v>10</v>
      </c>
      <c r="I326" s="206">
        <v>15</v>
      </c>
      <c r="J326" s="206">
        <v>40</v>
      </c>
      <c r="K326" s="206">
        <v>28</v>
      </c>
      <c r="L326" s="206">
        <v>16</v>
      </c>
      <c r="M326" s="206">
        <v>16</v>
      </c>
      <c r="N326" s="206">
        <v>39</v>
      </c>
      <c r="O326" s="206"/>
      <c r="P326" s="206"/>
      <c r="Q326" s="206">
        <v>24</v>
      </c>
      <c r="R326" s="206"/>
      <c r="S326" s="206"/>
      <c r="T326" s="206"/>
      <c r="U326" s="206"/>
      <c r="V326" s="207"/>
      <c r="W326" s="207"/>
      <c r="X326" s="207"/>
      <c r="Y326" s="207"/>
      <c r="Z326" s="207"/>
      <c r="AA326" s="207"/>
      <c r="AB326" s="208">
        <v>61</v>
      </c>
      <c r="AC326" s="207"/>
      <c r="AD326" s="207"/>
      <c r="AE326" s="208">
        <v>7</v>
      </c>
      <c r="AF326" s="208"/>
      <c r="AG326" s="208"/>
      <c r="AH326" s="207"/>
      <c r="AI326" s="206"/>
      <c r="AJ326" s="206"/>
      <c r="AK326" s="206"/>
      <c r="AL326" s="207"/>
      <c r="AM326" s="206"/>
      <c r="AN326" s="207"/>
    </row>
    <row r="327" spans="1:40" s="202" customFormat="1">
      <c r="A327" s="206" t="s">
        <v>718</v>
      </c>
      <c r="B327" s="206"/>
      <c r="C327" s="206"/>
      <c r="D327" s="206"/>
      <c r="E327" s="206"/>
      <c r="F327" s="206"/>
      <c r="G327" s="206">
        <v>42</v>
      </c>
      <c r="H327" s="206">
        <v>10</v>
      </c>
      <c r="I327" s="206">
        <v>15</v>
      </c>
      <c r="J327" s="206">
        <v>30</v>
      </c>
      <c r="K327" s="206">
        <v>28</v>
      </c>
      <c r="L327" s="206">
        <v>16</v>
      </c>
      <c r="M327" s="206">
        <v>16</v>
      </c>
      <c r="N327" s="206">
        <v>24</v>
      </c>
      <c r="O327" s="206">
        <v>15</v>
      </c>
      <c r="P327" s="206"/>
      <c r="Q327" s="206">
        <v>24</v>
      </c>
      <c r="R327" s="206"/>
      <c r="S327" s="206"/>
      <c r="T327" s="206"/>
      <c r="U327" s="206"/>
      <c r="V327" s="207"/>
      <c r="W327" s="207"/>
      <c r="X327" s="207"/>
      <c r="Y327" s="207"/>
      <c r="Z327" s="207"/>
      <c r="AA327" s="207"/>
      <c r="AB327" s="208">
        <v>61</v>
      </c>
      <c r="AC327" s="207"/>
      <c r="AD327" s="207"/>
      <c r="AE327" s="208">
        <v>7</v>
      </c>
      <c r="AF327" s="208"/>
      <c r="AG327" s="208"/>
      <c r="AH327" s="207"/>
      <c r="AI327" s="206"/>
      <c r="AJ327" s="206"/>
      <c r="AK327" s="206"/>
      <c r="AL327" s="207"/>
      <c r="AM327" s="206"/>
      <c r="AN327" s="207"/>
    </row>
    <row r="328" spans="1:40">
      <c r="A328" s="31" t="s">
        <v>555</v>
      </c>
      <c r="G328">
        <v>20</v>
      </c>
      <c r="I328">
        <v>8</v>
      </c>
      <c r="J328">
        <v>13</v>
      </c>
      <c r="K328">
        <v>20</v>
      </c>
      <c r="L328">
        <v>11</v>
      </c>
      <c r="M328">
        <v>6</v>
      </c>
      <c r="N328">
        <v>15</v>
      </c>
      <c r="Q328">
        <v>15</v>
      </c>
      <c r="V328" s="2"/>
      <c r="W328" s="2"/>
      <c r="X328" s="2"/>
      <c r="Y328" s="2"/>
      <c r="Z328" s="2"/>
      <c r="AA328" s="2">
        <v>0.03</v>
      </c>
      <c r="AB328" s="35">
        <v>61</v>
      </c>
      <c r="AC328" s="2"/>
      <c r="AD328" s="2"/>
      <c r="AE328" s="35"/>
      <c r="AF328" s="35"/>
      <c r="AG328" s="35"/>
      <c r="AH328" s="2"/>
      <c r="AL328" s="2"/>
    </row>
    <row r="329" spans="1:40">
      <c r="A329" s="31" t="s">
        <v>586</v>
      </c>
      <c r="G329">
        <v>32</v>
      </c>
      <c r="I329">
        <v>14</v>
      </c>
      <c r="J329">
        <v>21</v>
      </c>
      <c r="K329">
        <v>32</v>
      </c>
      <c r="L329">
        <v>17</v>
      </c>
      <c r="M329">
        <v>10</v>
      </c>
      <c r="N329">
        <v>15</v>
      </c>
      <c r="Q329">
        <v>15</v>
      </c>
      <c r="V329" s="2"/>
      <c r="W329" s="2"/>
      <c r="X329" s="2"/>
      <c r="Y329" s="2"/>
      <c r="Z329" s="2"/>
      <c r="AA329" s="2">
        <v>0.03</v>
      </c>
      <c r="AB329" s="35">
        <v>61</v>
      </c>
      <c r="AC329" s="2"/>
      <c r="AD329" s="2"/>
      <c r="AE329" s="35"/>
      <c r="AF329" s="35"/>
      <c r="AG329" s="35"/>
      <c r="AH329" s="2"/>
      <c r="AL329" s="2"/>
    </row>
    <row r="330" spans="1:40" s="209" customFormat="1">
      <c r="A330" s="211" t="s">
        <v>796</v>
      </c>
      <c r="G330" s="209">
        <v>37</v>
      </c>
      <c r="I330" s="209">
        <v>19</v>
      </c>
      <c r="J330" s="209">
        <v>26</v>
      </c>
      <c r="K330" s="209">
        <v>37</v>
      </c>
      <c r="L330" s="209">
        <v>22</v>
      </c>
      <c r="M330" s="209">
        <v>15</v>
      </c>
      <c r="N330" s="209">
        <v>46</v>
      </c>
      <c r="Q330" s="209">
        <v>25</v>
      </c>
      <c r="V330" s="210"/>
      <c r="W330" s="210"/>
      <c r="X330" s="210"/>
      <c r="Y330" s="210"/>
      <c r="Z330" s="210"/>
      <c r="AA330" s="210">
        <v>0.04</v>
      </c>
      <c r="AB330" s="212">
        <v>61</v>
      </c>
      <c r="AC330" s="210"/>
      <c r="AD330" s="210"/>
      <c r="AE330" s="212">
        <v>3</v>
      </c>
      <c r="AF330" s="212"/>
      <c r="AG330" s="212"/>
      <c r="AH330" s="210"/>
      <c r="AI330" s="212"/>
      <c r="AJ330" s="212"/>
      <c r="AK330" s="212"/>
      <c r="AL330" s="210"/>
      <c r="AM330" s="212"/>
    </row>
    <row r="331" spans="1:40" s="209" customFormat="1">
      <c r="A331" s="211" t="s">
        <v>736</v>
      </c>
      <c r="G331" s="209">
        <v>33</v>
      </c>
      <c r="H331" s="209">
        <v>10</v>
      </c>
      <c r="I331" s="209">
        <v>16</v>
      </c>
      <c r="J331" s="209">
        <v>32</v>
      </c>
      <c r="K331" s="209">
        <v>29</v>
      </c>
      <c r="L331" s="209">
        <v>15</v>
      </c>
      <c r="M331" s="209">
        <v>10</v>
      </c>
      <c r="N331" s="209">
        <v>25</v>
      </c>
      <c r="O331" s="209">
        <v>40</v>
      </c>
      <c r="R331" s="209">
        <v>15</v>
      </c>
      <c r="V331" s="210"/>
      <c r="W331" s="210">
        <v>0.04</v>
      </c>
      <c r="X331" s="210"/>
      <c r="Y331" s="210"/>
      <c r="Z331" s="210"/>
      <c r="AA331" s="210"/>
      <c r="AB331" s="212">
        <v>60</v>
      </c>
      <c r="AC331" s="210"/>
      <c r="AD331" s="210"/>
      <c r="AE331" s="212">
        <v>4</v>
      </c>
      <c r="AF331" s="212"/>
      <c r="AG331" s="212"/>
      <c r="AH331" s="210"/>
      <c r="AI331" s="212"/>
      <c r="AJ331" s="212"/>
      <c r="AK331" s="212"/>
      <c r="AL331" s="210"/>
      <c r="AM331" s="212"/>
    </row>
    <row r="332" spans="1:40" s="209" customFormat="1">
      <c r="A332" s="211" t="s">
        <v>798</v>
      </c>
      <c r="G332" s="209">
        <v>33</v>
      </c>
      <c r="H332" s="209">
        <v>10</v>
      </c>
      <c r="I332" s="209">
        <v>16</v>
      </c>
      <c r="J332" s="209">
        <v>32</v>
      </c>
      <c r="K332" s="209">
        <v>29</v>
      </c>
      <c r="L332" s="209">
        <v>15</v>
      </c>
      <c r="M332" s="209">
        <v>10</v>
      </c>
      <c r="N332" s="209">
        <v>25</v>
      </c>
      <c r="O332" s="209">
        <v>40</v>
      </c>
      <c r="R332" s="209">
        <v>15</v>
      </c>
      <c r="V332" s="210"/>
      <c r="W332" s="210"/>
      <c r="X332" s="210"/>
      <c r="Y332" s="210"/>
      <c r="Z332" s="210"/>
      <c r="AA332" s="210"/>
      <c r="AB332" s="212">
        <v>60</v>
      </c>
      <c r="AC332" s="210"/>
      <c r="AD332" s="210"/>
      <c r="AE332" s="212">
        <v>4</v>
      </c>
      <c r="AF332" s="212"/>
      <c r="AG332" s="212"/>
      <c r="AH332" s="210">
        <v>0.05</v>
      </c>
      <c r="AI332" s="212"/>
      <c r="AJ332" s="212"/>
      <c r="AK332" s="212"/>
      <c r="AL332" s="210"/>
      <c r="AM332" s="212"/>
    </row>
    <row r="333" spans="1:40" s="209" customFormat="1">
      <c r="A333" s="211" t="s">
        <v>737</v>
      </c>
      <c r="G333" s="209">
        <v>33</v>
      </c>
      <c r="H333" s="209">
        <v>10</v>
      </c>
      <c r="I333" s="209">
        <v>16</v>
      </c>
      <c r="J333" s="209">
        <v>32</v>
      </c>
      <c r="K333" s="209">
        <v>29</v>
      </c>
      <c r="L333" s="209">
        <v>15</v>
      </c>
      <c r="M333" s="209">
        <v>10</v>
      </c>
      <c r="N333" s="209">
        <v>25</v>
      </c>
      <c r="O333" s="209">
        <v>40</v>
      </c>
      <c r="R333" s="209">
        <v>15</v>
      </c>
      <c r="V333" s="210"/>
      <c r="W333" s="210"/>
      <c r="X333" s="210"/>
      <c r="Y333" s="210"/>
      <c r="Z333" s="210"/>
      <c r="AA333" s="210"/>
      <c r="AB333" s="212">
        <v>60</v>
      </c>
      <c r="AC333" s="210"/>
      <c r="AD333" s="210"/>
      <c r="AE333" s="212">
        <v>11</v>
      </c>
      <c r="AF333" s="212"/>
      <c r="AG333" s="212"/>
      <c r="AH333" s="210"/>
      <c r="AI333" s="212"/>
      <c r="AJ333" s="212"/>
      <c r="AK333" s="212"/>
      <c r="AL333" s="210"/>
      <c r="AM333" s="212"/>
    </row>
    <row r="334" spans="1:40" s="209" customFormat="1">
      <c r="A334" s="211" t="s">
        <v>738</v>
      </c>
      <c r="G334" s="209">
        <v>33</v>
      </c>
      <c r="H334" s="209">
        <v>10</v>
      </c>
      <c r="I334" s="209">
        <v>16</v>
      </c>
      <c r="J334" s="209">
        <v>32</v>
      </c>
      <c r="K334" s="209">
        <v>29</v>
      </c>
      <c r="L334" s="209">
        <v>15</v>
      </c>
      <c r="M334" s="209">
        <v>10</v>
      </c>
      <c r="N334" s="209">
        <v>25</v>
      </c>
      <c r="O334" s="209">
        <v>40</v>
      </c>
      <c r="R334" s="209">
        <v>15</v>
      </c>
      <c r="V334" s="210"/>
      <c r="W334" s="210"/>
      <c r="X334" s="210"/>
      <c r="Y334" s="210"/>
      <c r="Z334" s="210"/>
      <c r="AA334" s="210"/>
      <c r="AB334" s="212">
        <v>60</v>
      </c>
      <c r="AC334" s="210">
        <v>0.05</v>
      </c>
      <c r="AD334" s="210"/>
      <c r="AE334" s="212">
        <v>4</v>
      </c>
      <c r="AF334" s="212"/>
      <c r="AG334" s="212"/>
      <c r="AH334" s="210"/>
      <c r="AI334" s="212"/>
      <c r="AJ334" s="212"/>
      <c r="AK334" s="212"/>
      <c r="AL334" s="210"/>
      <c r="AM334" s="212"/>
    </row>
    <row r="335" spans="1:40" s="209" customFormat="1">
      <c r="A335" s="211" t="s">
        <v>739</v>
      </c>
      <c r="G335" s="209">
        <v>33</v>
      </c>
      <c r="H335" s="209">
        <v>10</v>
      </c>
      <c r="I335" s="209">
        <v>16</v>
      </c>
      <c r="J335" s="209">
        <v>32</v>
      </c>
      <c r="K335" s="209">
        <v>29</v>
      </c>
      <c r="L335" s="209">
        <v>15</v>
      </c>
      <c r="M335" s="209">
        <v>10</v>
      </c>
      <c r="N335" s="209">
        <v>25</v>
      </c>
      <c r="O335" s="209">
        <v>40</v>
      </c>
      <c r="R335" s="209">
        <v>15</v>
      </c>
      <c r="V335" s="210"/>
      <c r="W335" s="210"/>
      <c r="X335" s="210"/>
      <c r="Y335" s="210"/>
      <c r="Z335" s="210"/>
      <c r="AA335" s="210"/>
      <c r="AB335" s="212">
        <v>60</v>
      </c>
      <c r="AC335" s="210"/>
      <c r="AD335" s="210">
        <v>0.05</v>
      </c>
      <c r="AE335" s="212">
        <v>4</v>
      </c>
      <c r="AF335" s="212"/>
      <c r="AG335" s="212"/>
      <c r="AH335" s="210"/>
      <c r="AI335" s="212"/>
      <c r="AJ335" s="212"/>
      <c r="AK335" s="212"/>
      <c r="AL335" s="210"/>
      <c r="AM335" s="212"/>
    </row>
    <row r="336" spans="1:40" s="209" customFormat="1">
      <c r="A336" s="211" t="s">
        <v>742</v>
      </c>
      <c r="G336" s="209">
        <v>33</v>
      </c>
      <c r="I336" s="209">
        <v>16</v>
      </c>
      <c r="J336" s="209">
        <v>42</v>
      </c>
      <c r="K336" s="209">
        <v>29</v>
      </c>
      <c r="L336" s="209">
        <v>15</v>
      </c>
      <c r="M336" s="209">
        <v>10</v>
      </c>
      <c r="N336" s="209">
        <v>25</v>
      </c>
      <c r="O336" s="209">
        <v>40</v>
      </c>
      <c r="R336" s="209">
        <v>15</v>
      </c>
      <c r="V336" s="210"/>
      <c r="W336" s="210">
        <v>0.04</v>
      </c>
      <c r="X336" s="210"/>
      <c r="Y336" s="210"/>
      <c r="Z336" s="210"/>
      <c r="AA336" s="210"/>
      <c r="AB336" s="212">
        <v>60</v>
      </c>
      <c r="AC336" s="210"/>
      <c r="AD336" s="210"/>
      <c r="AE336" s="212">
        <v>4</v>
      </c>
      <c r="AF336" s="212"/>
      <c r="AG336" s="212"/>
      <c r="AH336" s="210"/>
      <c r="AI336" s="212"/>
      <c r="AJ336" s="212"/>
      <c r="AK336" s="212"/>
      <c r="AL336" s="210"/>
      <c r="AM336" s="212"/>
    </row>
    <row r="337" spans="1:39" s="209" customFormat="1">
      <c r="A337" s="211" t="s">
        <v>740</v>
      </c>
      <c r="G337" s="209">
        <v>33</v>
      </c>
      <c r="I337" s="209">
        <v>16</v>
      </c>
      <c r="J337" s="209">
        <v>42</v>
      </c>
      <c r="K337" s="209">
        <v>29</v>
      </c>
      <c r="L337" s="209">
        <v>15</v>
      </c>
      <c r="M337" s="209">
        <v>10</v>
      </c>
      <c r="N337" s="209">
        <v>25</v>
      </c>
      <c r="O337" s="209">
        <v>40</v>
      </c>
      <c r="R337" s="209">
        <v>15</v>
      </c>
      <c r="V337" s="210"/>
      <c r="W337" s="210"/>
      <c r="X337" s="210"/>
      <c r="Y337" s="210"/>
      <c r="Z337" s="210"/>
      <c r="AA337" s="210"/>
      <c r="AB337" s="212">
        <v>60</v>
      </c>
      <c r="AC337" s="210">
        <v>0.05</v>
      </c>
      <c r="AD337" s="210"/>
      <c r="AE337" s="212">
        <v>4</v>
      </c>
      <c r="AF337" s="212"/>
      <c r="AG337" s="212"/>
      <c r="AH337" s="210"/>
      <c r="AI337" s="212"/>
      <c r="AJ337" s="212"/>
      <c r="AK337" s="212"/>
      <c r="AL337" s="210"/>
      <c r="AM337" s="212"/>
    </row>
    <row r="338" spans="1:39" s="209" customFormat="1">
      <c r="A338" s="211" t="s">
        <v>741</v>
      </c>
      <c r="G338" s="209">
        <v>33</v>
      </c>
      <c r="I338" s="209">
        <v>16</v>
      </c>
      <c r="J338" s="209">
        <v>42</v>
      </c>
      <c r="K338" s="209">
        <v>29</v>
      </c>
      <c r="L338" s="209">
        <v>15</v>
      </c>
      <c r="M338" s="209">
        <v>10</v>
      </c>
      <c r="N338" s="209">
        <v>25</v>
      </c>
      <c r="O338" s="209">
        <v>40</v>
      </c>
      <c r="R338" s="209">
        <v>15</v>
      </c>
      <c r="V338" s="210"/>
      <c r="W338" s="210"/>
      <c r="X338" s="210"/>
      <c r="Y338" s="210"/>
      <c r="Z338" s="210"/>
      <c r="AA338" s="210"/>
      <c r="AB338" s="212">
        <v>60</v>
      </c>
      <c r="AC338" s="210"/>
      <c r="AD338" s="210">
        <v>0.05</v>
      </c>
      <c r="AE338" s="212">
        <v>4</v>
      </c>
      <c r="AF338" s="212"/>
      <c r="AG338" s="212"/>
      <c r="AH338" s="210"/>
      <c r="AI338" s="212"/>
      <c r="AJ338" s="212"/>
      <c r="AK338" s="212"/>
      <c r="AL338" s="210"/>
      <c r="AM338" s="212"/>
    </row>
    <row r="339" spans="1:39" s="209" customFormat="1">
      <c r="A339" s="211" t="s">
        <v>787</v>
      </c>
      <c r="G339" s="209">
        <v>47</v>
      </c>
      <c r="I339" s="209">
        <v>29</v>
      </c>
      <c r="J339" s="209">
        <v>21</v>
      </c>
      <c r="K339" s="209">
        <v>24</v>
      </c>
      <c r="L339" s="209">
        <v>11</v>
      </c>
      <c r="M339" s="209">
        <v>16</v>
      </c>
      <c r="N339" s="209">
        <v>39</v>
      </c>
      <c r="O339" s="209">
        <v>27</v>
      </c>
      <c r="V339" s="210"/>
      <c r="W339" s="210"/>
      <c r="X339" s="210"/>
      <c r="Y339" s="210"/>
      <c r="Z339" s="210"/>
      <c r="AA339" s="210"/>
      <c r="AB339" s="212">
        <v>91</v>
      </c>
      <c r="AC339" s="210"/>
      <c r="AD339" s="210"/>
      <c r="AE339" s="212"/>
      <c r="AF339" s="212"/>
      <c r="AG339" s="212"/>
      <c r="AH339" s="210">
        <v>0.05</v>
      </c>
      <c r="AI339" s="212"/>
      <c r="AJ339" s="212"/>
      <c r="AK339" s="212"/>
      <c r="AL339" s="210"/>
      <c r="AM339" s="212"/>
    </row>
    <row r="340" spans="1:39">
      <c r="A340" s="31" t="s">
        <v>709</v>
      </c>
      <c r="G340">
        <v>29</v>
      </c>
      <c r="H340">
        <v>35</v>
      </c>
      <c r="I340">
        <v>15</v>
      </c>
      <c r="J340">
        <v>21</v>
      </c>
      <c r="K340">
        <v>30</v>
      </c>
      <c r="L340">
        <v>17</v>
      </c>
      <c r="M340">
        <v>11</v>
      </c>
      <c r="V340" s="2"/>
      <c r="W340" s="2"/>
      <c r="X340" s="2"/>
      <c r="Y340" s="2"/>
      <c r="Z340" s="2"/>
      <c r="AA340" s="2"/>
      <c r="AB340" s="35">
        <v>21</v>
      </c>
      <c r="AC340" s="2">
        <v>0.04</v>
      </c>
      <c r="AD340" s="2"/>
      <c r="AE340" s="35"/>
      <c r="AF340" s="35"/>
      <c r="AG340" s="35"/>
      <c r="AH340" s="2"/>
      <c r="AL340" s="35"/>
    </row>
    <row r="341" spans="1:39" s="209" customFormat="1">
      <c r="A341" s="211" t="s">
        <v>785</v>
      </c>
      <c r="G341" s="209">
        <v>37</v>
      </c>
      <c r="I341" s="209">
        <v>25</v>
      </c>
      <c r="J341" s="209">
        <v>28</v>
      </c>
      <c r="K341" s="209">
        <v>32</v>
      </c>
      <c r="L341" s="209">
        <v>16</v>
      </c>
      <c r="M341" s="209">
        <v>12</v>
      </c>
      <c r="N341" s="209">
        <v>41</v>
      </c>
      <c r="Q341" s="209">
        <v>36</v>
      </c>
      <c r="V341" s="210"/>
      <c r="W341" s="210">
        <v>0.04</v>
      </c>
      <c r="X341" s="210"/>
      <c r="Y341" s="210"/>
      <c r="Z341" s="210"/>
      <c r="AA341" s="210"/>
      <c r="AB341" s="212">
        <v>91</v>
      </c>
      <c r="AC341" s="210">
        <v>0.05</v>
      </c>
      <c r="AD341" s="210"/>
      <c r="AE341" s="212"/>
      <c r="AF341" s="212"/>
      <c r="AG341" s="212"/>
      <c r="AH341" s="210"/>
      <c r="AI341" s="212"/>
      <c r="AJ341" s="212"/>
      <c r="AK341" s="212"/>
      <c r="AL341" s="212"/>
      <c r="AM341" s="212"/>
    </row>
    <row r="342" spans="1:39" s="209" customFormat="1">
      <c r="A342" s="211" t="s">
        <v>786</v>
      </c>
      <c r="G342" s="209">
        <v>37</v>
      </c>
      <c r="H342" s="209">
        <v>5</v>
      </c>
      <c r="I342" s="209">
        <v>25</v>
      </c>
      <c r="J342" s="209">
        <v>33</v>
      </c>
      <c r="K342" s="209">
        <v>32</v>
      </c>
      <c r="L342" s="209">
        <v>16</v>
      </c>
      <c r="M342" s="209">
        <v>12</v>
      </c>
      <c r="N342" s="209">
        <v>51</v>
      </c>
      <c r="Q342" s="209">
        <v>46</v>
      </c>
      <c r="V342" s="210"/>
      <c r="W342" s="210">
        <v>0.05</v>
      </c>
      <c r="X342" s="210"/>
      <c r="Y342" s="210"/>
      <c r="Z342" s="210"/>
      <c r="AA342" s="210"/>
      <c r="AB342" s="212">
        <v>91</v>
      </c>
      <c r="AC342" s="210">
        <v>7.0000000000000007E-2</v>
      </c>
      <c r="AD342" s="210"/>
      <c r="AE342" s="212"/>
      <c r="AF342" s="212"/>
      <c r="AG342" s="212"/>
      <c r="AH342" s="210"/>
      <c r="AI342" s="212"/>
      <c r="AJ342" s="212"/>
      <c r="AK342" s="212"/>
      <c r="AL342" s="212"/>
      <c r="AM342" s="212"/>
    </row>
    <row r="343" spans="1:39">
      <c r="A343" s="31" t="s">
        <v>600</v>
      </c>
      <c r="G343" s="35">
        <v>20</v>
      </c>
      <c r="I343">
        <v>8</v>
      </c>
      <c r="J343">
        <v>18</v>
      </c>
      <c r="K343">
        <v>20</v>
      </c>
      <c r="L343">
        <v>11</v>
      </c>
      <c r="M343">
        <v>6</v>
      </c>
      <c r="V343" s="2"/>
      <c r="W343" s="2"/>
      <c r="X343" s="2"/>
      <c r="Y343" s="2"/>
      <c r="Z343" s="2"/>
      <c r="AA343" s="2">
        <v>7.0000000000000007E-2</v>
      </c>
      <c r="AB343" s="35">
        <v>61</v>
      </c>
      <c r="AC343" s="2"/>
      <c r="AD343" s="2"/>
      <c r="AE343" s="35"/>
      <c r="AF343" s="2"/>
      <c r="AG343" s="2"/>
      <c r="AH343" s="2"/>
      <c r="AL343" s="2"/>
    </row>
    <row r="344" spans="1:39">
      <c r="A344" s="31" t="s">
        <v>601</v>
      </c>
      <c r="G344" s="35">
        <v>32</v>
      </c>
      <c r="I344">
        <v>14</v>
      </c>
      <c r="J344">
        <v>26</v>
      </c>
      <c r="K344">
        <v>32</v>
      </c>
      <c r="L344">
        <v>17</v>
      </c>
      <c r="M344">
        <v>10</v>
      </c>
      <c r="V344" s="2"/>
      <c r="W344" s="2"/>
      <c r="X344" s="2"/>
      <c r="Y344" s="2"/>
      <c r="Z344" s="2"/>
      <c r="AA344" s="2">
        <v>0.08</v>
      </c>
      <c r="AB344" s="35">
        <v>61</v>
      </c>
      <c r="AC344" s="2"/>
      <c r="AD344" s="2"/>
      <c r="AE344" s="35"/>
      <c r="AF344" s="2"/>
      <c r="AG344" s="2"/>
      <c r="AH344" s="2"/>
      <c r="AL344" s="2"/>
    </row>
    <row r="345" spans="1:39" s="209" customFormat="1">
      <c r="A345" s="211" t="s">
        <v>788</v>
      </c>
      <c r="G345" s="212">
        <v>33</v>
      </c>
      <c r="H345" s="209">
        <v>7</v>
      </c>
      <c r="I345" s="209">
        <v>16</v>
      </c>
      <c r="J345" s="209">
        <v>41</v>
      </c>
      <c r="K345" s="209">
        <v>29</v>
      </c>
      <c r="L345" s="209">
        <v>15</v>
      </c>
      <c r="M345" s="209">
        <v>12</v>
      </c>
      <c r="N345" s="209">
        <v>39</v>
      </c>
      <c r="Q345" s="209">
        <v>39</v>
      </c>
      <c r="S345" s="209">
        <v>39</v>
      </c>
      <c r="V345" s="210"/>
      <c r="W345" s="210"/>
      <c r="X345" s="210"/>
      <c r="Y345" s="210"/>
      <c r="Z345" s="210"/>
      <c r="AA345" s="210"/>
      <c r="AB345" s="212">
        <v>51</v>
      </c>
      <c r="AC345" s="210">
        <v>0.06</v>
      </c>
      <c r="AD345" s="210"/>
      <c r="AE345" s="212"/>
      <c r="AF345" s="210"/>
      <c r="AG345" s="210"/>
      <c r="AH345" s="210"/>
      <c r="AI345" s="212"/>
      <c r="AJ345" s="212"/>
      <c r="AK345" s="212"/>
      <c r="AL345" s="210"/>
      <c r="AM345" s="212"/>
    </row>
    <row r="346" spans="1:39" s="209" customFormat="1">
      <c r="A346" s="211" t="s">
        <v>807</v>
      </c>
      <c r="G346" s="212">
        <v>33</v>
      </c>
      <c r="H346" s="209">
        <v>11</v>
      </c>
      <c r="I346" s="209">
        <v>16</v>
      </c>
      <c r="J346" s="209">
        <v>45</v>
      </c>
      <c r="K346" s="209">
        <v>29</v>
      </c>
      <c r="L346" s="209">
        <v>15</v>
      </c>
      <c r="M346" s="209">
        <v>12</v>
      </c>
      <c r="N346" s="209">
        <v>45</v>
      </c>
      <c r="Q346" s="209">
        <v>45</v>
      </c>
      <c r="S346" s="209">
        <v>45</v>
      </c>
      <c r="V346" s="210"/>
      <c r="W346" s="210"/>
      <c r="X346" s="210"/>
      <c r="Y346" s="210"/>
      <c r="Z346" s="210"/>
      <c r="AA346" s="210"/>
      <c r="AB346" s="212">
        <v>51</v>
      </c>
      <c r="AC346" s="210">
        <v>7.0000000000000007E-2</v>
      </c>
      <c r="AD346" s="210"/>
      <c r="AE346" s="212"/>
      <c r="AF346" s="210"/>
      <c r="AG346" s="210"/>
      <c r="AH346" s="210"/>
      <c r="AI346" s="212"/>
      <c r="AJ346" s="212"/>
      <c r="AK346" s="212"/>
      <c r="AL346" s="210"/>
      <c r="AM346" s="212"/>
    </row>
    <row r="347" spans="1:39" s="31" customFormat="1">
      <c r="A347" s="31" t="s">
        <v>703</v>
      </c>
      <c r="G347" s="31">
        <v>48</v>
      </c>
      <c r="H347" s="31">
        <v>16</v>
      </c>
      <c r="I347" s="31">
        <v>15</v>
      </c>
      <c r="J347" s="31">
        <v>30</v>
      </c>
      <c r="K347" s="31">
        <v>28</v>
      </c>
      <c r="L347" s="31">
        <v>16</v>
      </c>
      <c r="M347" s="31">
        <v>8</v>
      </c>
      <c r="N347" s="31">
        <v>15</v>
      </c>
      <c r="Q347" s="31">
        <v>15</v>
      </c>
      <c r="V347" s="12">
        <v>0.03</v>
      </c>
      <c r="W347" s="12">
        <v>0.03</v>
      </c>
      <c r="X347" s="12"/>
      <c r="Y347" s="12"/>
      <c r="Z347" s="12"/>
      <c r="AA347" s="12"/>
      <c r="AB347" s="50">
        <v>61</v>
      </c>
      <c r="AC347" s="12"/>
      <c r="AD347" s="12"/>
      <c r="AE347" s="50">
        <v>7</v>
      </c>
      <c r="AF347" s="50"/>
      <c r="AG347" s="12"/>
      <c r="AH347" s="12"/>
      <c r="AI347" s="50"/>
      <c r="AJ347" s="50"/>
      <c r="AK347" s="50"/>
      <c r="AL347" s="50"/>
      <c r="AM347" s="50"/>
    </row>
    <row r="348" spans="1:39">
      <c r="A348" t="s">
        <v>689</v>
      </c>
      <c r="G348">
        <v>40</v>
      </c>
      <c r="H348">
        <v>10</v>
      </c>
      <c r="I348">
        <v>16</v>
      </c>
      <c r="J348">
        <v>24</v>
      </c>
      <c r="K348">
        <v>37</v>
      </c>
      <c r="L348">
        <v>17</v>
      </c>
      <c r="M348">
        <v>11</v>
      </c>
      <c r="V348" s="2"/>
      <c r="W348" s="2"/>
      <c r="X348" s="2"/>
      <c r="Y348" s="2"/>
      <c r="Z348" s="2"/>
      <c r="AA348" s="2"/>
      <c r="AB348" s="35">
        <v>60</v>
      </c>
      <c r="AC348" s="2"/>
      <c r="AD348" s="2"/>
      <c r="AE348" s="35"/>
      <c r="AF348" s="35"/>
      <c r="AG348" s="35"/>
      <c r="AH348" s="2"/>
      <c r="AL348" s="35"/>
    </row>
    <row r="349" spans="1:39">
      <c r="A349" t="s">
        <v>687</v>
      </c>
      <c r="G349">
        <v>27</v>
      </c>
      <c r="I349">
        <v>14</v>
      </c>
      <c r="J349">
        <v>18</v>
      </c>
      <c r="K349">
        <v>28</v>
      </c>
      <c r="L349">
        <v>15</v>
      </c>
      <c r="M349">
        <v>9</v>
      </c>
      <c r="N349">
        <v>27</v>
      </c>
      <c r="O349">
        <v>20</v>
      </c>
      <c r="Q349">
        <v>7</v>
      </c>
      <c r="V349" s="2"/>
      <c r="W349" s="2"/>
      <c r="X349" s="2"/>
      <c r="Y349" s="2"/>
      <c r="Z349" s="2"/>
      <c r="AA349" s="2"/>
      <c r="AB349" s="35">
        <v>60</v>
      </c>
      <c r="AC349" s="2">
        <v>0.03</v>
      </c>
      <c r="AD349" s="2">
        <v>0.03</v>
      </c>
      <c r="AE349" s="35"/>
      <c r="AF349" s="35"/>
      <c r="AG349" s="35"/>
      <c r="AH349" s="2"/>
      <c r="AL349" s="35"/>
    </row>
    <row r="350" spans="1:39">
      <c r="A350" t="s">
        <v>688</v>
      </c>
      <c r="G350">
        <v>34</v>
      </c>
      <c r="H350">
        <v>7</v>
      </c>
      <c r="I350">
        <v>14</v>
      </c>
      <c r="J350">
        <v>18</v>
      </c>
      <c r="K350">
        <v>28</v>
      </c>
      <c r="L350">
        <v>15</v>
      </c>
      <c r="M350">
        <v>9</v>
      </c>
      <c r="N350">
        <v>27</v>
      </c>
      <c r="O350">
        <v>20</v>
      </c>
      <c r="Q350">
        <v>7</v>
      </c>
      <c r="V350" s="2"/>
      <c r="W350" s="2">
        <v>0.04</v>
      </c>
      <c r="X350" s="2"/>
      <c r="Y350" s="2"/>
      <c r="Z350" s="2"/>
      <c r="AA350" s="2"/>
      <c r="AB350" s="35">
        <v>60</v>
      </c>
      <c r="AC350" s="2"/>
      <c r="AD350" s="2"/>
      <c r="AE350" s="35"/>
      <c r="AF350" s="35"/>
      <c r="AG350" s="35"/>
      <c r="AH350" s="2"/>
      <c r="AL350" s="35"/>
    </row>
    <row r="351" spans="1:39">
      <c r="A351" t="s">
        <v>704</v>
      </c>
      <c r="G351">
        <v>29</v>
      </c>
      <c r="I351">
        <v>16</v>
      </c>
      <c r="J351">
        <v>20</v>
      </c>
      <c r="K351">
        <v>30</v>
      </c>
      <c r="L351">
        <v>17</v>
      </c>
      <c r="M351">
        <v>11</v>
      </c>
      <c r="N351">
        <v>15</v>
      </c>
      <c r="O351">
        <v>15</v>
      </c>
      <c r="V351" s="2"/>
      <c r="W351" s="2">
        <v>0.03</v>
      </c>
      <c r="X351" s="2"/>
      <c r="Y351" s="2"/>
      <c r="Z351" s="2"/>
      <c r="AA351" s="2"/>
      <c r="AB351" s="35">
        <v>61</v>
      </c>
      <c r="AC351" s="2">
        <v>0.05</v>
      </c>
      <c r="AD351" s="2"/>
      <c r="AE351" s="35"/>
      <c r="AF351" s="2"/>
      <c r="AG351" s="35"/>
      <c r="AH351" s="2"/>
      <c r="AL351" s="2"/>
    </row>
    <row r="352" spans="1:39">
      <c r="AC352" s="2"/>
      <c r="AD352" s="2"/>
      <c r="AH352" s="2"/>
    </row>
    <row r="354" spans="1:41">
      <c r="A354" t="s">
        <v>23</v>
      </c>
      <c r="B354" t="s">
        <v>30</v>
      </c>
      <c r="C354" t="s">
        <v>529</v>
      </c>
      <c r="D354" t="s">
        <v>657</v>
      </c>
      <c r="E354" t="s">
        <v>499</v>
      </c>
      <c r="F354" s="31" t="s">
        <v>524</v>
      </c>
      <c r="G354" t="s">
        <v>3</v>
      </c>
      <c r="H354" t="s">
        <v>4</v>
      </c>
      <c r="I354" t="s">
        <v>5</v>
      </c>
      <c r="J354" t="s">
        <v>42</v>
      </c>
      <c r="K354" t="s">
        <v>221</v>
      </c>
      <c r="L354" t="s">
        <v>222</v>
      </c>
      <c r="M354" t="s">
        <v>223</v>
      </c>
      <c r="N354" t="s">
        <v>10</v>
      </c>
      <c r="O354" t="s">
        <v>9</v>
      </c>
      <c r="P354" t="s">
        <v>494</v>
      </c>
      <c r="Q354" t="s">
        <v>643</v>
      </c>
      <c r="R354" t="s">
        <v>644</v>
      </c>
      <c r="S354" t="s">
        <v>645</v>
      </c>
      <c r="T354" s="35" t="s">
        <v>646</v>
      </c>
      <c r="U354" s="148" t="s">
        <v>647</v>
      </c>
      <c r="V354" t="s">
        <v>12</v>
      </c>
      <c r="W354" t="s">
        <v>164</v>
      </c>
      <c r="X354" t="s">
        <v>360</v>
      </c>
      <c r="Y354" t="s">
        <v>495</v>
      </c>
      <c r="Z354" t="s">
        <v>496</v>
      </c>
      <c r="AA354" t="s">
        <v>131</v>
      </c>
      <c r="AB354" t="s">
        <v>11</v>
      </c>
      <c r="AC354" t="s">
        <v>127</v>
      </c>
      <c r="AD354" t="s">
        <v>126</v>
      </c>
      <c r="AE354" t="s">
        <v>13</v>
      </c>
      <c r="AF354" t="s">
        <v>124</v>
      </c>
      <c r="AG354" t="s">
        <v>302</v>
      </c>
      <c r="AH354" t="s">
        <v>175</v>
      </c>
      <c r="AI354" s="35" t="s">
        <v>473</v>
      </c>
      <c r="AJ354" s="35" t="s">
        <v>474</v>
      </c>
      <c r="AK354" s="148" t="s">
        <v>449</v>
      </c>
      <c r="AL354" t="s">
        <v>354</v>
      </c>
      <c r="AM354" s="148" t="s">
        <v>654</v>
      </c>
    </row>
    <row r="355" spans="1:41">
      <c r="A355" s="211" t="s">
        <v>715</v>
      </c>
      <c r="B355" s="209"/>
      <c r="C355" s="209"/>
      <c r="D355" s="209"/>
      <c r="E355" s="209"/>
      <c r="F355" s="209"/>
      <c r="G355" s="209">
        <v>15</v>
      </c>
      <c r="H355" s="209">
        <v>35</v>
      </c>
      <c r="I355" s="209">
        <v>8</v>
      </c>
      <c r="J355" s="209">
        <v>54</v>
      </c>
      <c r="K355" s="209"/>
      <c r="L355" s="209">
        <v>11</v>
      </c>
      <c r="M355" s="209">
        <v>25</v>
      </c>
      <c r="N355" s="209">
        <v>20</v>
      </c>
      <c r="O355" s="209">
        <v>34</v>
      </c>
      <c r="P355" s="209"/>
      <c r="Q355" s="209"/>
      <c r="R355" s="209">
        <v>34</v>
      </c>
      <c r="S355" s="210"/>
      <c r="T355" s="212"/>
      <c r="U355" s="212"/>
      <c r="V355" s="210"/>
      <c r="W355" s="210"/>
      <c r="X355" s="210"/>
      <c r="Y355" s="210"/>
      <c r="Z355" s="210"/>
      <c r="AA355" s="210"/>
      <c r="AB355" s="212">
        <v>40</v>
      </c>
      <c r="AC355" s="210">
        <v>0.04</v>
      </c>
      <c r="AD355" s="210"/>
      <c r="AE355" s="212"/>
      <c r="AF355" s="210"/>
      <c r="AG355" s="210"/>
      <c r="AH355" s="210"/>
      <c r="AI355" s="209"/>
      <c r="AJ355" s="209"/>
      <c r="AK355" s="209"/>
      <c r="AL355" s="212"/>
      <c r="AM355" s="209"/>
      <c r="AN355" s="209"/>
      <c r="AO355" s="35"/>
    </row>
    <row r="356" spans="1:41" s="206" customFormat="1">
      <c r="A356" s="211" t="s">
        <v>717</v>
      </c>
      <c r="B356" s="209"/>
      <c r="C356" s="209"/>
      <c r="D356" s="209"/>
      <c r="E356" s="209"/>
      <c r="F356" s="209"/>
      <c r="G356" s="209">
        <v>15</v>
      </c>
      <c r="H356" s="209">
        <v>33</v>
      </c>
      <c r="I356" s="209">
        <v>8</v>
      </c>
      <c r="J356" s="209">
        <v>52</v>
      </c>
      <c r="K356" s="209"/>
      <c r="L356" s="209">
        <v>11</v>
      </c>
      <c r="M356" s="209">
        <v>25</v>
      </c>
      <c r="N356" s="209">
        <v>15</v>
      </c>
      <c r="O356" s="209">
        <v>24</v>
      </c>
      <c r="P356" s="209"/>
      <c r="Q356" s="209"/>
      <c r="R356" s="209">
        <v>24</v>
      </c>
      <c r="S356" s="210"/>
      <c r="T356" s="212"/>
      <c r="U356" s="212"/>
      <c r="V356" s="210"/>
      <c r="W356" s="210"/>
      <c r="X356" s="210"/>
      <c r="Y356" s="210"/>
      <c r="Z356" s="210"/>
      <c r="AA356" s="210"/>
      <c r="AB356" s="212">
        <v>40</v>
      </c>
      <c r="AC356" s="210">
        <v>0.03</v>
      </c>
      <c r="AD356" s="210"/>
      <c r="AE356" s="212"/>
      <c r="AF356" s="210"/>
      <c r="AG356" s="210"/>
      <c r="AH356" s="210"/>
      <c r="AI356" s="209"/>
      <c r="AJ356" s="209"/>
      <c r="AK356" s="209"/>
      <c r="AL356" s="212"/>
      <c r="AM356" s="209"/>
      <c r="AN356" s="209"/>
      <c r="AO356" s="208"/>
    </row>
    <row r="357" spans="1:41">
      <c r="A357" s="211" t="s">
        <v>718</v>
      </c>
      <c r="B357" s="209"/>
      <c r="C357" s="209"/>
      <c r="D357" s="209"/>
      <c r="E357" s="209"/>
      <c r="F357" s="209"/>
      <c r="G357" s="209">
        <v>25</v>
      </c>
      <c r="H357" s="209">
        <v>33</v>
      </c>
      <c r="I357" s="209">
        <v>8</v>
      </c>
      <c r="J357" s="209">
        <v>42</v>
      </c>
      <c r="K357" s="209"/>
      <c r="L357" s="209">
        <v>11</v>
      </c>
      <c r="M357" s="209">
        <v>25</v>
      </c>
      <c r="N357" s="209"/>
      <c r="O357" s="209">
        <v>39</v>
      </c>
      <c r="P357" s="209"/>
      <c r="Q357" s="209"/>
      <c r="R357" s="209">
        <v>24</v>
      </c>
      <c r="S357" s="210"/>
      <c r="T357" s="212"/>
      <c r="U357" s="212"/>
      <c r="V357" s="210"/>
      <c r="W357" s="210"/>
      <c r="X357" s="210"/>
      <c r="Y357" s="210"/>
      <c r="Z357" s="210"/>
      <c r="AA357" s="210"/>
      <c r="AB357" s="212">
        <v>40</v>
      </c>
      <c r="AC357" s="210">
        <v>0.03</v>
      </c>
      <c r="AD357" s="210"/>
      <c r="AE357" s="212"/>
      <c r="AF357" s="210"/>
      <c r="AG357" s="210"/>
      <c r="AH357" s="210"/>
      <c r="AI357" s="209"/>
      <c r="AJ357" s="209"/>
      <c r="AK357" s="209"/>
      <c r="AL357" s="212"/>
      <c r="AM357" s="209"/>
      <c r="AN357" s="209"/>
      <c r="AO357" s="35"/>
    </row>
    <row r="358" spans="1:41" s="206" customFormat="1">
      <c r="A358" s="211" t="s">
        <v>716</v>
      </c>
      <c r="B358" s="209"/>
      <c r="C358" s="209"/>
      <c r="D358" s="209"/>
      <c r="E358" s="209"/>
      <c r="F358" s="209"/>
      <c r="G358" s="209">
        <v>27</v>
      </c>
      <c r="H358" s="209">
        <v>35</v>
      </c>
      <c r="I358" s="209">
        <v>8</v>
      </c>
      <c r="J358" s="209">
        <v>42</v>
      </c>
      <c r="K358" s="209"/>
      <c r="L358" s="209">
        <v>11</v>
      </c>
      <c r="M358" s="209">
        <v>25</v>
      </c>
      <c r="N358" s="209"/>
      <c r="O358" s="209">
        <v>54</v>
      </c>
      <c r="P358" s="209"/>
      <c r="Q358" s="209"/>
      <c r="R358" s="209">
        <v>34</v>
      </c>
      <c r="S358" s="210"/>
      <c r="T358" s="212"/>
      <c r="U358" s="212"/>
      <c r="V358" s="210"/>
      <c r="W358" s="210"/>
      <c r="X358" s="210"/>
      <c r="Y358" s="210"/>
      <c r="Z358" s="210"/>
      <c r="AA358" s="210"/>
      <c r="AB358" s="212">
        <v>40</v>
      </c>
      <c r="AC358" s="210">
        <v>0.04</v>
      </c>
      <c r="AD358" s="210"/>
      <c r="AE358" s="212"/>
      <c r="AF358" s="210"/>
      <c r="AG358" s="210"/>
      <c r="AH358" s="210"/>
      <c r="AI358" s="209"/>
      <c r="AJ358" s="209"/>
      <c r="AK358" s="209"/>
      <c r="AL358" s="212"/>
      <c r="AM358" s="209"/>
      <c r="AN358" s="209"/>
      <c r="AO358" s="208"/>
    </row>
    <row r="359" spans="1:41" s="206" customFormat="1">
      <c r="A359" s="211" t="s">
        <v>735</v>
      </c>
      <c r="B359" s="209"/>
      <c r="C359" s="209"/>
      <c r="D359" s="209"/>
      <c r="E359" s="209"/>
      <c r="F359" s="209"/>
      <c r="G359" s="209">
        <v>15</v>
      </c>
      <c r="H359" s="209">
        <v>25</v>
      </c>
      <c r="I359" s="209">
        <v>8</v>
      </c>
      <c r="J359" s="209">
        <v>42</v>
      </c>
      <c r="K359" s="209"/>
      <c r="L359" s="209">
        <v>11</v>
      </c>
      <c r="M359" s="209">
        <v>25</v>
      </c>
      <c r="N359" s="209"/>
      <c r="O359" s="209">
        <v>34</v>
      </c>
      <c r="P359" s="209"/>
      <c r="Q359" s="209"/>
      <c r="R359" s="209">
        <v>34</v>
      </c>
      <c r="S359" s="210"/>
      <c r="T359" s="212"/>
      <c r="U359" s="212"/>
      <c r="V359" s="210"/>
      <c r="W359" s="210"/>
      <c r="X359" s="210"/>
      <c r="Y359" s="210"/>
      <c r="Z359" s="210"/>
      <c r="AA359" s="210"/>
      <c r="AB359" s="212">
        <v>40</v>
      </c>
      <c r="AC359" s="210">
        <v>0.04</v>
      </c>
      <c r="AD359" s="210"/>
      <c r="AE359" s="212">
        <v>6</v>
      </c>
      <c r="AF359" s="210"/>
      <c r="AG359" s="210"/>
      <c r="AH359" s="210"/>
      <c r="AI359" s="209"/>
      <c r="AJ359" s="209"/>
      <c r="AK359" s="209"/>
      <c r="AL359" s="212"/>
      <c r="AM359" s="209"/>
      <c r="AN359" s="209"/>
      <c r="AO359" s="208"/>
    </row>
    <row r="360" spans="1:41">
      <c r="A360" s="31" t="s">
        <v>555</v>
      </c>
      <c r="G360">
        <v>8</v>
      </c>
      <c r="H360">
        <v>9</v>
      </c>
      <c r="I360">
        <v>7</v>
      </c>
      <c r="J360">
        <v>21</v>
      </c>
      <c r="K360">
        <v>10</v>
      </c>
      <c r="L360">
        <v>8</v>
      </c>
      <c r="M360">
        <v>18</v>
      </c>
      <c r="V360" s="2"/>
      <c r="W360" s="2"/>
      <c r="X360" s="2"/>
      <c r="Y360" s="2"/>
      <c r="Z360" s="2"/>
      <c r="AA360" s="2"/>
      <c r="AB360" s="35">
        <v>40</v>
      </c>
      <c r="AC360" s="2"/>
      <c r="AD360" s="2"/>
      <c r="AE360" s="35"/>
      <c r="AF360" s="35"/>
      <c r="AG360" s="35"/>
      <c r="AH360" s="2"/>
      <c r="AL360" s="2"/>
    </row>
    <row r="361" spans="1:41">
      <c r="A361" s="31" t="s">
        <v>586</v>
      </c>
      <c r="G361">
        <v>14</v>
      </c>
      <c r="H361">
        <v>15</v>
      </c>
      <c r="I361">
        <v>11</v>
      </c>
      <c r="J361">
        <v>34</v>
      </c>
      <c r="K361">
        <v>10</v>
      </c>
      <c r="L361">
        <v>12</v>
      </c>
      <c r="M361">
        <v>29</v>
      </c>
      <c r="V361" s="2"/>
      <c r="W361" s="2"/>
      <c r="X361" s="2"/>
      <c r="Y361" s="2"/>
      <c r="Z361" s="2"/>
      <c r="AA361" s="2"/>
      <c r="AB361" s="35">
        <v>40</v>
      </c>
      <c r="AC361" s="2"/>
      <c r="AD361" s="2"/>
      <c r="AE361" s="35"/>
      <c r="AF361" s="35"/>
      <c r="AG361" s="35"/>
      <c r="AH361" s="2"/>
      <c r="AL361" s="2"/>
    </row>
    <row r="362" spans="1:41" s="209" customFormat="1">
      <c r="A362" s="211" t="s">
        <v>736</v>
      </c>
      <c r="G362" s="209">
        <v>16</v>
      </c>
      <c r="H362" s="209">
        <v>34</v>
      </c>
      <c r="I362" s="209">
        <v>10</v>
      </c>
      <c r="J362" s="209">
        <v>43</v>
      </c>
      <c r="L362" s="209">
        <v>11</v>
      </c>
      <c r="M362" s="209">
        <v>26</v>
      </c>
      <c r="N362" s="209">
        <v>35</v>
      </c>
      <c r="O362" s="209">
        <v>35</v>
      </c>
      <c r="Q362" s="209">
        <v>10</v>
      </c>
      <c r="R362" s="209">
        <v>10</v>
      </c>
      <c r="S362" s="209">
        <v>10</v>
      </c>
      <c r="T362" s="209">
        <v>10</v>
      </c>
      <c r="V362" s="210"/>
      <c r="W362" s="210">
        <v>0.06</v>
      </c>
      <c r="X362" s="210"/>
      <c r="Y362" s="210"/>
      <c r="Z362" s="210"/>
      <c r="AA362" s="210"/>
      <c r="AB362" s="212">
        <v>40</v>
      </c>
      <c r="AC362" s="210"/>
      <c r="AD362" s="210"/>
      <c r="AE362" s="212"/>
      <c r="AF362" s="212"/>
      <c r="AG362" s="212"/>
      <c r="AH362" s="210"/>
      <c r="AI362" s="212"/>
      <c r="AJ362" s="212"/>
      <c r="AK362" s="212"/>
      <c r="AL362" s="210"/>
      <c r="AM362" s="212"/>
    </row>
    <row r="363" spans="1:41" s="209" customFormat="1">
      <c r="A363" s="211" t="s">
        <v>799</v>
      </c>
      <c r="G363" s="209">
        <v>16</v>
      </c>
      <c r="H363" s="209">
        <v>34</v>
      </c>
      <c r="I363" s="209">
        <v>10</v>
      </c>
      <c r="J363" s="209">
        <v>43</v>
      </c>
      <c r="L363" s="209">
        <v>11</v>
      </c>
      <c r="M363" s="209">
        <v>26</v>
      </c>
      <c r="N363" s="209">
        <v>35</v>
      </c>
      <c r="O363" s="209">
        <v>35</v>
      </c>
      <c r="Q363" s="209">
        <v>10</v>
      </c>
      <c r="R363" s="209">
        <v>10</v>
      </c>
      <c r="S363" s="209">
        <v>10</v>
      </c>
      <c r="T363" s="209">
        <v>10</v>
      </c>
      <c r="V363" s="210"/>
      <c r="W363" s="210">
        <v>0.02</v>
      </c>
      <c r="X363" s="210"/>
      <c r="Y363" s="210"/>
      <c r="Z363" s="210"/>
      <c r="AA363" s="210"/>
      <c r="AB363" s="212">
        <v>40</v>
      </c>
      <c r="AC363" s="210"/>
      <c r="AD363" s="210"/>
      <c r="AE363" s="212"/>
      <c r="AF363" s="212"/>
      <c r="AG363" s="212"/>
      <c r="AH363" s="210">
        <v>0.05</v>
      </c>
      <c r="AI363" s="212"/>
      <c r="AJ363" s="212"/>
      <c r="AK363" s="212"/>
      <c r="AL363" s="210"/>
      <c r="AM363" s="212"/>
    </row>
    <row r="364" spans="1:41" s="209" customFormat="1">
      <c r="A364" s="211" t="s">
        <v>737</v>
      </c>
      <c r="G364" s="209">
        <v>16</v>
      </c>
      <c r="H364" s="209">
        <v>34</v>
      </c>
      <c r="I364" s="209">
        <v>10</v>
      </c>
      <c r="J364" s="209">
        <v>43</v>
      </c>
      <c r="L364" s="209">
        <v>11</v>
      </c>
      <c r="M364" s="209">
        <v>26</v>
      </c>
      <c r="N364" s="209">
        <v>35</v>
      </c>
      <c r="O364" s="209">
        <v>35</v>
      </c>
      <c r="Q364" s="209">
        <v>10</v>
      </c>
      <c r="R364" s="209">
        <v>10</v>
      </c>
      <c r="S364" s="209">
        <v>10</v>
      </c>
      <c r="T364" s="209">
        <v>10</v>
      </c>
      <c r="V364" s="210"/>
      <c r="W364" s="210">
        <v>0.02</v>
      </c>
      <c r="X364" s="210"/>
      <c r="Y364" s="210"/>
      <c r="Z364" s="210"/>
      <c r="AA364" s="210"/>
      <c r="AB364" s="212">
        <v>40</v>
      </c>
      <c r="AC364" s="210"/>
      <c r="AD364" s="210"/>
      <c r="AE364" s="212">
        <v>7</v>
      </c>
      <c r="AF364" s="212"/>
      <c r="AG364" s="212"/>
      <c r="AH364" s="210"/>
      <c r="AI364" s="212"/>
      <c r="AJ364" s="212"/>
      <c r="AK364" s="212"/>
      <c r="AL364" s="210"/>
      <c r="AM364" s="212"/>
    </row>
    <row r="365" spans="1:41" s="209" customFormat="1">
      <c r="A365" s="211" t="s">
        <v>738</v>
      </c>
      <c r="G365" s="209">
        <v>16</v>
      </c>
      <c r="H365" s="209">
        <v>34</v>
      </c>
      <c r="I365" s="209">
        <v>10</v>
      </c>
      <c r="J365" s="209">
        <v>43</v>
      </c>
      <c r="L365" s="209">
        <v>11</v>
      </c>
      <c r="M365" s="209">
        <v>26</v>
      </c>
      <c r="N365" s="209">
        <v>35</v>
      </c>
      <c r="O365" s="209">
        <v>35</v>
      </c>
      <c r="Q365" s="209">
        <v>10</v>
      </c>
      <c r="R365" s="209">
        <v>10</v>
      </c>
      <c r="S365" s="209">
        <v>10</v>
      </c>
      <c r="T365" s="209">
        <v>10</v>
      </c>
      <c r="V365" s="210"/>
      <c r="W365" s="210">
        <v>0.02</v>
      </c>
      <c r="X365" s="210"/>
      <c r="Y365" s="210"/>
      <c r="Z365" s="210"/>
      <c r="AA365" s="210"/>
      <c r="AB365" s="212">
        <v>40</v>
      </c>
      <c r="AC365" s="210">
        <v>0.05</v>
      </c>
      <c r="AD365" s="210"/>
      <c r="AE365" s="212"/>
      <c r="AF365" s="212"/>
      <c r="AG365" s="212"/>
      <c r="AH365" s="210"/>
      <c r="AI365" s="212"/>
      <c r="AJ365" s="212"/>
      <c r="AK365" s="212"/>
      <c r="AL365" s="210"/>
      <c r="AM365" s="212"/>
    </row>
    <row r="366" spans="1:41" s="209" customFormat="1">
      <c r="A366" s="211" t="s">
        <v>739</v>
      </c>
      <c r="G366" s="209">
        <v>16</v>
      </c>
      <c r="H366" s="209">
        <v>34</v>
      </c>
      <c r="I366" s="209">
        <v>10</v>
      </c>
      <c r="J366" s="209">
        <v>43</v>
      </c>
      <c r="L366" s="209">
        <v>11</v>
      </c>
      <c r="M366" s="209">
        <v>26</v>
      </c>
      <c r="N366" s="209">
        <v>35</v>
      </c>
      <c r="O366" s="209">
        <v>35</v>
      </c>
      <c r="Q366" s="209">
        <v>10</v>
      </c>
      <c r="R366" s="209">
        <v>10</v>
      </c>
      <c r="S366" s="209">
        <v>10</v>
      </c>
      <c r="T366" s="209">
        <v>10</v>
      </c>
      <c r="V366" s="210"/>
      <c r="W366" s="210">
        <v>0.02</v>
      </c>
      <c r="X366" s="210"/>
      <c r="Y366" s="210"/>
      <c r="Z366" s="210"/>
      <c r="AA366" s="210"/>
      <c r="AB366" s="212">
        <v>40</v>
      </c>
      <c r="AC366" s="210"/>
      <c r="AD366" s="210">
        <v>0.05</v>
      </c>
      <c r="AE366" s="212"/>
      <c r="AF366" s="212"/>
      <c r="AG366" s="212"/>
      <c r="AH366" s="210"/>
      <c r="AI366" s="212"/>
      <c r="AJ366" s="212"/>
      <c r="AK366" s="212"/>
      <c r="AL366" s="210"/>
      <c r="AM366" s="212"/>
    </row>
    <row r="367" spans="1:41" s="209" customFormat="1">
      <c r="A367" s="211" t="s">
        <v>742</v>
      </c>
      <c r="G367" s="209">
        <v>16</v>
      </c>
      <c r="H367" s="209">
        <v>24</v>
      </c>
      <c r="I367" s="209">
        <v>10</v>
      </c>
      <c r="J367" s="209">
        <v>53</v>
      </c>
      <c r="L367" s="209">
        <v>11</v>
      </c>
      <c r="M367" s="209">
        <v>26</v>
      </c>
      <c r="N367" s="209">
        <v>35</v>
      </c>
      <c r="O367" s="209">
        <v>35</v>
      </c>
      <c r="Q367" s="209">
        <v>10</v>
      </c>
      <c r="R367" s="209">
        <v>10</v>
      </c>
      <c r="S367" s="209">
        <v>10</v>
      </c>
      <c r="T367" s="209">
        <v>10</v>
      </c>
      <c r="V367" s="210"/>
      <c r="W367" s="210">
        <v>0.06</v>
      </c>
      <c r="X367" s="210"/>
      <c r="Y367" s="210"/>
      <c r="Z367" s="210"/>
      <c r="AA367" s="210"/>
      <c r="AB367" s="212">
        <v>40</v>
      </c>
      <c r="AC367" s="210"/>
      <c r="AD367" s="210"/>
      <c r="AE367" s="212"/>
      <c r="AF367" s="212"/>
      <c r="AG367" s="212"/>
      <c r="AH367" s="210"/>
      <c r="AI367" s="212"/>
      <c r="AJ367" s="212"/>
      <c r="AK367" s="212"/>
      <c r="AL367" s="210"/>
      <c r="AM367" s="212"/>
    </row>
    <row r="368" spans="1:41" s="209" customFormat="1">
      <c r="A368" s="211" t="s">
        <v>740</v>
      </c>
      <c r="G368" s="209">
        <v>16</v>
      </c>
      <c r="H368" s="209">
        <v>24</v>
      </c>
      <c r="I368" s="209">
        <v>10</v>
      </c>
      <c r="J368" s="209">
        <v>53</v>
      </c>
      <c r="L368" s="209">
        <v>11</v>
      </c>
      <c r="M368" s="209">
        <v>26</v>
      </c>
      <c r="N368" s="209">
        <v>35</v>
      </c>
      <c r="O368" s="209">
        <v>35</v>
      </c>
      <c r="Q368" s="209">
        <v>10</v>
      </c>
      <c r="R368" s="209">
        <v>10</v>
      </c>
      <c r="S368" s="209">
        <v>10</v>
      </c>
      <c r="T368" s="209">
        <v>10</v>
      </c>
      <c r="V368" s="210"/>
      <c r="W368" s="210">
        <v>0.02</v>
      </c>
      <c r="X368" s="210"/>
      <c r="Y368" s="210"/>
      <c r="Z368" s="210"/>
      <c r="AA368" s="210"/>
      <c r="AB368" s="212">
        <v>40</v>
      </c>
      <c r="AC368" s="210">
        <v>0.05</v>
      </c>
      <c r="AD368" s="210"/>
      <c r="AE368" s="212"/>
      <c r="AF368" s="212"/>
      <c r="AG368" s="212"/>
      <c r="AH368" s="210"/>
      <c r="AI368" s="212"/>
      <c r="AJ368" s="212"/>
      <c r="AK368" s="212"/>
      <c r="AL368" s="210"/>
      <c r="AM368" s="212"/>
    </row>
    <row r="369" spans="1:41">
      <c r="A369" s="211" t="s">
        <v>741</v>
      </c>
      <c r="G369" s="209">
        <v>16</v>
      </c>
      <c r="H369" s="209">
        <v>24</v>
      </c>
      <c r="I369" s="209">
        <v>10</v>
      </c>
      <c r="J369" s="209">
        <v>53</v>
      </c>
      <c r="K369" s="209"/>
      <c r="L369" s="209">
        <v>11</v>
      </c>
      <c r="M369" s="209">
        <v>26</v>
      </c>
      <c r="N369" s="209">
        <v>35</v>
      </c>
      <c r="O369" s="209">
        <v>35</v>
      </c>
      <c r="P369" s="209"/>
      <c r="Q369" s="209">
        <v>10</v>
      </c>
      <c r="R369" s="209">
        <v>10</v>
      </c>
      <c r="S369" s="209">
        <v>10</v>
      </c>
      <c r="T369" s="209">
        <v>10</v>
      </c>
      <c r="U369" s="209"/>
      <c r="V369" s="210"/>
      <c r="W369" s="210">
        <v>0.02</v>
      </c>
      <c r="X369" s="210"/>
      <c r="Y369" s="210"/>
      <c r="Z369" s="210"/>
      <c r="AA369" s="210"/>
      <c r="AB369" s="212">
        <v>40</v>
      </c>
      <c r="AC369" s="2"/>
      <c r="AD369" s="2">
        <v>0.05</v>
      </c>
      <c r="AF369" s="35"/>
      <c r="AG369" s="35"/>
      <c r="AH369" s="2"/>
      <c r="AL369" s="35"/>
    </row>
    <row r="370" spans="1:41" s="209" customFormat="1">
      <c r="A370" s="211" t="s">
        <v>787</v>
      </c>
      <c r="G370" s="209">
        <v>25</v>
      </c>
      <c r="H370" s="209">
        <v>28</v>
      </c>
      <c r="I370" s="209">
        <v>20</v>
      </c>
      <c r="J370" s="209">
        <v>31</v>
      </c>
      <c r="L370" s="209">
        <v>3</v>
      </c>
      <c r="M370" s="209">
        <v>25</v>
      </c>
      <c r="N370" s="209">
        <v>36</v>
      </c>
      <c r="O370" s="209">
        <v>24</v>
      </c>
      <c r="V370" s="210"/>
      <c r="W370" s="210"/>
      <c r="X370" s="210"/>
      <c r="Y370" s="210"/>
      <c r="Z370" s="210"/>
      <c r="AA370" s="210">
        <v>7.0000000000000007E-2</v>
      </c>
      <c r="AB370" s="212">
        <v>31</v>
      </c>
      <c r="AC370" s="210"/>
      <c r="AD370" s="210"/>
      <c r="AF370" s="212"/>
      <c r="AG370" s="212"/>
      <c r="AH370" s="210"/>
      <c r="AI370" s="212"/>
      <c r="AJ370" s="212"/>
      <c r="AK370" s="212"/>
      <c r="AL370" s="212"/>
      <c r="AM370" s="212"/>
    </row>
    <row r="371" spans="1:41">
      <c r="A371" t="s">
        <v>705</v>
      </c>
      <c r="G371">
        <v>26</v>
      </c>
      <c r="H371">
        <v>12</v>
      </c>
      <c r="I371">
        <v>17</v>
      </c>
      <c r="J371">
        <v>29</v>
      </c>
      <c r="L371">
        <v>10</v>
      </c>
      <c r="M371">
        <v>26</v>
      </c>
      <c r="N371">
        <v>18</v>
      </c>
      <c r="O371">
        <v>31</v>
      </c>
      <c r="V371" s="2">
        <v>0.04</v>
      </c>
      <c r="W371" s="2"/>
      <c r="X371" s="2"/>
      <c r="Y371" s="2"/>
      <c r="Z371" s="2"/>
      <c r="AA371" s="2"/>
      <c r="AB371" s="35">
        <v>51</v>
      </c>
      <c r="AC371" s="2"/>
      <c r="AD371" s="2"/>
      <c r="AF371" s="35"/>
      <c r="AG371" s="35"/>
      <c r="AH371" s="2"/>
      <c r="AL371" s="35"/>
    </row>
    <row r="372" spans="1:41" s="209" customFormat="1">
      <c r="A372" s="209" t="s">
        <v>785</v>
      </c>
      <c r="G372" s="209">
        <v>20</v>
      </c>
      <c r="H372" s="209">
        <v>39</v>
      </c>
      <c r="I372" s="209">
        <v>21</v>
      </c>
      <c r="J372" s="209">
        <v>39</v>
      </c>
      <c r="L372" s="209">
        <v>14</v>
      </c>
      <c r="M372" s="209">
        <v>26</v>
      </c>
      <c r="N372" s="209">
        <v>38</v>
      </c>
      <c r="Q372" s="209">
        <v>33</v>
      </c>
      <c r="V372" s="210"/>
      <c r="W372" s="210">
        <v>0.03</v>
      </c>
      <c r="X372" s="210"/>
      <c r="Y372" s="210"/>
      <c r="Z372" s="210"/>
      <c r="AA372" s="210"/>
      <c r="AB372" s="212">
        <v>31</v>
      </c>
      <c r="AC372" s="210">
        <v>0.03</v>
      </c>
      <c r="AD372" s="210"/>
      <c r="AF372" s="212"/>
      <c r="AG372" s="212"/>
      <c r="AH372" s="210"/>
      <c r="AI372" s="212"/>
      <c r="AJ372" s="212"/>
      <c r="AK372" s="212"/>
      <c r="AL372" s="212"/>
      <c r="AM372" s="212"/>
    </row>
    <row r="373" spans="1:41" s="209" customFormat="1">
      <c r="A373" s="209" t="s">
        <v>786</v>
      </c>
      <c r="G373" s="209">
        <v>20</v>
      </c>
      <c r="H373" s="209">
        <v>44</v>
      </c>
      <c r="I373" s="209">
        <v>21</v>
      </c>
      <c r="J373" s="209">
        <v>44</v>
      </c>
      <c r="L373" s="209">
        <v>14</v>
      </c>
      <c r="M373" s="209">
        <v>26</v>
      </c>
      <c r="N373" s="209">
        <v>48</v>
      </c>
      <c r="Q373" s="209">
        <v>43</v>
      </c>
      <c r="V373" s="210"/>
      <c r="W373" s="210">
        <v>0.04</v>
      </c>
      <c r="X373" s="210"/>
      <c r="Y373" s="210"/>
      <c r="Z373" s="210"/>
      <c r="AA373" s="210"/>
      <c r="AB373" s="212">
        <v>31</v>
      </c>
      <c r="AC373" s="210">
        <v>0.05</v>
      </c>
      <c r="AD373" s="210"/>
      <c r="AF373" s="212"/>
      <c r="AG373" s="212"/>
      <c r="AH373" s="210"/>
      <c r="AI373" s="212"/>
      <c r="AJ373" s="212"/>
      <c r="AK373" s="212"/>
      <c r="AL373" s="212"/>
      <c r="AM373" s="212"/>
    </row>
    <row r="374" spans="1:41">
      <c r="A374" s="31" t="s">
        <v>600</v>
      </c>
      <c r="G374" s="35">
        <v>12</v>
      </c>
      <c r="H374" s="31">
        <v>13</v>
      </c>
      <c r="I374">
        <v>11</v>
      </c>
      <c r="J374" s="31">
        <v>25</v>
      </c>
      <c r="L374">
        <v>8</v>
      </c>
      <c r="M374" s="31">
        <v>18</v>
      </c>
      <c r="N374" s="31">
        <v>12</v>
      </c>
      <c r="O374" s="31">
        <v>12</v>
      </c>
      <c r="V374" s="2"/>
      <c r="W374" s="2"/>
      <c r="X374" s="2"/>
      <c r="Y374" s="2"/>
      <c r="Z374" s="2"/>
      <c r="AA374" s="2"/>
      <c r="AB374" s="50">
        <v>40</v>
      </c>
      <c r="AC374" s="2"/>
      <c r="AD374" s="2"/>
      <c r="AE374" s="35"/>
      <c r="AF374" s="2"/>
      <c r="AG374" s="2"/>
      <c r="AH374" s="2"/>
      <c r="AL374" s="2"/>
    </row>
    <row r="375" spans="1:41">
      <c r="A375" s="31" t="s">
        <v>601</v>
      </c>
      <c r="G375" s="35">
        <v>18</v>
      </c>
      <c r="H375" s="31">
        <v>19</v>
      </c>
      <c r="I375">
        <v>15</v>
      </c>
      <c r="J375" s="31">
        <v>38</v>
      </c>
      <c r="L375">
        <v>12</v>
      </c>
      <c r="M375" s="31">
        <v>29</v>
      </c>
      <c r="N375" s="31">
        <v>15</v>
      </c>
      <c r="O375" s="31">
        <v>15</v>
      </c>
      <c r="V375" s="2"/>
      <c r="W375" s="2"/>
      <c r="X375" s="2"/>
      <c r="Y375" s="2"/>
      <c r="Z375" s="2"/>
      <c r="AA375" s="2"/>
      <c r="AB375" s="50">
        <v>40</v>
      </c>
      <c r="AC375" s="2"/>
      <c r="AD375" s="2"/>
      <c r="AE375" s="35"/>
      <c r="AF375" s="2"/>
      <c r="AG375" s="2"/>
      <c r="AH375" s="2"/>
      <c r="AL375" s="2"/>
    </row>
    <row r="376" spans="1:41" s="209" customFormat="1">
      <c r="A376" s="211" t="s">
        <v>788</v>
      </c>
      <c r="G376" s="212">
        <v>16</v>
      </c>
      <c r="H376" s="211">
        <v>33</v>
      </c>
      <c r="I376" s="209">
        <v>10</v>
      </c>
      <c r="J376" s="103">
        <v>53</v>
      </c>
      <c r="L376" s="209">
        <v>11</v>
      </c>
      <c r="M376" s="103">
        <v>29</v>
      </c>
      <c r="N376" s="103">
        <v>36</v>
      </c>
      <c r="O376" s="211"/>
      <c r="Q376" s="209">
        <v>36</v>
      </c>
      <c r="S376" s="209">
        <v>36</v>
      </c>
      <c r="V376" s="210"/>
      <c r="W376" s="210"/>
      <c r="X376" s="210"/>
      <c r="Y376" s="210"/>
      <c r="Z376" s="210"/>
      <c r="AA376" s="210"/>
      <c r="AB376" s="200">
        <v>41</v>
      </c>
      <c r="AC376" s="210">
        <v>0.04</v>
      </c>
      <c r="AD376" s="210"/>
      <c r="AE376" s="212"/>
      <c r="AF376" s="210"/>
      <c r="AG376" s="210"/>
      <c r="AH376" s="210"/>
      <c r="AI376" s="212"/>
      <c r="AJ376" s="212"/>
      <c r="AK376" s="212"/>
      <c r="AL376" s="210"/>
      <c r="AM376" s="212"/>
    </row>
    <row r="377" spans="1:41" s="209" customFormat="1">
      <c r="A377" s="211" t="s">
        <v>807</v>
      </c>
      <c r="G377" s="212">
        <v>16</v>
      </c>
      <c r="H377" s="211">
        <v>37</v>
      </c>
      <c r="I377" s="209">
        <v>10</v>
      </c>
      <c r="J377" s="103">
        <v>57</v>
      </c>
      <c r="L377" s="209">
        <v>11</v>
      </c>
      <c r="M377" s="103">
        <v>29</v>
      </c>
      <c r="N377" s="103">
        <v>42</v>
      </c>
      <c r="O377" s="211"/>
      <c r="Q377" s="209">
        <v>42</v>
      </c>
      <c r="S377" s="209">
        <v>42</v>
      </c>
      <c r="V377" s="210"/>
      <c r="W377" s="210"/>
      <c r="X377" s="210"/>
      <c r="Y377" s="210"/>
      <c r="Z377" s="210"/>
      <c r="AA377" s="210"/>
      <c r="AB377" s="200">
        <v>41</v>
      </c>
      <c r="AC377" s="210">
        <v>0.05</v>
      </c>
      <c r="AD377" s="210"/>
      <c r="AE377" s="212"/>
      <c r="AF377" s="210"/>
      <c r="AG377" s="210"/>
      <c r="AH377" s="210"/>
      <c r="AI377" s="212"/>
      <c r="AJ377" s="212"/>
      <c r="AK377" s="212"/>
      <c r="AL377" s="210"/>
      <c r="AM377" s="212"/>
    </row>
    <row r="378" spans="1:41">
      <c r="A378" s="31" t="s">
        <v>776</v>
      </c>
      <c r="G378">
        <v>27</v>
      </c>
      <c r="H378">
        <v>30</v>
      </c>
      <c r="I378">
        <v>12</v>
      </c>
      <c r="J378">
        <v>34</v>
      </c>
      <c r="L378">
        <v>16</v>
      </c>
      <c r="M378">
        <v>28</v>
      </c>
      <c r="N378">
        <v>23</v>
      </c>
      <c r="O378">
        <v>15</v>
      </c>
      <c r="V378" s="2"/>
      <c r="W378" s="2"/>
      <c r="X378" s="2"/>
      <c r="Y378" s="2"/>
      <c r="Z378" s="2"/>
      <c r="AA378" s="2"/>
      <c r="AB378" s="35">
        <v>41</v>
      </c>
      <c r="AC378" s="2"/>
      <c r="AD378" s="2"/>
      <c r="AE378" s="35"/>
      <c r="AF378" s="2"/>
      <c r="AG378" s="35"/>
      <c r="AH378" s="2"/>
      <c r="AL378" s="2"/>
    </row>
    <row r="379" spans="1:41">
      <c r="A379" s="31" t="s">
        <v>685</v>
      </c>
      <c r="G379">
        <v>36</v>
      </c>
      <c r="H379">
        <v>29</v>
      </c>
      <c r="I379">
        <v>11</v>
      </c>
      <c r="J379">
        <v>38</v>
      </c>
      <c r="L379">
        <v>5</v>
      </c>
      <c r="M379">
        <v>19</v>
      </c>
      <c r="N379">
        <v>15</v>
      </c>
      <c r="O379">
        <v>22</v>
      </c>
      <c r="R379">
        <v>22</v>
      </c>
      <c r="V379" s="2"/>
      <c r="W379" s="2"/>
      <c r="X379" s="2"/>
      <c r="Y379" s="2"/>
      <c r="Z379" s="2">
        <v>0.04</v>
      </c>
      <c r="AA379" s="2"/>
      <c r="AB379" s="35">
        <v>31</v>
      </c>
      <c r="AC379" s="2"/>
      <c r="AD379" s="2"/>
      <c r="AF379" s="2"/>
      <c r="AG379" s="2"/>
      <c r="AH379" s="2"/>
      <c r="AL379" s="35"/>
      <c r="AN379" s="2"/>
      <c r="AO379" s="35"/>
    </row>
    <row r="380" spans="1:41" s="31" customFormat="1">
      <c r="A380" s="31" t="s">
        <v>689</v>
      </c>
      <c r="G380" s="31">
        <v>25</v>
      </c>
      <c r="H380" s="31">
        <v>34</v>
      </c>
      <c r="I380" s="31">
        <v>2</v>
      </c>
      <c r="J380" s="31">
        <v>37</v>
      </c>
      <c r="K380" s="31">
        <v>7</v>
      </c>
      <c r="L380" s="31">
        <v>18</v>
      </c>
      <c r="M380" s="31">
        <v>30</v>
      </c>
      <c r="N380" s="31">
        <v>23</v>
      </c>
      <c r="V380" s="12"/>
      <c r="W380" s="12"/>
      <c r="X380" s="12"/>
      <c r="Y380" s="12"/>
      <c r="Z380" s="12"/>
      <c r="AA380" s="12">
        <v>0.03</v>
      </c>
      <c r="AB380" s="50">
        <v>40</v>
      </c>
      <c r="AC380" s="12"/>
      <c r="AD380" s="12"/>
      <c r="AF380" s="50"/>
      <c r="AG380" s="12"/>
      <c r="AH380" s="12"/>
      <c r="AI380" s="50"/>
      <c r="AJ380" s="50"/>
      <c r="AK380" s="50"/>
      <c r="AL380" s="50"/>
      <c r="AM380" s="50"/>
    </row>
    <row r="381" spans="1:41" s="31" customFormat="1">
      <c r="A381" s="31" t="s">
        <v>687</v>
      </c>
      <c r="G381" s="31">
        <v>10</v>
      </c>
      <c r="H381" s="31">
        <v>22</v>
      </c>
      <c r="I381" s="31">
        <v>10</v>
      </c>
      <c r="J381" s="31">
        <v>37</v>
      </c>
      <c r="L381" s="31">
        <v>10</v>
      </c>
      <c r="M381" s="31">
        <v>28</v>
      </c>
      <c r="N381" s="31">
        <v>27</v>
      </c>
      <c r="O381" s="31">
        <v>20</v>
      </c>
      <c r="Q381" s="31">
        <v>7</v>
      </c>
      <c r="S381" s="31">
        <v>7</v>
      </c>
      <c r="V381" s="12"/>
      <c r="W381" s="12"/>
      <c r="X381" s="12"/>
      <c r="Y381" s="12"/>
      <c r="Z381" s="12"/>
      <c r="AA381" s="12">
        <v>0.04</v>
      </c>
      <c r="AB381" s="50">
        <v>41</v>
      </c>
      <c r="AC381" s="12">
        <v>0.03</v>
      </c>
      <c r="AD381" s="12">
        <v>0.03</v>
      </c>
      <c r="AF381" s="50"/>
      <c r="AG381" s="12"/>
      <c r="AH381" s="12"/>
      <c r="AI381" s="50"/>
      <c r="AJ381" s="50"/>
      <c r="AK381" s="50"/>
      <c r="AL381" s="50"/>
      <c r="AM381" s="50"/>
    </row>
    <row r="382" spans="1:41">
      <c r="A382" t="s">
        <v>688</v>
      </c>
      <c r="G382">
        <v>17</v>
      </c>
      <c r="H382">
        <v>29</v>
      </c>
      <c r="I382">
        <v>10</v>
      </c>
      <c r="J382">
        <v>37</v>
      </c>
      <c r="L382">
        <v>10</v>
      </c>
      <c r="M382">
        <v>28</v>
      </c>
      <c r="N382">
        <v>27</v>
      </c>
      <c r="O382">
        <v>20</v>
      </c>
      <c r="Q382">
        <v>7</v>
      </c>
      <c r="S382">
        <v>7</v>
      </c>
      <c r="W382" s="1">
        <v>0.02</v>
      </c>
      <c r="AA382" s="1">
        <v>0.04</v>
      </c>
      <c r="AB382">
        <v>41</v>
      </c>
    </row>
    <row r="383" spans="1:41">
      <c r="A383" t="s">
        <v>706</v>
      </c>
      <c r="G383">
        <v>10</v>
      </c>
      <c r="H383">
        <v>22</v>
      </c>
      <c r="I383">
        <v>10</v>
      </c>
      <c r="J383">
        <v>37</v>
      </c>
      <c r="L383">
        <v>10</v>
      </c>
      <c r="M383">
        <v>28</v>
      </c>
      <c r="N383">
        <v>27</v>
      </c>
      <c r="O383">
        <v>20</v>
      </c>
      <c r="Q383">
        <v>7</v>
      </c>
      <c r="S383">
        <v>7</v>
      </c>
      <c r="AA383" s="1">
        <v>0.09</v>
      </c>
      <c r="AB383">
        <v>41</v>
      </c>
    </row>
    <row r="384" spans="1:41">
      <c r="AC384" s="2"/>
      <c r="AD384" s="2"/>
      <c r="AH384" s="2"/>
    </row>
    <row r="389" spans="29:34">
      <c r="AC389" s="2"/>
      <c r="AD389" s="2"/>
      <c r="AH389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>
    <tabColor indexed="46"/>
  </sheetPr>
  <dimension ref="A1:Q147"/>
  <sheetViews>
    <sheetView topLeftCell="A85" workbookViewId="0">
      <selection activeCell="D116" sqref="D116"/>
    </sheetView>
  </sheetViews>
  <sheetFormatPr defaultRowHeight="12.75"/>
  <cols>
    <col min="1" max="1" width="22" customWidth="1"/>
    <col min="2" max="2" width="13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83</v>
      </c>
      <c r="B1" t="s">
        <v>3</v>
      </c>
      <c r="C1" t="s">
        <v>4</v>
      </c>
      <c r="D1" t="s">
        <v>42</v>
      </c>
      <c r="E1" t="s">
        <v>221</v>
      </c>
      <c r="F1" t="s">
        <v>13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3">
      <c r="A2" t="s">
        <v>54</v>
      </c>
      <c r="G2" s="2"/>
      <c r="J2" s="2"/>
    </row>
    <row r="3" spans="1:13">
      <c r="A3" t="s">
        <v>99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100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97</v>
      </c>
      <c r="G5" s="2"/>
      <c r="J5" s="2">
        <v>0.13</v>
      </c>
      <c r="K5">
        <v>62</v>
      </c>
    </row>
    <row r="6" spans="1:13">
      <c r="A6" t="s">
        <v>95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101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96</v>
      </c>
      <c r="C8">
        <v>6</v>
      </c>
      <c r="G8" s="2"/>
      <c r="J8" s="2">
        <v>0.16</v>
      </c>
      <c r="K8">
        <v>76</v>
      </c>
    </row>
    <row r="9" spans="1:13" s="209" customFormat="1">
      <c r="A9" s="211" t="s">
        <v>759</v>
      </c>
      <c r="B9" s="209">
        <v>6</v>
      </c>
      <c r="C9" s="209">
        <v>7</v>
      </c>
      <c r="G9" s="210"/>
      <c r="J9" s="210">
        <v>0.1</v>
      </c>
      <c r="K9" s="209">
        <v>100</v>
      </c>
    </row>
    <row r="10" spans="1:13">
      <c r="A10" t="s">
        <v>94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606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607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608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157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476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90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91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93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92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98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112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113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111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355</v>
      </c>
      <c r="B26" s="14" t="s">
        <v>148</v>
      </c>
      <c r="C26" s="14" t="s">
        <v>382</v>
      </c>
      <c r="D26" s="14" t="s">
        <v>383</v>
      </c>
      <c r="E26" s="14" t="s">
        <v>384</v>
      </c>
      <c r="F26" s="14" t="s">
        <v>385</v>
      </c>
      <c r="G26" s="14" t="s">
        <v>386</v>
      </c>
      <c r="H26" s="21" t="s">
        <v>387</v>
      </c>
      <c r="I26" s="14" t="s">
        <v>388</v>
      </c>
      <c r="J26" s="14" t="s">
        <v>389</v>
      </c>
      <c r="K26" s="25" t="s">
        <v>390</v>
      </c>
      <c r="L26" s="14" t="s">
        <v>277</v>
      </c>
      <c r="M26" s="14" t="s">
        <v>394</v>
      </c>
      <c r="N26" s="14" t="s">
        <v>395</v>
      </c>
      <c r="O26" s="25" t="s">
        <v>391</v>
      </c>
      <c r="P26" s="25" t="s">
        <v>392</v>
      </c>
      <c r="Q26" s="25" t="s">
        <v>393</v>
      </c>
    </row>
    <row r="27" spans="1:17">
      <c r="A27" s="31" t="s">
        <v>617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618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134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</v>
      </c>
      <c r="I29" s="19">
        <v>1</v>
      </c>
      <c r="J29" s="19">
        <v>1</v>
      </c>
      <c r="K29" s="49">
        <v>0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619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620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</v>
      </c>
      <c r="I31" s="19">
        <v>1</v>
      </c>
      <c r="J31" s="19">
        <v>1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469</v>
      </c>
      <c r="B32" s="44">
        <v>1</v>
      </c>
      <c r="C32" s="44">
        <v>0</v>
      </c>
      <c r="D32" s="24" t="s">
        <v>3</v>
      </c>
      <c r="E32" s="43">
        <v>0.6</v>
      </c>
      <c r="F32" s="24" t="s">
        <v>221</v>
      </c>
      <c r="G32" s="43">
        <v>0.6</v>
      </c>
      <c r="H32" s="19">
        <v>2</v>
      </c>
      <c r="I32" s="19">
        <v>2</v>
      </c>
      <c r="J32" s="19">
        <v>2</v>
      </c>
      <c r="K32" s="49">
        <v>1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375</v>
      </c>
      <c r="B33" s="44">
        <v>1</v>
      </c>
      <c r="C33" s="44">
        <v>0</v>
      </c>
      <c r="D33" s="24" t="s">
        <v>4</v>
      </c>
      <c r="E33" s="43">
        <v>0.8</v>
      </c>
      <c r="F33" s="24" t="s">
        <v>362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135</v>
      </c>
      <c r="B34">
        <v>1</v>
      </c>
      <c r="C34">
        <v>0</v>
      </c>
      <c r="D34" t="s">
        <v>42</v>
      </c>
      <c r="E34" s="2">
        <v>0.8</v>
      </c>
      <c r="F34" s="44" t="s">
        <v>362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s="209" customFormat="1">
      <c r="A35" s="209" t="s">
        <v>353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362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10">
        <v>0</v>
      </c>
      <c r="P35" s="210">
        <v>0</v>
      </c>
      <c r="Q35" s="210">
        <v>0</v>
      </c>
    </row>
    <row r="36" spans="1:17" s="209" customFormat="1">
      <c r="A36" s="209" t="s">
        <v>805</v>
      </c>
      <c r="B36" s="24">
        <v>1</v>
      </c>
      <c r="C36" s="24">
        <v>4</v>
      </c>
      <c r="D36" s="24" t="s">
        <v>4</v>
      </c>
      <c r="E36" s="95">
        <v>0.5</v>
      </c>
      <c r="F36" s="24" t="s">
        <v>362</v>
      </c>
      <c r="G36" s="96">
        <v>0</v>
      </c>
      <c r="H36" s="47">
        <v>1.25</v>
      </c>
      <c r="I36" s="47">
        <v>1.25</v>
      </c>
      <c r="J36" s="47">
        <v>1.25</v>
      </c>
      <c r="K36" s="49">
        <v>1</v>
      </c>
      <c r="L36" s="97">
        <v>0</v>
      </c>
      <c r="M36" s="97">
        <v>0</v>
      </c>
      <c r="N36" s="97">
        <v>0</v>
      </c>
      <c r="O36" s="210">
        <v>0.1</v>
      </c>
      <c r="P36" s="210">
        <v>0.25</v>
      </c>
      <c r="Q36" s="210">
        <v>0.5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166</v>
      </c>
    </row>
    <row r="41" spans="1:17">
      <c r="A41">
        <v>0</v>
      </c>
    </row>
    <row r="42" spans="1:17">
      <c r="A42">
        <v>1</v>
      </c>
    </row>
    <row r="46" spans="1:17">
      <c r="A46" s="14" t="s">
        <v>115</v>
      </c>
      <c r="B46" s="14" t="s">
        <v>3</v>
      </c>
      <c r="C46" s="14" t="s">
        <v>4</v>
      </c>
      <c r="D46" s="14" t="s">
        <v>42</v>
      </c>
      <c r="E46" s="14" t="s">
        <v>221</v>
      </c>
      <c r="F46" s="14" t="s">
        <v>9</v>
      </c>
      <c r="G46" s="14" t="s">
        <v>10</v>
      </c>
      <c r="H46" s="14" t="s">
        <v>12</v>
      </c>
      <c r="I46" s="14" t="s">
        <v>164</v>
      </c>
      <c r="J46" s="14" t="s">
        <v>114</v>
      </c>
      <c r="K46" s="14" t="s">
        <v>116</v>
      </c>
      <c r="L46" s="14" t="s">
        <v>11</v>
      </c>
      <c r="M46" s="14" t="s">
        <v>13</v>
      </c>
      <c r="N46" s="14" t="s">
        <v>302</v>
      </c>
      <c r="O46" s="14" t="s">
        <v>124</v>
      </c>
    </row>
    <row r="47" spans="1:17">
      <c r="A47" t="s">
        <v>54</v>
      </c>
    </row>
    <row r="48" spans="1:17">
      <c r="A48" t="s">
        <v>177</v>
      </c>
      <c r="F48">
        <v>50</v>
      </c>
      <c r="I48" s="2">
        <v>0.1</v>
      </c>
    </row>
    <row r="49" spans="1:15">
      <c r="A49" t="s">
        <v>191</v>
      </c>
      <c r="I49" s="2">
        <v>0.15</v>
      </c>
    </row>
    <row r="50" spans="1:15">
      <c r="A50" t="s">
        <v>173</v>
      </c>
      <c r="D50">
        <v>10</v>
      </c>
      <c r="I50" s="2"/>
      <c r="J50" s="2">
        <v>0.2</v>
      </c>
    </row>
    <row r="51" spans="1:15">
      <c r="A51" t="s">
        <v>123</v>
      </c>
      <c r="F51">
        <v>30</v>
      </c>
      <c r="H51" s="2">
        <v>0.05</v>
      </c>
      <c r="I51" s="2"/>
      <c r="J51" s="2"/>
      <c r="K51" s="2"/>
    </row>
    <row r="52" spans="1:15">
      <c r="A52" t="s">
        <v>120</v>
      </c>
      <c r="D52">
        <v>50</v>
      </c>
      <c r="H52" s="2"/>
      <c r="I52" s="2"/>
      <c r="J52" s="2">
        <v>0.2</v>
      </c>
      <c r="K52" s="2"/>
    </row>
    <row r="53" spans="1:15">
      <c r="A53" t="s">
        <v>118</v>
      </c>
      <c r="B53">
        <v>40</v>
      </c>
      <c r="H53" s="2">
        <v>0.05</v>
      </c>
      <c r="I53" s="2"/>
      <c r="J53" s="2"/>
      <c r="K53" s="2"/>
    </row>
    <row r="54" spans="1:15">
      <c r="A54" t="s">
        <v>470</v>
      </c>
      <c r="E54">
        <v>50</v>
      </c>
      <c r="H54" s="2"/>
      <c r="I54" s="2"/>
      <c r="J54" s="2"/>
      <c r="K54" s="2"/>
    </row>
    <row r="55" spans="1:15">
      <c r="A55" t="s">
        <v>121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122</v>
      </c>
      <c r="H56" s="2"/>
      <c r="I56" s="2"/>
      <c r="J56" s="2"/>
      <c r="K56" s="2">
        <v>0.3</v>
      </c>
    </row>
    <row r="57" spans="1:15">
      <c r="A57" t="s">
        <v>176</v>
      </c>
      <c r="H57" s="2"/>
      <c r="I57" s="2"/>
      <c r="J57" s="2">
        <v>0.1</v>
      </c>
      <c r="K57" s="2"/>
      <c r="M57">
        <v>20</v>
      </c>
    </row>
    <row r="58" spans="1:15">
      <c r="A58" t="s">
        <v>301</v>
      </c>
      <c r="H58" s="2"/>
      <c r="I58" s="2"/>
      <c r="J58" s="2"/>
      <c r="K58" s="2"/>
      <c r="N58">
        <v>1000</v>
      </c>
    </row>
    <row r="59" spans="1:15">
      <c r="A59" t="s">
        <v>117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119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212</v>
      </c>
      <c r="B64" s="14" t="s">
        <v>32</v>
      </c>
      <c r="C64" s="14" t="s">
        <v>486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221</v>
      </c>
      <c r="I64" s="14" t="s">
        <v>440</v>
      </c>
      <c r="J64" s="14" t="s">
        <v>441</v>
      </c>
    </row>
    <row r="65" spans="1:10">
      <c r="A65" s="31" t="s">
        <v>596</v>
      </c>
      <c r="B65">
        <v>84</v>
      </c>
      <c r="C65" t="s">
        <v>487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597</v>
      </c>
      <c r="B66">
        <v>96</v>
      </c>
      <c r="C66" t="s">
        <v>487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442</v>
      </c>
      <c r="B67">
        <v>99</v>
      </c>
      <c r="C67" t="s">
        <v>487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490</v>
      </c>
      <c r="B68">
        <v>100</v>
      </c>
      <c r="C68" t="s">
        <v>489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488</v>
      </c>
      <c r="B69">
        <v>102</v>
      </c>
      <c r="C69" t="s">
        <v>489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507</v>
      </c>
      <c r="B70">
        <v>107</v>
      </c>
      <c r="C70" t="s">
        <v>489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365</v>
      </c>
      <c r="B71">
        <v>110</v>
      </c>
      <c r="C71" t="s">
        <v>487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621</v>
      </c>
      <c r="B72">
        <v>113</v>
      </c>
      <c r="C72" t="s">
        <v>489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443</v>
      </c>
      <c r="B73">
        <v>120</v>
      </c>
      <c r="C73" t="s">
        <v>487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526</v>
      </c>
      <c r="B74">
        <v>130</v>
      </c>
      <c r="C74" t="s">
        <v>489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211" t="s">
        <v>598</v>
      </c>
      <c r="B75" s="209">
        <v>126</v>
      </c>
      <c r="C75" s="211" t="s">
        <v>489</v>
      </c>
      <c r="D75" s="209">
        <v>1090</v>
      </c>
      <c r="E75" s="209">
        <v>1068</v>
      </c>
      <c r="F75" s="209">
        <v>235</v>
      </c>
      <c r="G75" s="209">
        <v>228</v>
      </c>
      <c r="H75" s="209">
        <v>215</v>
      </c>
      <c r="I75" s="210">
        <v>0</v>
      </c>
      <c r="J75" s="210">
        <v>0</v>
      </c>
    </row>
    <row r="76" spans="1:10" s="209" customFormat="1">
      <c r="A76" s="211" t="s">
        <v>779</v>
      </c>
      <c r="B76" s="209">
        <v>122</v>
      </c>
      <c r="C76" s="211" t="s">
        <v>489</v>
      </c>
      <c r="D76" s="209">
        <v>919</v>
      </c>
      <c r="E76" s="209">
        <v>899</v>
      </c>
      <c r="F76" s="209">
        <v>200</v>
      </c>
      <c r="G76" s="209">
        <v>199</v>
      </c>
      <c r="H76" s="209">
        <v>186</v>
      </c>
      <c r="I76" s="210">
        <v>0</v>
      </c>
      <c r="J76" s="210">
        <v>0</v>
      </c>
    </row>
    <row r="77" spans="1:10" s="209" customFormat="1">
      <c r="A77" s="211" t="s">
        <v>780</v>
      </c>
      <c r="B77" s="209">
        <v>130</v>
      </c>
      <c r="C77" s="211" t="s">
        <v>489</v>
      </c>
      <c r="D77" s="209">
        <f>D76+40*8</f>
        <v>1239</v>
      </c>
      <c r="E77" s="209">
        <f>E76+40*8</f>
        <v>1219</v>
      </c>
      <c r="F77" s="209">
        <f>F76+9*8</f>
        <v>272</v>
      </c>
      <c r="G77" s="209">
        <f t="shared" ref="G77:H77" si="0">G76+9*8</f>
        <v>271</v>
      </c>
      <c r="H77" s="209">
        <f t="shared" si="0"/>
        <v>258</v>
      </c>
      <c r="I77" s="210">
        <v>0</v>
      </c>
      <c r="J77" s="210">
        <v>0</v>
      </c>
    </row>
    <row r="78" spans="1:10" s="209" customFormat="1">
      <c r="A78" s="211" t="s">
        <v>781</v>
      </c>
      <c r="B78" s="209">
        <v>135</v>
      </c>
      <c r="C78" s="211" t="s">
        <v>489</v>
      </c>
      <c r="D78" s="209">
        <v>1400</v>
      </c>
      <c r="E78" s="209">
        <v>1400</v>
      </c>
      <c r="F78" s="209">
        <v>307</v>
      </c>
      <c r="G78" s="209">
        <v>307</v>
      </c>
      <c r="H78" s="209">
        <v>295</v>
      </c>
      <c r="I78" s="210">
        <v>0</v>
      </c>
      <c r="J78" s="210">
        <v>0</v>
      </c>
    </row>
    <row r="80" spans="1:10">
      <c r="A80" s="14" t="s">
        <v>213</v>
      </c>
    </row>
    <row r="81" spans="1:9">
      <c r="A81" t="s">
        <v>186</v>
      </c>
    </row>
    <row r="82" spans="1:9">
      <c r="A82" t="s">
        <v>215</v>
      </c>
    </row>
    <row r="84" spans="1:9">
      <c r="A84" s="14" t="s">
        <v>216</v>
      </c>
    </row>
    <row r="85" spans="1:9">
      <c r="A85" t="s">
        <v>1</v>
      </c>
    </row>
    <row r="86" spans="1:9">
      <c r="A86" t="s">
        <v>217</v>
      </c>
    </row>
    <row r="87" spans="1:9">
      <c r="A87" t="s">
        <v>218</v>
      </c>
    </row>
    <row r="88" spans="1:9">
      <c r="A88" t="s">
        <v>219</v>
      </c>
    </row>
    <row r="89" spans="1:9">
      <c r="A89" t="s">
        <v>182</v>
      </c>
    </row>
    <row r="90" spans="1:9">
      <c r="A90" s="44"/>
      <c r="B90" s="44"/>
      <c r="C90" s="44"/>
      <c r="D90" s="44"/>
      <c r="E90" s="44"/>
      <c r="F90" s="44"/>
      <c r="G90" s="44"/>
      <c r="H90" s="44"/>
      <c r="I90" s="44"/>
    </row>
    <row r="91" spans="1:9">
      <c r="A91" s="122" t="s">
        <v>532</v>
      </c>
      <c r="B91" s="44"/>
      <c r="C91" s="44"/>
      <c r="D91" s="44"/>
      <c r="E91" s="44"/>
      <c r="F91" s="44"/>
      <c r="G91" s="44"/>
      <c r="H91" s="44"/>
      <c r="I91" s="44"/>
    </row>
    <row r="92" spans="1:9">
      <c r="A92" s="119" t="s">
        <v>530</v>
      </c>
      <c r="B92" s="44"/>
      <c r="C92" s="44"/>
      <c r="D92" s="44"/>
      <c r="E92" s="44"/>
      <c r="F92" s="44"/>
      <c r="G92" s="44"/>
      <c r="H92" s="44"/>
      <c r="I92" s="44"/>
    </row>
    <row r="93" spans="1:9">
      <c r="A93" s="119" t="s">
        <v>528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/>
      <c r="B94" s="44"/>
      <c r="C94" s="44"/>
      <c r="D94" s="44"/>
      <c r="E94" s="44"/>
      <c r="F94" s="44"/>
      <c r="G94" s="44"/>
      <c r="H94" s="44"/>
      <c r="I94" s="44"/>
    </row>
    <row r="95" spans="1:9">
      <c r="A95" s="122" t="s">
        <v>655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 t="s">
        <v>15</v>
      </c>
      <c r="B96" s="44"/>
      <c r="C96" s="44"/>
      <c r="D96" s="44"/>
      <c r="E96" s="44"/>
      <c r="F96" s="44"/>
      <c r="G96" s="44"/>
      <c r="H96" s="44"/>
      <c r="I96" s="44"/>
    </row>
    <row r="97" spans="1:13">
      <c r="A97" s="119" t="s">
        <v>659</v>
      </c>
      <c r="B97" s="44"/>
      <c r="C97" s="44"/>
      <c r="D97" s="44"/>
      <c r="E97" s="44"/>
      <c r="F97" s="44"/>
      <c r="G97" s="44"/>
      <c r="H97" s="44"/>
      <c r="I97" s="44"/>
    </row>
    <row r="98" spans="1:13">
      <c r="A98" s="44"/>
      <c r="B98" s="44"/>
      <c r="C98" s="44"/>
      <c r="D98" s="44"/>
      <c r="E98" s="44"/>
      <c r="F98" s="44"/>
      <c r="G98" s="44"/>
      <c r="H98" s="44"/>
      <c r="I98" s="44"/>
    </row>
    <row r="99" spans="1:13">
      <c r="A99" s="26" t="s">
        <v>527</v>
      </c>
      <c r="C99" s="44"/>
      <c r="D99" s="44"/>
      <c r="E99" s="44"/>
      <c r="F99" s="44"/>
      <c r="G99" s="44"/>
      <c r="H99" s="44"/>
      <c r="I99" s="44"/>
    </row>
    <row r="100" spans="1:13">
      <c r="A100" t="s">
        <v>528</v>
      </c>
      <c r="B100" t="s">
        <v>529</v>
      </c>
      <c r="C100" s="44">
        <f>230+Setup!B16</f>
        <v>246</v>
      </c>
      <c r="D100" s="44"/>
      <c r="E100" s="44"/>
      <c r="F100" s="44"/>
      <c r="G100" s="44"/>
      <c r="H100" s="44"/>
      <c r="I100" s="44"/>
    </row>
    <row r="101" spans="1:13">
      <c r="A101" s="31" t="s">
        <v>530</v>
      </c>
      <c r="B101" s="31" t="s">
        <v>30</v>
      </c>
      <c r="C101" s="44">
        <f>276+Setup!B15</f>
        <v>292</v>
      </c>
      <c r="D101" s="44"/>
      <c r="E101" s="44"/>
      <c r="F101" s="44"/>
      <c r="G101" s="44"/>
      <c r="H101" s="44"/>
      <c r="I101" s="44"/>
    </row>
    <row r="102" spans="1:13">
      <c r="A102" s="31" t="s">
        <v>656</v>
      </c>
      <c r="B102" s="31" t="s">
        <v>657</v>
      </c>
      <c r="C102" s="44">
        <f>276+Setup!B17</f>
        <v>292</v>
      </c>
      <c r="D102" s="44"/>
      <c r="E102" s="44"/>
      <c r="F102" s="44"/>
      <c r="G102" s="44"/>
      <c r="H102" s="44"/>
      <c r="I102" s="44"/>
    </row>
    <row r="105" spans="1:13">
      <c r="A105" s="111"/>
      <c r="B105" s="111"/>
      <c r="C105" s="111"/>
      <c r="D105" s="111" t="s">
        <v>478</v>
      </c>
      <c r="E105" s="111"/>
      <c r="F105" s="111"/>
      <c r="G105" s="111"/>
      <c r="H105" s="111"/>
      <c r="I105" s="111" t="s">
        <v>479</v>
      </c>
      <c r="J105" s="111"/>
      <c r="K105" s="22"/>
      <c r="L105" s="22"/>
    </row>
    <row r="106" spans="1:13">
      <c r="A106" s="113" t="s">
        <v>14</v>
      </c>
      <c r="B106" s="113" t="s">
        <v>491</v>
      </c>
      <c r="C106" s="113" t="s">
        <v>480</v>
      </c>
      <c r="D106" s="113">
        <v>0</v>
      </c>
      <c r="E106" s="113">
        <v>1</v>
      </c>
      <c r="F106" s="113">
        <v>2</v>
      </c>
      <c r="G106" s="113">
        <v>3</v>
      </c>
      <c r="H106" s="113">
        <v>4</v>
      </c>
      <c r="I106" s="113">
        <v>5</v>
      </c>
      <c r="J106" s="113" t="s">
        <v>481</v>
      </c>
      <c r="K106" s="113" t="s">
        <v>482</v>
      </c>
      <c r="L106" s="113" t="s">
        <v>483</v>
      </c>
      <c r="M106" s="113" t="s">
        <v>484</v>
      </c>
    </row>
    <row r="107" spans="1:13">
      <c r="A107" s="22" t="s">
        <v>367</v>
      </c>
      <c r="B107" s="22"/>
      <c r="C107" s="22" t="s">
        <v>127</v>
      </c>
      <c r="D107" s="22">
        <v>0</v>
      </c>
      <c r="E107" s="22">
        <v>0</v>
      </c>
      <c r="F107" s="117">
        <v>0.03</v>
      </c>
      <c r="G107" s="117">
        <v>0.04</v>
      </c>
      <c r="H107" s="117">
        <v>0.05</v>
      </c>
      <c r="I107" s="117">
        <v>0.06</v>
      </c>
      <c r="J107" s="22">
        <f t="shared" ref="J107:M127" ca="1" si="1">HLOOKUP((COUNTIF(INDIRECT(J$106), $A107) + IF(ISBLANK($B107)=FALSE, COUNTIF(INDIRECT(J$106), $B107), 0)) * IF(COUNTIF(INDIRECT(J$106), $A107)&gt;0, 1, 0) * IF(ISBLANK($B107)=FALSE, IF(COUNTIF(INDIRECT(J$106), $B107)&gt;0, 1, 0), 1), SetBonusLookup, ROW()-ROW(SetBonusLookup)+1, FALSE)</f>
        <v>0</v>
      </c>
      <c r="K107" s="22">
        <f t="shared" ca="1" si="1"/>
        <v>0</v>
      </c>
      <c r="L107" s="22">
        <f t="shared" ca="1" si="1"/>
        <v>0</v>
      </c>
      <c r="M107" s="22">
        <f t="shared" ca="1" si="1"/>
        <v>0</v>
      </c>
    </row>
    <row r="108" spans="1:13">
      <c r="A108" s="22" t="s">
        <v>75</v>
      </c>
      <c r="B108" s="22"/>
      <c r="C108" s="22" t="s">
        <v>13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8</v>
      </c>
      <c r="J108" s="22">
        <f t="shared" ca="1" si="1"/>
        <v>0</v>
      </c>
      <c r="K108" s="22">
        <f t="shared" ca="1" si="1"/>
        <v>0</v>
      </c>
      <c r="L108" s="22">
        <f t="shared" ca="1" si="1"/>
        <v>0</v>
      </c>
      <c r="M108" s="22">
        <f t="shared" ca="1" si="1"/>
        <v>0</v>
      </c>
    </row>
    <row r="109" spans="1:13">
      <c r="A109" s="22" t="s">
        <v>505</v>
      </c>
      <c r="B109" s="22" t="s">
        <v>506</v>
      </c>
      <c r="C109" s="22" t="s">
        <v>12</v>
      </c>
      <c r="D109" s="22">
        <v>0</v>
      </c>
      <c r="E109" s="22">
        <v>0</v>
      </c>
      <c r="F109" s="117">
        <v>7.0000000000000007E-2</v>
      </c>
      <c r="G109" s="22">
        <v>0</v>
      </c>
      <c r="H109" s="22">
        <v>0</v>
      </c>
      <c r="I109" s="22">
        <v>0</v>
      </c>
      <c r="J109" s="22">
        <f t="shared" ca="1" si="1"/>
        <v>0</v>
      </c>
      <c r="K109" s="22">
        <f t="shared" ca="1" si="1"/>
        <v>0</v>
      </c>
      <c r="L109" s="22">
        <f t="shared" ca="1" si="1"/>
        <v>0</v>
      </c>
      <c r="M109" s="22">
        <f t="shared" ca="1" si="1"/>
        <v>0</v>
      </c>
    </row>
    <row r="110" spans="1:13">
      <c r="A110" s="22" t="s">
        <v>503</v>
      </c>
      <c r="B110" s="22" t="s">
        <v>504</v>
      </c>
      <c r="C110" s="22" t="s">
        <v>131</v>
      </c>
      <c r="D110" s="22">
        <v>0</v>
      </c>
      <c r="E110" s="22">
        <v>0</v>
      </c>
      <c r="F110" s="117">
        <v>7.0000000000000007E-2</v>
      </c>
      <c r="G110" s="22">
        <v>0</v>
      </c>
      <c r="H110" s="22">
        <v>0</v>
      </c>
      <c r="I110" s="22">
        <v>0</v>
      </c>
      <c r="J110" s="22">
        <f t="shared" ca="1" si="1"/>
        <v>0</v>
      </c>
      <c r="K110" s="22">
        <f t="shared" ca="1" si="1"/>
        <v>0</v>
      </c>
      <c r="L110" s="22">
        <f t="shared" ca="1" si="1"/>
        <v>0</v>
      </c>
      <c r="M110" s="22">
        <f t="shared" ca="1" si="1"/>
        <v>0</v>
      </c>
    </row>
    <row r="111" spans="1:13">
      <c r="A111" s="22" t="s">
        <v>77</v>
      </c>
      <c r="B111" s="22"/>
      <c r="C111" s="22" t="s">
        <v>10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20</v>
      </c>
      <c r="J111" s="22">
        <f t="shared" ca="1" si="1"/>
        <v>0</v>
      </c>
      <c r="K111" s="22">
        <f t="shared" ca="1" si="1"/>
        <v>0</v>
      </c>
      <c r="L111" s="22">
        <f t="shared" ca="1" si="1"/>
        <v>0</v>
      </c>
      <c r="M111" s="22">
        <f t="shared" ca="1" si="1"/>
        <v>0</v>
      </c>
    </row>
    <row r="112" spans="1:13">
      <c r="A112" s="22" t="s">
        <v>493</v>
      </c>
      <c r="B112" s="22" t="s">
        <v>492</v>
      </c>
      <c r="C112" s="22" t="s">
        <v>10</v>
      </c>
      <c r="D112" s="22">
        <v>0</v>
      </c>
      <c r="E112" s="22">
        <v>0</v>
      </c>
      <c r="F112" s="22">
        <v>12</v>
      </c>
      <c r="G112" s="22">
        <v>0</v>
      </c>
      <c r="H112" s="22">
        <v>0</v>
      </c>
      <c r="I112" s="22">
        <v>0</v>
      </c>
      <c r="J112" s="22">
        <f t="shared" ca="1" si="1"/>
        <v>0</v>
      </c>
      <c r="K112" s="22">
        <f t="shared" ca="1" si="1"/>
        <v>0</v>
      </c>
      <c r="L112" s="22">
        <f t="shared" ca="1" si="1"/>
        <v>0</v>
      </c>
      <c r="M112" s="22">
        <f t="shared" ca="1" si="1"/>
        <v>0</v>
      </c>
    </row>
    <row r="113" spans="1:13">
      <c r="A113" s="22" t="s">
        <v>493</v>
      </c>
      <c r="B113" s="22" t="s">
        <v>492</v>
      </c>
      <c r="C113" s="22" t="s">
        <v>9</v>
      </c>
      <c r="D113" s="22">
        <v>0</v>
      </c>
      <c r="E113" s="22">
        <v>0</v>
      </c>
      <c r="F113" s="22">
        <v>6</v>
      </c>
      <c r="G113" s="22">
        <v>0</v>
      </c>
      <c r="H113" s="22">
        <v>0</v>
      </c>
      <c r="I113" s="22">
        <v>0</v>
      </c>
      <c r="J113" s="22">
        <f t="shared" ca="1" si="1"/>
        <v>0</v>
      </c>
      <c r="K113" s="22">
        <f t="shared" ca="1" si="1"/>
        <v>0</v>
      </c>
      <c r="L113" s="22">
        <f t="shared" ca="1" si="1"/>
        <v>0</v>
      </c>
      <c r="M113" s="22">
        <f t="shared" ca="1" si="1"/>
        <v>0</v>
      </c>
    </row>
    <row r="114" spans="1:13" s="209" customFormat="1">
      <c r="A114" s="211" t="s">
        <v>807</v>
      </c>
      <c r="B114" s="22"/>
      <c r="C114" s="211" t="s">
        <v>4</v>
      </c>
      <c r="D114" s="22">
        <v>0</v>
      </c>
      <c r="E114" s="22">
        <v>0</v>
      </c>
      <c r="F114" s="22">
        <v>8</v>
      </c>
      <c r="G114" s="22">
        <v>16</v>
      </c>
      <c r="H114" s="22">
        <v>24</v>
      </c>
      <c r="I114" s="22">
        <v>32</v>
      </c>
      <c r="J114" s="22">
        <f t="shared" ca="1" si="1"/>
        <v>0</v>
      </c>
      <c r="K114" s="22">
        <f t="shared" ca="1" si="1"/>
        <v>0</v>
      </c>
      <c r="L114" s="22">
        <f t="shared" ca="1" si="1"/>
        <v>0</v>
      </c>
      <c r="M114" s="22">
        <f t="shared" ca="1" si="1"/>
        <v>0</v>
      </c>
    </row>
    <row r="115" spans="1:13" s="209" customFormat="1">
      <c r="A115" s="211" t="s">
        <v>807</v>
      </c>
      <c r="B115" s="22"/>
      <c r="C115" s="211" t="s">
        <v>42</v>
      </c>
      <c r="D115" s="22">
        <v>0</v>
      </c>
      <c r="E115" s="22">
        <v>0</v>
      </c>
      <c r="F115" s="22">
        <v>8</v>
      </c>
      <c r="G115" s="22">
        <v>16</v>
      </c>
      <c r="H115" s="22">
        <v>24</v>
      </c>
      <c r="I115" s="22">
        <v>32</v>
      </c>
      <c r="J115" s="22">
        <f t="shared" ca="1" si="1"/>
        <v>0</v>
      </c>
      <c r="K115" s="22">
        <f t="shared" ca="1" si="1"/>
        <v>0</v>
      </c>
      <c r="L115" s="22">
        <f t="shared" ca="1" si="1"/>
        <v>0</v>
      </c>
      <c r="M115" s="22">
        <f t="shared" ca="1" si="1"/>
        <v>0</v>
      </c>
    </row>
    <row r="116" spans="1:13" s="209" customFormat="1">
      <c r="A116" s="211" t="s">
        <v>807</v>
      </c>
      <c r="B116" s="22"/>
      <c r="C116" s="211" t="s">
        <v>223</v>
      </c>
      <c r="D116" s="22">
        <v>0</v>
      </c>
      <c r="E116" s="22">
        <v>0</v>
      </c>
      <c r="F116" s="22">
        <v>8</v>
      </c>
      <c r="G116" s="22">
        <v>16</v>
      </c>
      <c r="H116" s="22">
        <v>24</v>
      </c>
      <c r="I116" s="22">
        <v>32</v>
      </c>
      <c r="J116" s="22">
        <f t="shared" ca="1" si="1"/>
        <v>0</v>
      </c>
      <c r="K116" s="22">
        <f t="shared" ca="1" si="1"/>
        <v>0</v>
      </c>
      <c r="L116" s="22">
        <f t="shared" ca="1" si="1"/>
        <v>0</v>
      </c>
      <c r="M116" s="22">
        <f t="shared" ca="1" si="1"/>
        <v>0</v>
      </c>
    </row>
    <row r="117" spans="1:13">
      <c r="A117" s="22" t="s">
        <v>312</v>
      </c>
      <c r="B117" s="22"/>
      <c r="C117" s="22" t="s">
        <v>164</v>
      </c>
      <c r="D117" s="22">
        <v>0</v>
      </c>
      <c r="E117" s="22">
        <v>0</v>
      </c>
      <c r="F117" s="117">
        <v>0.03</v>
      </c>
      <c r="G117" s="22">
        <v>0</v>
      </c>
      <c r="H117" s="22">
        <v>0</v>
      </c>
      <c r="I117" s="22">
        <v>0</v>
      </c>
      <c r="J117" s="22">
        <f t="shared" ca="1" si="1"/>
        <v>0</v>
      </c>
      <c r="K117" s="22">
        <f t="shared" ca="1" si="1"/>
        <v>0</v>
      </c>
      <c r="L117" s="22">
        <f t="shared" ca="1" si="1"/>
        <v>0</v>
      </c>
      <c r="M117" s="22">
        <f t="shared" ca="1" si="1"/>
        <v>0</v>
      </c>
    </row>
    <row r="118" spans="1:13">
      <c r="A118" s="22" t="s">
        <v>313</v>
      </c>
      <c r="B118" s="22"/>
      <c r="C118" s="22" t="s">
        <v>164</v>
      </c>
      <c r="D118" s="22">
        <v>0</v>
      </c>
      <c r="E118" s="22">
        <v>0</v>
      </c>
      <c r="F118" s="117">
        <v>0.03</v>
      </c>
      <c r="G118" s="22">
        <v>0</v>
      </c>
      <c r="H118" s="22">
        <v>0</v>
      </c>
      <c r="I118" s="22">
        <v>0</v>
      </c>
      <c r="J118" s="22">
        <f t="shared" ca="1" si="1"/>
        <v>0</v>
      </c>
      <c r="K118" s="22">
        <f t="shared" ca="1" si="1"/>
        <v>0</v>
      </c>
      <c r="L118" s="22">
        <f t="shared" ca="1" si="1"/>
        <v>0</v>
      </c>
      <c r="M118" s="22">
        <f t="shared" ca="1" si="1"/>
        <v>0</v>
      </c>
    </row>
    <row r="119" spans="1:13">
      <c r="A119" s="22" t="s">
        <v>313</v>
      </c>
      <c r="B119" s="22" t="s">
        <v>312</v>
      </c>
      <c r="C119" s="22" t="s">
        <v>164</v>
      </c>
      <c r="D119" s="22">
        <v>0</v>
      </c>
      <c r="E119" s="22">
        <v>0</v>
      </c>
      <c r="F119" s="117">
        <v>0.03</v>
      </c>
      <c r="G119" s="22">
        <v>0</v>
      </c>
      <c r="H119" s="22">
        <v>0</v>
      </c>
      <c r="I119" s="22">
        <v>0</v>
      </c>
      <c r="J119" s="22">
        <f t="shared" ca="1" si="1"/>
        <v>0</v>
      </c>
      <c r="K119" s="22">
        <f t="shared" ca="1" si="1"/>
        <v>0</v>
      </c>
      <c r="L119" s="22">
        <f t="shared" ca="1" si="1"/>
        <v>0</v>
      </c>
      <c r="M119" s="22">
        <f t="shared" ca="1" si="1"/>
        <v>0</v>
      </c>
    </row>
    <row r="120" spans="1:13">
      <c r="A120" s="22" t="s">
        <v>314</v>
      </c>
      <c r="B120" s="22" t="s">
        <v>312</v>
      </c>
      <c r="C120" s="22" t="s">
        <v>164</v>
      </c>
      <c r="D120" s="22">
        <v>0</v>
      </c>
      <c r="E120" s="22">
        <v>0</v>
      </c>
      <c r="F120" s="117">
        <v>0.03</v>
      </c>
      <c r="G120" s="22">
        <v>0</v>
      </c>
      <c r="H120" s="22">
        <v>0</v>
      </c>
      <c r="I120" s="22">
        <v>0</v>
      </c>
      <c r="J120" s="22">
        <f t="shared" ca="1" si="1"/>
        <v>0</v>
      </c>
      <c r="K120" s="22">
        <f t="shared" ca="1" si="1"/>
        <v>0</v>
      </c>
      <c r="L120" s="22">
        <f t="shared" ca="1" si="1"/>
        <v>0</v>
      </c>
      <c r="M120" s="22">
        <f t="shared" ca="1" si="1"/>
        <v>0</v>
      </c>
    </row>
    <row r="121" spans="1:13">
      <c r="A121" s="22" t="s">
        <v>314</v>
      </c>
      <c r="B121" s="22" t="s">
        <v>313</v>
      </c>
      <c r="C121" s="22" t="s">
        <v>164</v>
      </c>
      <c r="D121" s="22">
        <v>0</v>
      </c>
      <c r="E121" s="22">
        <v>0</v>
      </c>
      <c r="F121" s="117">
        <v>0.03</v>
      </c>
      <c r="G121" s="22">
        <v>0</v>
      </c>
      <c r="H121" s="22">
        <v>0</v>
      </c>
      <c r="I121" s="22">
        <v>0</v>
      </c>
      <c r="J121" s="22">
        <f t="shared" ca="1" si="1"/>
        <v>0</v>
      </c>
      <c r="K121" s="22">
        <f t="shared" ca="1" si="1"/>
        <v>0</v>
      </c>
      <c r="L121" s="22">
        <f t="shared" ca="1" si="1"/>
        <v>0</v>
      </c>
      <c r="M121" s="22">
        <f t="shared" ca="1" si="1"/>
        <v>0</v>
      </c>
    </row>
    <row r="122" spans="1:13">
      <c r="A122" s="22" t="s">
        <v>366</v>
      </c>
      <c r="B122" s="22"/>
      <c r="C122" s="22" t="s">
        <v>3</v>
      </c>
      <c r="D122" s="22">
        <v>0</v>
      </c>
      <c r="E122" s="22">
        <v>0</v>
      </c>
      <c r="F122" s="22">
        <v>2</v>
      </c>
      <c r="G122" s="22">
        <v>5</v>
      </c>
      <c r="H122" s="22">
        <v>10</v>
      </c>
      <c r="I122" s="22">
        <v>15</v>
      </c>
      <c r="J122" s="22">
        <f t="shared" ca="1" si="1"/>
        <v>0</v>
      </c>
      <c r="K122" s="22">
        <f t="shared" ca="1" si="1"/>
        <v>0</v>
      </c>
      <c r="L122" s="22">
        <f t="shared" ca="1" si="1"/>
        <v>0</v>
      </c>
      <c r="M122" s="22">
        <f t="shared" ca="1" si="1"/>
        <v>0</v>
      </c>
    </row>
    <row r="123" spans="1:13">
      <c r="A123" s="22" t="s">
        <v>366</v>
      </c>
      <c r="B123" s="22"/>
      <c r="C123" s="22" t="s">
        <v>4</v>
      </c>
      <c r="D123" s="22">
        <v>0</v>
      </c>
      <c r="E123" s="22">
        <v>0</v>
      </c>
      <c r="F123" s="22">
        <v>2</v>
      </c>
      <c r="G123" s="22">
        <v>5</v>
      </c>
      <c r="H123" s="22">
        <v>10</v>
      </c>
      <c r="I123" s="22">
        <v>15</v>
      </c>
      <c r="J123" s="22">
        <f t="shared" ca="1" si="1"/>
        <v>0</v>
      </c>
      <c r="K123" s="22">
        <f t="shared" ca="1" si="1"/>
        <v>0</v>
      </c>
      <c r="L123" s="22">
        <f t="shared" ca="1" si="1"/>
        <v>0</v>
      </c>
      <c r="M123" s="22">
        <f t="shared" ca="1" si="1"/>
        <v>0</v>
      </c>
    </row>
    <row r="124" spans="1:13">
      <c r="A124" s="22" t="s">
        <v>366</v>
      </c>
      <c r="B124" s="22"/>
      <c r="C124" s="22" t="s">
        <v>42</v>
      </c>
      <c r="D124" s="22">
        <v>0</v>
      </c>
      <c r="E124" s="22">
        <v>0</v>
      </c>
      <c r="F124" s="22">
        <v>2</v>
      </c>
      <c r="G124" s="22">
        <v>5</v>
      </c>
      <c r="H124" s="22">
        <v>10</v>
      </c>
      <c r="I124" s="22">
        <v>15</v>
      </c>
      <c r="J124" s="22">
        <f t="shared" ca="1" si="1"/>
        <v>0</v>
      </c>
      <c r="K124" s="22">
        <f t="shared" ca="1" si="1"/>
        <v>0</v>
      </c>
      <c r="L124" s="22">
        <f t="shared" ca="1" si="1"/>
        <v>0</v>
      </c>
      <c r="M124" s="22">
        <f t="shared" ca="1" si="1"/>
        <v>0</v>
      </c>
    </row>
    <row r="125" spans="1:13">
      <c r="A125" s="22" t="s">
        <v>366</v>
      </c>
      <c r="B125" s="22"/>
      <c r="C125" s="22" t="s">
        <v>222</v>
      </c>
      <c r="D125" s="22">
        <v>0</v>
      </c>
      <c r="E125" s="22">
        <v>0</v>
      </c>
      <c r="F125" s="22">
        <v>2</v>
      </c>
      <c r="G125" s="22">
        <v>5</v>
      </c>
      <c r="H125" s="22">
        <v>10</v>
      </c>
      <c r="I125" s="22">
        <v>15</v>
      </c>
      <c r="J125" s="22">
        <f t="shared" ca="1" si="1"/>
        <v>0</v>
      </c>
      <c r="K125" s="22">
        <f t="shared" ca="1" si="1"/>
        <v>0</v>
      </c>
      <c r="L125" s="22">
        <f t="shared" ca="1" si="1"/>
        <v>0</v>
      </c>
      <c r="M125" s="22">
        <f t="shared" ca="1" si="1"/>
        <v>0</v>
      </c>
    </row>
    <row r="126" spans="1:13">
      <c r="A126" s="22" t="s">
        <v>71</v>
      </c>
      <c r="B126" s="22"/>
      <c r="C126" s="22" t="s">
        <v>11</v>
      </c>
      <c r="D126" s="116">
        <v>0</v>
      </c>
      <c r="E126" s="116">
        <v>0</v>
      </c>
      <c r="F126" s="22">
        <v>0</v>
      </c>
      <c r="G126" s="22">
        <v>0</v>
      </c>
      <c r="H126" s="22">
        <v>0</v>
      </c>
      <c r="I126" s="22">
        <v>50</v>
      </c>
      <c r="J126" s="22">
        <f t="shared" ca="1" si="1"/>
        <v>0</v>
      </c>
      <c r="K126" s="22">
        <f t="shared" ca="1" si="1"/>
        <v>0</v>
      </c>
      <c r="L126" s="22">
        <f t="shared" ca="1" si="1"/>
        <v>0</v>
      </c>
      <c r="M126" s="22">
        <f t="shared" ca="1" si="1"/>
        <v>0</v>
      </c>
    </row>
    <row r="127" spans="1:13">
      <c r="A127" s="22" t="s">
        <v>477</v>
      </c>
      <c r="B127" s="22"/>
      <c r="C127" s="22" t="s">
        <v>11</v>
      </c>
      <c r="D127" s="22">
        <v>0</v>
      </c>
      <c r="E127" s="22">
        <v>0</v>
      </c>
      <c r="F127" s="116">
        <v>30</v>
      </c>
      <c r="G127" s="22">
        <v>51</v>
      </c>
      <c r="H127" s="22">
        <v>71</v>
      </c>
      <c r="I127" s="22">
        <v>91</v>
      </c>
      <c r="J127" s="22">
        <f t="shared" ca="1" si="1"/>
        <v>0</v>
      </c>
      <c r="K127" s="22">
        <f t="shared" ca="1" si="1"/>
        <v>0</v>
      </c>
      <c r="L127" s="22">
        <f t="shared" ca="1" si="1"/>
        <v>0</v>
      </c>
      <c r="M127" s="22">
        <f t="shared" ca="1" si="1"/>
        <v>0</v>
      </c>
    </row>
    <row r="128" spans="1:13">
      <c r="A128" s="44"/>
      <c r="B128" s="44"/>
      <c r="C128" s="44"/>
      <c r="D128" s="44"/>
      <c r="E128" s="44"/>
      <c r="F128" s="44"/>
      <c r="G128" s="44"/>
      <c r="H128" s="44"/>
      <c r="I128" s="44"/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26" t="s">
        <v>546</v>
      </c>
      <c r="C131" s="44"/>
      <c r="D131" s="44"/>
      <c r="E131" s="44"/>
      <c r="F131" s="44"/>
      <c r="G131" s="44"/>
      <c r="H131" s="44"/>
      <c r="I131" s="44"/>
    </row>
    <row r="132" spans="1:9">
      <c r="A132" s="135" t="s">
        <v>9</v>
      </c>
      <c r="B132">
        <v>20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10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11</v>
      </c>
      <c r="B134">
        <v>12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449</v>
      </c>
      <c r="B135">
        <v>100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127</v>
      </c>
      <c r="B136" s="2">
        <v>0.02</v>
      </c>
      <c r="C136" s="44"/>
      <c r="D136" s="44"/>
      <c r="E136" s="44"/>
      <c r="F136" s="44"/>
      <c r="G136" s="44"/>
      <c r="H136" s="44"/>
      <c r="I136" s="44"/>
    </row>
    <row r="137" spans="1:9">
      <c r="A137" s="44"/>
      <c r="B137" s="44"/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26" t="s">
        <v>622</v>
      </c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31" t="s">
        <v>11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623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B142" s="44"/>
      <c r="C142" s="44"/>
      <c r="D142" s="44"/>
      <c r="E142" s="44"/>
      <c r="F142" s="44"/>
      <c r="G142" s="44"/>
      <c r="H142" s="44"/>
      <c r="I142" s="44"/>
    </row>
    <row r="143" spans="1:9">
      <c r="A143" s="26" t="s">
        <v>624</v>
      </c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31" t="s">
        <v>415</v>
      </c>
      <c r="B144" s="44"/>
      <c r="C144" s="44"/>
      <c r="D144" s="44"/>
      <c r="E144" s="44"/>
      <c r="F144" s="44"/>
      <c r="G144" s="44"/>
      <c r="H144" s="44"/>
      <c r="I144" s="44"/>
    </row>
    <row r="145" spans="1:9">
      <c r="A145" s="31" t="s">
        <v>416</v>
      </c>
      <c r="B145" s="44"/>
      <c r="C145" s="44"/>
      <c r="D145" s="44"/>
      <c r="E145" s="44"/>
      <c r="F145" s="44"/>
      <c r="G145" s="44"/>
      <c r="H145" s="44"/>
      <c r="I145" s="44"/>
    </row>
    <row r="146" spans="1:9">
      <c r="A146" s="44"/>
      <c r="B146" s="44"/>
      <c r="C146" s="44"/>
      <c r="D146" s="44"/>
      <c r="E146" s="44"/>
      <c r="F146" s="44"/>
      <c r="G146" s="44"/>
      <c r="H146" s="44"/>
      <c r="I146" s="44"/>
    </row>
    <row r="147" spans="1:9">
      <c r="A147" s="44"/>
      <c r="B147" s="44"/>
      <c r="C147" s="44"/>
      <c r="D147" s="44"/>
      <c r="E147" s="44"/>
      <c r="F147" s="44"/>
      <c r="G147" s="44"/>
      <c r="H147" s="44"/>
      <c r="I147" s="44"/>
    </row>
  </sheetData>
  <sortState ref="A95:Q97">
    <sortCondition ref="A95"/>
  </sortState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>
    <tabColor indexed="46"/>
  </sheetPr>
  <dimension ref="A1:J76"/>
  <sheetViews>
    <sheetView topLeftCell="A37" workbookViewId="0">
      <selection activeCell="A47" sqref="A47"/>
    </sheetView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220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221</v>
      </c>
      <c r="H2" s="14" t="s">
        <v>222</v>
      </c>
      <c r="I2" s="14" t="s">
        <v>223</v>
      </c>
    </row>
    <row r="3" spans="1:9">
      <c r="A3" t="s">
        <v>238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240</v>
      </c>
    </row>
    <row r="8" spans="1:9">
      <c r="A8" s="9" t="s">
        <v>262</v>
      </c>
      <c r="B8" s="14" t="s">
        <v>220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221</v>
      </c>
      <c r="H8" s="14" t="s">
        <v>222</v>
      </c>
      <c r="I8" s="14" t="s">
        <v>223</v>
      </c>
    </row>
    <row r="9" spans="1:9">
      <c r="A9" t="s">
        <v>1</v>
      </c>
      <c r="B9" t="s">
        <v>151</v>
      </c>
      <c r="C9" t="s">
        <v>151</v>
      </c>
      <c r="D9" t="s">
        <v>151</v>
      </c>
      <c r="E9" t="s">
        <v>151</v>
      </c>
      <c r="F9" t="s">
        <v>151</v>
      </c>
      <c r="G9" t="s">
        <v>151</v>
      </c>
      <c r="H9" t="s">
        <v>151</v>
      </c>
      <c r="I9" t="s">
        <v>151</v>
      </c>
    </row>
    <row r="10" spans="1:9">
      <c r="A10" t="s">
        <v>219</v>
      </c>
      <c r="B10" t="s">
        <v>225</v>
      </c>
      <c r="C10" t="s">
        <v>224</v>
      </c>
      <c r="D10" t="s">
        <v>226</v>
      </c>
      <c r="E10" t="s">
        <v>225</v>
      </c>
      <c r="F10" t="s">
        <v>227</v>
      </c>
      <c r="G10" t="s">
        <v>227</v>
      </c>
      <c r="H10" t="s">
        <v>224</v>
      </c>
      <c r="I10" t="s">
        <v>151</v>
      </c>
    </row>
    <row r="11" spans="1:9">
      <c r="A11" t="s">
        <v>182</v>
      </c>
      <c r="B11" t="s">
        <v>228</v>
      </c>
      <c r="C11" t="s">
        <v>227</v>
      </c>
      <c r="D11" t="s">
        <v>151</v>
      </c>
      <c r="E11" t="s">
        <v>226</v>
      </c>
      <c r="F11" t="s">
        <v>225</v>
      </c>
      <c r="G11" t="s">
        <v>229</v>
      </c>
      <c r="H11" t="s">
        <v>226</v>
      </c>
      <c r="I11" t="s">
        <v>151</v>
      </c>
    </row>
    <row r="12" spans="1:9">
      <c r="A12" t="s">
        <v>217</v>
      </c>
      <c r="B12" t="s">
        <v>151</v>
      </c>
      <c r="C12" t="s">
        <v>226</v>
      </c>
      <c r="D12" t="s">
        <v>229</v>
      </c>
      <c r="E12" t="s">
        <v>226</v>
      </c>
      <c r="F12" t="s">
        <v>224</v>
      </c>
      <c r="G12" t="s">
        <v>151</v>
      </c>
      <c r="H12" t="s">
        <v>226</v>
      </c>
      <c r="I12" t="s">
        <v>227</v>
      </c>
    </row>
    <row r="13" spans="1:9">
      <c r="A13" t="s">
        <v>218</v>
      </c>
      <c r="B13" t="s">
        <v>229</v>
      </c>
      <c r="C13" t="s">
        <v>225</v>
      </c>
      <c r="D13" t="s">
        <v>151</v>
      </c>
      <c r="E13" t="s">
        <v>229</v>
      </c>
      <c r="F13" t="s">
        <v>226</v>
      </c>
      <c r="G13" t="s">
        <v>226</v>
      </c>
      <c r="H13" t="s">
        <v>151</v>
      </c>
      <c r="I13" t="s">
        <v>227</v>
      </c>
    </row>
    <row r="14" spans="1:9">
      <c r="A14" t="s">
        <v>242</v>
      </c>
      <c r="B14" t="s">
        <v>151</v>
      </c>
      <c r="C14" t="s">
        <v>151</v>
      </c>
      <c r="D14" t="s">
        <v>151</v>
      </c>
      <c r="E14" t="s">
        <v>151</v>
      </c>
      <c r="F14" t="s">
        <v>227</v>
      </c>
      <c r="G14" t="s">
        <v>151</v>
      </c>
      <c r="H14" t="s">
        <v>151</v>
      </c>
      <c r="I14" t="s">
        <v>224</v>
      </c>
    </row>
    <row r="15" spans="1:9">
      <c r="A15" t="s">
        <v>243</v>
      </c>
      <c r="B15" t="s">
        <v>225</v>
      </c>
      <c r="C15" t="s">
        <v>151</v>
      </c>
      <c r="D15" t="s">
        <v>225</v>
      </c>
      <c r="E15" t="s">
        <v>151</v>
      </c>
      <c r="F15" t="s">
        <v>227</v>
      </c>
      <c r="G15" t="s">
        <v>226</v>
      </c>
      <c r="H15" t="s">
        <v>226</v>
      </c>
      <c r="I15" t="s">
        <v>229</v>
      </c>
    </row>
    <row r="16" spans="1:9">
      <c r="A16" t="s">
        <v>244</v>
      </c>
      <c r="B16" t="s">
        <v>227</v>
      </c>
      <c r="C16" t="s">
        <v>227</v>
      </c>
      <c r="D16" t="s">
        <v>225</v>
      </c>
      <c r="E16" t="s">
        <v>227</v>
      </c>
      <c r="F16" t="s">
        <v>225</v>
      </c>
      <c r="G16" t="s">
        <v>229</v>
      </c>
      <c r="H16" t="s">
        <v>226</v>
      </c>
      <c r="I16" t="s">
        <v>151</v>
      </c>
    </row>
    <row r="17" spans="1:9">
      <c r="A17" t="s">
        <v>245</v>
      </c>
      <c r="B17" t="s">
        <v>151</v>
      </c>
      <c r="C17" t="s">
        <v>226</v>
      </c>
      <c r="D17" t="s">
        <v>226</v>
      </c>
      <c r="E17" t="s">
        <v>226</v>
      </c>
      <c r="F17" t="s">
        <v>226</v>
      </c>
      <c r="G17" t="s">
        <v>226</v>
      </c>
      <c r="H17" t="s">
        <v>226</v>
      </c>
      <c r="I17" t="s">
        <v>226</v>
      </c>
    </row>
    <row r="18" spans="1:9">
      <c r="A18" t="s">
        <v>246</v>
      </c>
      <c r="B18" t="s">
        <v>151</v>
      </c>
      <c r="C18" t="s">
        <v>226</v>
      </c>
      <c r="D18" t="s">
        <v>225</v>
      </c>
      <c r="E18" t="s">
        <v>226</v>
      </c>
      <c r="F18" t="s">
        <v>224</v>
      </c>
      <c r="G18" t="s">
        <v>225</v>
      </c>
      <c r="H18" t="s">
        <v>226</v>
      </c>
      <c r="I18" t="s">
        <v>226</v>
      </c>
    </row>
    <row r="19" spans="1:9">
      <c r="A19" t="s">
        <v>247</v>
      </c>
      <c r="B19" t="s">
        <v>151</v>
      </c>
      <c r="C19" t="s">
        <v>151</v>
      </c>
      <c r="D19" t="s">
        <v>225</v>
      </c>
      <c r="E19" t="s">
        <v>226</v>
      </c>
      <c r="F19" t="s">
        <v>224</v>
      </c>
      <c r="G19" t="s">
        <v>227</v>
      </c>
      <c r="H19" t="s">
        <v>227</v>
      </c>
      <c r="I19" t="s">
        <v>224</v>
      </c>
    </row>
    <row r="20" spans="1:9">
      <c r="A20" t="s">
        <v>248</v>
      </c>
      <c r="B20" t="s">
        <v>225</v>
      </c>
      <c r="C20" t="s">
        <v>229</v>
      </c>
      <c r="D20" t="s">
        <v>225</v>
      </c>
      <c r="E20" t="s">
        <v>225</v>
      </c>
      <c r="F20" t="s">
        <v>151</v>
      </c>
      <c r="G20" t="s">
        <v>225</v>
      </c>
      <c r="H20" t="s">
        <v>228</v>
      </c>
      <c r="I20" t="s">
        <v>228</v>
      </c>
    </row>
    <row r="21" spans="1:9">
      <c r="A21" t="s">
        <v>249</v>
      </c>
      <c r="B21" t="s">
        <v>225</v>
      </c>
      <c r="C21" t="s">
        <v>224</v>
      </c>
      <c r="D21" t="s">
        <v>151</v>
      </c>
      <c r="E21" t="s">
        <v>225</v>
      </c>
      <c r="F21" t="s">
        <v>151</v>
      </c>
      <c r="G21" t="s">
        <v>227</v>
      </c>
      <c r="H21" t="s">
        <v>226</v>
      </c>
      <c r="I21" t="s">
        <v>225</v>
      </c>
    </row>
    <row r="22" spans="1:9">
      <c r="A22" t="s">
        <v>250</v>
      </c>
      <c r="B22" t="s">
        <v>229</v>
      </c>
      <c r="C22" t="s">
        <v>225</v>
      </c>
      <c r="D22" t="s">
        <v>224</v>
      </c>
      <c r="E22" t="s">
        <v>229</v>
      </c>
      <c r="F22" t="s">
        <v>227</v>
      </c>
      <c r="G22" t="s">
        <v>228</v>
      </c>
      <c r="H22" t="s">
        <v>151</v>
      </c>
      <c r="I22" t="s">
        <v>226</v>
      </c>
    </row>
    <row r="23" spans="1:9">
      <c r="A23" t="s">
        <v>251</v>
      </c>
      <c r="B23" t="s">
        <v>151</v>
      </c>
      <c r="C23" t="s">
        <v>225</v>
      </c>
      <c r="D23" t="s">
        <v>224</v>
      </c>
      <c r="E23" t="s">
        <v>225</v>
      </c>
      <c r="F23" t="s">
        <v>224</v>
      </c>
      <c r="G23" t="s">
        <v>151</v>
      </c>
      <c r="H23" t="s">
        <v>228</v>
      </c>
      <c r="I23" t="s">
        <v>227</v>
      </c>
    </row>
    <row r="24" spans="1:9">
      <c r="A24" t="s">
        <v>252</v>
      </c>
      <c r="B24" t="s">
        <v>225</v>
      </c>
      <c r="C24" t="s">
        <v>224</v>
      </c>
      <c r="D24" t="s">
        <v>226</v>
      </c>
      <c r="E24" t="s">
        <v>229</v>
      </c>
      <c r="F24" t="s">
        <v>228</v>
      </c>
      <c r="G24" t="s">
        <v>228</v>
      </c>
      <c r="H24" t="s">
        <v>225</v>
      </c>
      <c r="I24" t="s">
        <v>225</v>
      </c>
    </row>
    <row r="25" spans="1:9">
      <c r="A25" t="s">
        <v>253</v>
      </c>
      <c r="B25" t="s">
        <v>151</v>
      </c>
      <c r="C25" t="s">
        <v>226</v>
      </c>
      <c r="D25" t="s">
        <v>224</v>
      </c>
      <c r="E25" t="s">
        <v>151</v>
      </c>
      <c r="F25" t="s">
        <v>225</v>
      </c>
      <c r="G25" t="s">
        <v>226</v>
      </c>
      <c r="H25" t="s">
        <v>227</v>
      </c>
      <c r="I25" t="s">
        <v>225</v>
      </c>
    </row>
    <row r="26" spans="1:9">
      <c r="A26" t="s">
        <v>254</v>
      </c>
      <c r="B26" t="s">
        <v>226</v>
      </c>
      <c r="C26" t="s">
        <v>226</v>
      </c>
      <c r="D26" t="s">
        <v>151</v>
      </c>
      <c r="E26" t="s">
        <v>151</v>
      </c>
      <c r="F26" t="s">
        <v>229</v>
      </c>
      <c r="G26" t="s">
        <v>226</v>
      </c>
      <c r="H26" t="s">
        <v>151</v>
      </c>
      <c r="I26" t="s">
        <v>226</v>
      </c>
    </row>
    <row r="27" spans="1:9">
      <c r="A27" t="s">
        <v>255</v>
      </c>
      <c r="B27" t="s">
        <v>151</v>
      </c>
      <c r="C27" t="s">
        <v>151</v>
      </c>
      <c r="D27" t="s">
        <v>151</v>
      </c>
      <c r="E27" t="s">
        <v>226</v>
      </c>
      <c r="F27" t="s">
        <v>226</v>
      </c>
      <c r="G27" t="s">
        <v>225</v>
      </c>
      <c r="H27" t="s">
        <v>225</v>
      </c>
      <c r="I27" t="s">
        <v>151</v>
      </c>
    </row>
    <row r="28" spans="1:9">
      <c r="A28" t="s">
        <v>256</v>
      </c>
      <c r="B28" t="s">
        <v>224</v>
      </c>
      <c r="C28" t="s">
        <v>225</v>
      </c>
      <c r="D28" t="s">
        <v>225</v>
      </c>
      <c r="E28" t="s">
        <v>225</v>
      </c>
      <c r="F28" t="s">
        <v>151</v>
      </c>
      <c r="G28" t="s">
        <v>226</v>
      </c>
      <c r="H28" t="s">
        <v>226</v>
      </c>
      <c r="I28" t="s">
        <v>151</v>
      </c>
    </row>
    <row r="29" spans="1:9">
      <c r="A29" t="s">
        <v>257</v>
      </c>
      <c r="B29" t="s">
        <v>226</v>
      </c>
      <c r="C29" t="s">
        <v>227</v>
      </c>
      <c r="D29" t="s">
        <v>151</v>
      </c>
      <c r="E29" t="s">
        <v>226</v>
      </c>
      <c r="F29" t="s">
        <v>151</v>
      </c>
      <c r="G29" t="s">
        <v>224</v>
      </c>
      <c r="H29" t="s">
        <v>151</v>
      </c>
      <c r="I29" t="s">
        <v>225</v>
      </c>
    </row>
    <row r="30" spans="1:9">
      <c r="A30" t="s">
        <v>258</v>
      </c>
      <c r="B30" t="s">
        <v>228</v>
      </c>
      <c r="C30" t="s">
        <v>227</v>
      </c>
      <c r="D30" t="s">
        <v>226</v>
      </c>
      <c r="E30" t="s">
        <v>227</v>
      </c>
      <c r="F30" t="s">
        <v>151</v>
      </c>
      <c r="G30" t="s">
        <v>224</v>
      </c>
      <c r="H30" t="s">
        <v>224</v>
      </c>
      <c r="I30" t="s">
        <v>224</v>
      </c>
    </row>
    <row r="31" spans="1:9">
      <c r="A31" t="s">
        <v>259</v>
      </c>
      <c r="B31" t="s">
        <v>151</v>
      </c>
      <c r="C31" t="s">
        <v>151</v>
      </c>
      <c r="D31" t="s">
        <v>229</v>
      </c>
      <c r="E31" t="s">
        <v>151</v>
      </c>
      <c r="F31" t="s">
        <v>224</v>
      </c>
      <c r="G31" t="s">
        <v>225</v>
      </c>
      <c r="H31" t="s">
        <v>228</v>
      </c>
      <c r="I31" t="s">
        <v>228</v>
      </c>
    </row>
    <row r="32" spans="1:9">
      <c r="A32" t="s">
        <v>260</v>
      </c>
      <c r="B32" t="s">
        <v>224</v>
      </c>
      <c r="C32" t="s">
        <v>229</v>
      </c>
      <c r="D32" t="s">
        <v>225</v>
      </c>
      <c r="E32" t="s">
        <v>151</v>
      </c>
      <c r="F32" t="s">
        <v>225</v>
      </c>
      <c r="G32" t="s">
        <v>227</v>
      </c>
      <c r="H32" t="s">
        <v>227</v>
      </c>
      <c r="I32" t="s">
        <v>226</v>
      </c>
    </row>
    <row r="33" spans="1:10">
      <c r="A33" t="s">
        <v>261</v>
      </c>
      <c r="B33" t="s">
        <v>226</v>
      </c>
      <c r="C33" t="s">
        <v>151</v>
      </c>
      <c r="D33" t="s">
        <v>227</v>
      </c>
      <c r="E33" t="s">
        <v>151</v>
      </c>
      <c r="F33" t="s">
        <v>226</v>
      </c>
      <c r="G33" t="s">
        <v>226</v>
      </c>
      <c r="H33" t="s">
        <v>229</v>
      </c>
      <c r="I33" t="s">
        <v>225</v>
      </c>
    </row>
    <row r="36" spans="1:10">
      <c r="A36" s="9" t="s">
        <v>263</v>
      </c>
      <c r="B36" t="s">
        <v>230</v>
      </c>
      <c r="C36" t="s">
        <v>231</v>
      </c>
      <c r="D36" t="s">
        <v>239</v>
      </c>
      <c r="E36" t="s">
        <v>232</v>
      </c>
      <c r="F36" t="s">
        <v>233</v>
      </c>
      <c r="G36" t="s">
        <v>234</v>
      </c>
      <c r="H36" t="s">
        <v>235</v>
      </c>
      <c r="I36" t="s">
        <v>237</v>
      </c>
      <c r="J36" t="s">
        <v>236</v>
      </c>
    </row>
    <row r="37" spans="1:10">
      <c r="A37" t="s">
        <v>229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224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225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151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226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227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228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220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221</v>
      </c>
      <c r="H46" s="14" t="s">
        <v>222</v>
      </c>
      <c r="I46" s="14" t="s">
        <v>223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230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234</v>
      </c>
    </row>
    <row r="49" spans="1:10">
      <c r="A49" t="s">
        <v>231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235</v>
      </c>
    </row>
    <row r="50" spans="1:10">
      <c r="A50" t="s">
        <v>239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237</v>
      </c>
    </row>
    <row r="51" spans="1:10">
      <c r="A51" t="s">
        <v>232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236</v>
      </c>
    </row>
    <row r="52" spans="1:10">
      <c r="A52" t="s">
        <v>233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185</v>
      </c>
      <c r="B56" s="14" t="s">
        <v>220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221</v>
      </c>
      <c r="H56" s="14" t="s">
        <v>222</v>
      </c>
      <c r="I56" s="14" t="s">
        <v>223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230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234</v>
      </c>
    </row>
    <row r="59" spans="1:10">
      <c r="A59" t="s">
        <v>231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235</v>
      </c>
    </row>
    <row r="60" spans="1:10">
      <c r="A60" t="s">
        <v>239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237</v>
      </c>
    </row>
    <row r="61" spans="1:10">
      <c r="A61" t="s">
        <v>232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236</v>
      </c>
    </row>
    <row r="62" spans="1:10">
      <c r="A62" t="s">
        <v>233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220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221</v>
      </c>
      <c r="H66" s="14" t="s">
        <v>222</v>
      </c>
      <c r="I66" s="14" t="s">
        <v>223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230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234</v>
      </c>
    </row>
    <row r="69" spans="1:10">
      <c r="A69" t="s">
        <v>231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235</v>
      </c>
    </row>
    <row r="70" spans="1:10">
      <c r="A70" t="s">
        <v>239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237</v>
      </c>
    </row>
    <row r="71" spans="1:10">
      <c r="A71" t="s">
        <v>232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236</v>
      </c>
    </row>
    <row r="72" spans="1:10">
      <c r="A72" t="s">
        <v>233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220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221</v>
      </c>
      <c r="H75" s="14" t="s">
        <v>222</v>
      </c>
      <c r="I75" s="14" t="s">
        <v>223</v>
      </c>
    </row>
    <row r="76" spans="1:10">
      <c r="A76" t="s">
        <v>241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120</vt:i4>
      </vt:variant>
    </vt:vector>
  </HeadingPairs>
  <TitlesOfParts>
    <vt:vector size="128" baseType="lpstr">
      <vt:lpstr>Setup</vt:lpstr>
      <vt:lpstr>Gear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AvgHitsPerHand1Set2</vt:lpstr>
      <vt:lpstr>AvgHitsPerHand2Set1</vt:lpstr>
      <vt:lpstr>AvgHitsPerHand2Set2</vt:lpstr>
      <vt:lpstr>AvgHitsPerRound1</vt:lpstr>
      <vt:lpstr>AvgHitsPerRound2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B Frank</cp:lastModifiedBy>
  <dcterms:created xsi:type="dcterms:W3CDTF">2010-08-09T19:31:43Z</dcterms:created>
  <dcterms:modified xsi:type="dcterms:W3CDTF">2017-10-24T03:19:43Z</dcterms:modified>
</cp:coreProperties>
</file>